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7.bin" ContentType="application/vnd.openxmlformats-officedocument.spreadsheetml.customProperty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1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4.bin" ContentType="application/vnd.openxmlformats-officedocument.spreadsheetml.customProperty"/>
  <Override PartName="/xl/customProperty16.bin" ContentType="application/vnd.openxmlformats-officedocument.spreadsheetml.customProperty"/>
  <Override PartName="/xl/customProperty15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7485" windowWidth="4695" windowHeight="4500" tabRatio="920"/>
  </bookViews>
  <sheets>
    <sheet name="Deficiency" sheetId="45" r:id="rId1"/>
    <sheet name="ERF ROR" sheetId="110" r:id="rId2"/>
    <sheet name="E ERF Conv Factr" sheetId="115" r:id="rId3"/>
    <sheet name="ERF Main Summary" sheetId="43" r:id="rId4"/>
    <sheet name="ERF Adj Summary" sheetId="104" r:id="rId5"/>
    <sheet name="ERF Adj Pages" sheetId="105" r:id="rId6"/>
    <sheet name="Restating Print Macros" sheetId="4" state="veryHidden" r:id="rId7"/>
    <sheet name="Module13" sheetId="5" state="veryHidden" r:id="rId8"/>
    <sheet name="Module14" sheetId="6" state="veryHidden" r:id="rId9"/>
    <sheet name="Module15" sheetId="7" state="veryHidden" r:id="rId10"/>
    <sheet name="Module1" sheetId="8" state="veryHidden" r:id="rId11"/>
    <sheet name="EOP Adj Summary" sheetId="124" r:id="rId12"/>
    <sheet name="EOP Adj Pages" sheetId="125" r:id="rId13"/>
    <sheet name="Remove Non-ERF" sheetId="108" r:id="rId14"/>
    <sheet name="CBR Model" sheetId="118" r:id="rId15"/>
    <sheet name="Summary" sheetId="131" r:id="rId16"/>
    <sheet name="9.04E Annualize FIT" sheetId="13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11.01_RemoveVPC">'Remove Non-ERF'!$A$2:$C$46</definedName>
    <definedName name="_3.01_Deficiency">Deficiency!$A$1:$C$26</definedName>
    <definedName name="_3.02_ERF_ROR">'ERF ROR'!$A$2:$E$26</definedName>
    <definedName name="_3.03_ERF_ConvFact">'E ERF Conv Factr'!$A$1:$E$24</definedName>
    <definedName name="_3.04_ERF_Summ">'ERF Main Summary'!$A$1:$M$57</definedName>
    <definedName name="_5.01A_CBR_Summary">'CBR Model'!$DZ$1:$ED$60</definedName>
    <definedName name="_5.01B_CBRSum">'CBR Model'!$CY$1:$DG$60</definedName>
    <definedName name="_5.01C_CBRSum">'CBR Model'!$DH$1:$DP$60</definedName>
    <definedName name="_5.01D_CBRSum">'CBR Model'!$DQ$1:$DY$60</definedName>
    <definedName name="_5.08_CBR_ConvFct">'CBR Model'!$CT$3:$CX$22</definedName>
    <definedName name="_5.09_TempNorm">'CBR Model'!$A$2:$G$51</definedName>
    <definedName name="_5.10_RevAndExp">'CBR Model'!$H$2:$L$46</definedName>
    <definedName name="_5.11_FIT">'CBR Model'!$M$2:$P$31</definedName>
    <definedName name="_5.12_TBofRE">'CBR Model'!$Q$2:$T$30</definedName>
    <definedName name="_5.13_Pass_Thru">'CBR Model'!$U$2:$Y$50</definedName>
    <definedName name="_5.14_RateCaseExp">'CBR Model'!$Z$2:$AD$31</definedName>
    <definedName name="_5.15_Bad_Debt">'CBR Model'!$AE$2:$AM$36</definedName>
    <definedName name="_5.16_Incentives">'CBR Model'!$AN$2:$AR$20</definedName>
    <definedName name="_5.17_ExciseTax">'CBR Model'!$AS$2:$AV$26</definedName>
    <definedName name="_5.18_DO_Ins">'CBR Model'!$AW$2:$BA$20</definedName>
    <definedName name="_5.19_IntOnCustDep">'CBR Model'!$BB$2:$BE$15</definedName>
    <definedName name="_5.20_PensionPlan">'CBR Model'!$BF$2:$BJ$19</definedName>
    <definedName name="_5.21_InjDamages">'CBR Model'!$BK$2:$BO$19</definedName>
    <definedName name="_5.22_Misc">'CBR Model'!$BP$3:$BT$25</definedName>
    <definedName name="_5.23_ASC815">'CBR Model'!$BU$3:$BY$22</definedName>
    <definedName name="_5.24_Storm">'CBR Model'!$BZ$3:$CD$37</definedName>
    <definedName name="_5.25_PowerCst">'CBR Model'!$CE$3:$CI$26</definedName>
    <definedName name="_5.26_Montana_Energy">'CBR Model'!$CJ$3:$CN$26</definedName>
    <definedName name="_5.27_WHSolar">'CBR Model'!$CO$3:$CS$25</definedName>
    <definedName name="_7.01_EOP_Adj_Sum">'EOP Adj Summary'!$A$1:$I$56</definedName>
    <definedName name="_7.02_EOP_RB">'EOP Adj Pages'!$B$4:$F$22</definedName>
    <definedName name="_7.03_EOP_Depr">'EOP Adj Pages'!$G$4:$K$29</definedName>
    <definedName name="_7.04_EOP_TBPI">'EOP Adj Pages'!$L$4:$O$24</definedName>
    <definedName name="_9.01_ERFAdjSumm">'ERF Adj Summary'!$A$1:$S$56</definedName>
    <definedName name="_9.02_ERFRevExp">'ERF Adj Pages'!$A$3:$E$40</definedName>
    <definedName name="_9.03_ERFDepr">'ERF Adj Pages'!$F$4:$J$30</definedName>
    <definedName name="_9.04_ERF_FIT">'ERF Adj Pages'!$K$4:$N$40</definedName>
    <definedName name="_9.05_ERF_TBRI">'ERF Adj Pages'!$O$4:$R$25</definedName>
    <definedName name="_9.06_ERF_DefGainsLoses">'ERF Adj Pages'!$S$4:$V$28</definedName>
    <definedName name="_9.07_ERF_EnvironmRem">'ERF Adj Pages'!$W$4:$AA$33</definedName>
    <definedName name="_9.08_ERF_PaymentProc">'ERF Adj Pages'!$AB$4:$AF$34</definedName>
    <definedName name="_9.09_ERF_Storm">'ERF Adj Pages'!$AG$4:$AK$37</definedName>
    <definedName name="_9.10_ERF_PowerCst">'ERF Adj Pages'!$AL$4:$AP$29</definedName>
    <definedName name="_9.11_ERF_MontanaTax">'ERF Adj Pages'!$AQ$4:$AU$28</definedName>
    <definedName name="_9.12_ERF_RegAL">'ERF Adj Pages'!$AV$4:$AZ$65</definedName>
    <definedName name="_9.13_ERF_WhtRiver">'ERF Adj Pages'!$BA$4:$BE$27</definedName>
    <definedName name="_9.14_ERF_HydroGrntRcls">'ERF Adj Pages'!$BF$4:$BJ$27</definedName>
    <definedName name="_CaseName" localSheetId="12">'EOP Adj Pages'!$B$8</definedName>
    <definedName name="_CaseName">'ERF Adj Pages'!$B$8</definedName>
    <definedName name="_TestYear" localSheetId="12">'EOP Adj Pages'!$B$7</definedName>
    <definedName name="_TestYear">'ERF Adj Pages'!$B$7</definedName>
    <definedName name="BD">'CBR Model'!$CX$12</definedName>
    <definedName name="D">'EOP Adj Pages'!$B$7</definedName>
    <definedName name="DOCKET">'CBR Model'!$A$7</definedName>
    <definedName name="FF">'CBR Model'!$CX$13</definedName>
    <definedName name="FIT_CBR">'CBR Model'!$CW$19</definedName>
    <definedName name="k_3.02_COC" localSheetId="1">'ERF ROR'!$A$2:$E$23</definedName>
    <definedName name="_xlnm.Print_Area" localSheetId="14">'CBR Model'!$DQ$1:$DY$60</definedName>
    <definedName name="_xlnm.Print_Area" localSheetId="2">'E ERF Conv Factr'!$A$1:$E$21</definedName>
    <definedName name="_xlnm.Print_Area" localSheetId="11">'EOP Adj Summary'!$A$1:$I$57</definedName>
    <definedName name="_xlnm.Print_Area" localSheetId="5">'ERF Adj Pages'!$K$6:$N$50</definedName>
    <definedName name="_xlnm.Print_Area" localSheetId="4">'ERF Adj Summary'!$A$1:$S$56</definedName>
    <definedName name="_xlnm.Print_Area" localSheetId="3">'ERF Main Summary'!$A$1:$M$57</definedName>
    <definedName name="_xlnm.Print_Area" localSheetId="1">'ERF ROR'!$A$1:$E$25</definedName>
    <definedName name="_xlnm.Print_Area" localSheetId="13">'Remove Non-ERF'!$A$1:$C$47</definedName>
    <definedName name="_xlnm.Print_Titles" localSheetId="4">'ERF Adj Summary'!$A:$C,'ERF Adj Summary'!$1:$9</definedName>
    <definedName name="PSPL">'CBR Model'!$A$4</definedName>
    <definedName name="RATEBASE">'CBR Model'!$A$4:$F$51</definedName>
    <definedName name="RESTATING">'CBR Model'!$DA$5:$DY$51</definedName>
    <definedName name="REVADJ">'CBR Model'!$A$4:$G$34</definedName>
    <definedName name="TAXBENEFIT">'CBR Model'!$Q$3:$T$20</definedName>
    <definedName name="TAXEXCISE">'CBR Model'!$AS$3:$AV$27</definedName>
    <definedName name="TAXINCOME">'CBR Model'!$M$3:$P$28</definedName>
    <definedName name="TESTYEAR">'CBR Model'!$A$6</definedName>
    <definedName name="UTG">'CBR Model'!$CW$14</definedName>
    <definedName name="UTN">'CBR Model'!$CX$14</definedName>
  </definedNames>
  <calcPr calcId="145621"/>
  <customWorkbookViews>
    <customWorkbookView name="Page 4.03" guid="{ACABE5FC-E604-45C9-ACB7-53C863CA19F6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3" guid="{DD70B4E1-CC64-4568-BFD6-83390A7B0268}" maximized="1" windowWidth="1020" windowHeight="606" tabRatio="588" activeSheetId="1"/>
    <customWorkbookView name="Page 4.02" guid="{D358E58B-5EA6-4EB2-8562-4D9FEBA8EA54}" maximized="1" windowWidth="1276" windowHeight="719" tabRatio="588" activeSheetId="1"/>
  </customWorkbookViews>
</workbook>
</file>

<file path=xl/calcChain.xml><?xml version="1.0" encoding="utf-8"?>
<calcChain xmlns="http://schemas.openxmlformats.org/spreadsheetml/2006/main">
  <c r="S14" i="118" l="1"/>
  <c r="DA44" i="118" l="1"/>
  <c r="DA43" i="118"/>
  <c r="DA42" i="118"/>
  <c r="DA41" i="118"/>
  <c r="DA40" i="118"/>
  <c r="DA39" i="118"/>
  <c r="DA38" i="118"/>
  <c r="DA37" i="118"/>
  <c r="DA36" i="118"/>
  <c r="DA35" i="118"/>
  <c r="DA34" i="118"/>
  <c r="DA33" i="118"/>
  <c r="DA32" i="118"/>
  <c r="DA31" i="118"/>
  <c r="DA30" i="118"/>
  <c r="DA27" i="118"/>
  <c r="DA26" i="118"/>
  <c r="DA25" i="118"/>
  <c r="DA24" i="118"/>
  <c r="DA18" i="118"/>
  <c r="DA17" i="118"/>
  <c r="DA16" i="118"/>
  <c r="DA15" i="118"/>
  <c r="AC25" i="118"/>
  <c r="AC22" i="118"/>
  <c r="AC18" i="118"/>
  <c r="AC15" i="118"/>
  <c r="CQ20" i="118"/>
  <c r="CQ16" i="118"/>
  <c r="CQ15" i="118"/>
  <c r="CQ14" i="118"/>
  <c r="F36" i="118"/>
  <c r="E36" i="118"/>
  <c r="F35" i="118"/>
  <c r="E35" i="118"/>
  <c r="F34" i="118"/>
  <c r="E34" i="118"/>
  <c r="F33" i="118"/>
  <c r="E33" i="118"/>
  <c r="F32" i="118"/>
  <c r="E32" i="118"/>
  <c r="F31" i="118"/>
  <c r="E31" i="118"/>
  <c r="F30" i="118"/>
  <c r="E30" i="118"/>
  <c r="F29" i="118"/>
  <c r="E29" i="118"/>
  <c r="F28" i="118"/>
  <c r="E28" i="118"/>
  <c r="D25" i="118"/>
  <c r="C25" i="118"/>
  <c r="D24" i="118"/>
  <c r="C24" i="118"/>
  <c r="D23" i="118"/>
  <c r="C23" i="118"/>
  <c r="D22" i="118"/>
  <c r="C22" i="118"/>
  <c r="D21" i="118"/>
  <c r="C21" i="118"/>
  <c r="D20" i="118"/>
  <c r="C20" i="118"/>
  <c r="D19" i="118"/>
  <c r="C19" i="118"/>
  <c r="D18" i="118"/>
  <c r="C18" i="118"/>
  <c r="D17" i="118"/>
  <c r="C17" i="118"/>
  <c r="D16" i="118"/>
  <c r="C16" i="118"/>
  <c r="D15" i="118"/>
  <c r="C15" i="118"/>
  <c r="D14" i="118"/>
  <c r="C14" i="118"/>
  <c r="CI18" i="118"/>
  <c r="CH18" i="118"/>
  <c r="CG18" i="118"/>
  <c r="CI17" i="118"/>
  <c r="CH17" i="118"/>
  <c r="CG17" i="118"/>
  <c r="CI16" i="118"/>
  <c r="CH16" i="118"/>
  <c r="CG16" i="118"/>
  <c r="CI15" i="118"/>
  <c r="CH15" i="118"/>
  <c r="CG15" i="118"/>
  <c r="CG14" i="118"/>
  <c r="CI13" i="118"/>
  <c r="CH13" i="118"/>
  <c r="CG13" i="118"/>
  <c r="CC18" i="118"/>
  <c r="CB18" i="118"/>
  <c r="CC17" i="118"/>
  <c r="CB17" i="118"/>
  <c r="CC16" i="118"/>
  <c r="CB16" i="118"/>
  <c r="CC15" i="118"/>
  <c r="CB15" i="118"/>
  <c r="CC14" i="118"/>
  <c r="CB14" i="118"/>
  <c r="CC13" i="118"/>
  <c r="CB13" i="118"/>
  <c r="BR14" i="118"/>
  <c r="BR13" i="118"/>
  <c r="Y44" i="118"/>
  <c r="Y43" i="118"/>
  <c r="Y42" i="118"/>
  <c r="Y41" i="118"/>
  <c r="Y40" i="118"/>
  <c r="Y39" i="118"/>
  <c r="Y38" i="118"/>
  <c r="Y37" i="118"/>
  <c r="Y36" i="118"/>
  <c r="Y35" i="118"/>
  <c r="Y34" i="118"/>
  <c r="Y24" i="118"/>
  <c r="Y23" i="118"/>
  <c r="Y22" i="118"/>
  <c r="Y21" i="118"/>
  <c r="Y20" i="118"/>
  <c r="Y19" i="118"/>
  <c r="Y18" i="118"/>
  <c r="Y17" i="118"/>
  <c r="Y16" i="118"/>
  <c r="Y15" i="118"/>
  <c r="Y14" i="118"/>
  <c r="Y13" i="118"/>
  <c r="CN21" i="118"/>
  <c r="CN12" i="118"/>
  <c r="BN13" i="118"/>
  <c r="BM13" i="118"/>
  <c r="BN12" i="118"/>
  <c r="BM12" i="118"/>
  <c r="BI12" i="118"/>
  <c r="BH12" i="118"/>
  <c r="BE12" i="118"/>
  <c r="AZ12" i="118"/>
  <c r="AY12" i="118"/>
  <c r="AV17" i="118"/>
  <c r="AV16" i="118"/>
  <c r="AV13" i="118"/>
  <c r="AV12" i="118"/>
  <c r="DK36" i="118"/>
  <c r="DK30" i="118"/>
  <c r="DK25" i="118"/>
  <c r="AQ14" i="118"/>
  <c r="AP14" i="118"/>
  <c r="AQ12" i="118"/>
  <c r="AP12" i="118"/>
  <c r="AL24" i="118"/>
  <c r="AL18" i="118"/>
  <c r="AK18" i="118"/>
  <c r="AJ18" i="118"/>
  <c r="AI18" i="118"/>
  <c r="AH18" i="118"/>
  <c r="AK14" i="118"/>
  <c r="AJ14" i="118"/>
  <c r="AI14" i="118"/>
  <c r="AH14" i="118"/>
  <c r="AG14" i="118"/>
  <c r="AK13" i="118"/>
  <c r="AJ13" i="118"/>
  <c r="AI13" i="118"/>
  <c r="AH13" i="118"/>
  <c r="AG13" i="118"/>
  <c r="AK12" i="118"/>
  <c r="AJ12" i="118"/>
  <c r="AI12" i="118"/>
  <c r="AH12" i="118"/>
  <c r="AG12" i="118"/>
  <c r="P23" i="118"/>
  <c r="P22" i="118"/>
  <c r="P21" i="118"/>
  <c r="K33" i="118"/>
  <c r="K30" i="118"/>
  <c r="K14" i="118"/>
  <c r="K13" i="118"/>
  <c r="K12" i="118"/>
  <c r="C42" i="108"/>
  <c r="C39" i="108"/>
  <c r="C38" i="108"/>
  <c r="C37" i="108"/>
  <c r="C36" i="108"/>
  <c r="C35" i="108"/>
  <c r="C34" i="108"/>
  <c r="C33" i="108"/>
  <c r="C32" i="108"/>
  <c r="C30" i="108"/>
  <c r="C29" i="108"/>
  <c r="C28" i="108"/>
  <c r="C25" i="108"/>
  <c r="C16" i="108"/>
  <c r="C14" i="108"/>
  <c r="C13" i="108"/>
  <c r="BI20" i="105"/>
  <c r="BH20" i="105"/>
  <c r="AA25" i="105"/>
  <c r="Z20" i="105"/>
  <c r="Z15" i="105"/>
  <c r="BD19" i="105"/>
  <c r="BC19" i="105"/>
  <c r="BD15" i="105"/>
  <c r="BC15" i="105"/>
  <c r="BD14" i="105"/>
  <c r="BC14" i="105"/>
  <c r="AO24" i="105"/>
  <c r="AN24" i="105"/>
  <c r="AO19" i="105"/>
  <c r="AN19" i="105"/>
  <c r="AO18" i="105"/>
  <c r="AO17" i="105"/>
  <c r="AO14" i="105"/>
  <c r="AE15" i="105"/>
  <c r="AD15" i="105"/>
  <c r="AE14" i="105"/>
  <c r="AD14" i="105"/>
  <c r="C31" i="105"/>
  <c r="D25" i="105"/>
  <c r="C25" i="105"/>
  <c r="D24" i="105"/>
  <c r="C24" i="105"/>
  <c r="D23" i="105"/>
  <c r="C23" i="105"/>
  <c r="D18" i="105"/>
  <c r="D16" i="105"/>
  <c r="D15" i="105"/>
  <c r="D14" i="105"/>
  <c r="C14" i="105"/>
  <c r="AU26" i="105"/>
  <c r="AU23" i="105"/>
  <c r="AT18" i="105"/>
  <c r="AT15" i="105"/>
  <c r="AT14" i="105"/>
  <c r="AT13" i="105"/>
  <c r="AJ31" i="105"/>
  <c r="AI27" i="105"/>
  <c r="AI20" i="105"/>
  <c r="AI19" i="105"/>
  <c r="AI18" i="105"/>
  <c r="AI17" i="105"/>
  <c r="AI16" i="105"/>
  <c r="AH13" i="105"/>
  <c r="V19" i="105"/>
  <c r="V14" i="105"/>
  <c r="V13" i="105"/>
  <c r="K28" i="125"/>
  <c r="K27" i="125"/>
  <c r="J17" i="125"/>
  <c r="I17" i="125"/>
  <c r="J16" i="125"/>
  <c r="I16" i="125"/>
  <c r="J14" i="125"/>
  <c r="I14" i="125"/>
  <c r="J13" i="125"/>
  <c r="I13" i="125"/>
  <c r="J28" i="105"/>
  <c r="I17" i="105"/>
  <c r="H17" i="105"/>
  <c r="I16" i="105"/>
  <c r="H16" i="105"/>
  <c r="I14" i="105"/>
  <c r="H14" i="105"/>
  <c r="I13" i="105"/>
  <c r="H13" i="105"/>
  <c r="AY52" i="105"/>
  <c r="AX52" i="105"/>
  <c r="AY51" i="105"/>
  <c r="AX51" i="105"/>
  <c r="AY50" i="105"/>
  <c r="AX50" i="105"/>
  <c r="AY49" i="105"/>
  <c r="AX49" i="105"/>
  <c r="AY48" i="105"/>
  <c r="AX48" i="105"/>
  <c r="AY47" i="105"/>
  <c r="AX47" i="105"/>
  <c r="AY46" i="105"/>
  <c r="AX46" i="105"/>
  <c r="AY45" i="105"/>
  <c r="AX45" i="105"/>
  <c r="AY43" i="105"/>
  <c r="AX43" i="105"/>
  <c r="AY40" i="105"/>
  <c r="AX40" i="105"/>
  <c r="AY31" i="105"/>
  <c r="AX31" i="105"/>
  <c r="AY30" i="105"/>
  <c r="AX30" i="105"/>
  <c r="AY29" i="105"/>
  <c r="AX29" i="105"/>
  <c r="AY28" i="105"/>
  <c r="AX28" i="105"/>
  <c r="AY27" i="105"/>
  <c r="AX27" i="105"/>
  <c r="AY26" i="105"/>
  <c r="AX26" i="105"/>
  <c r="AY25" i="105"/>
  <c r="AX25" i="105"/>
  <c r="AY24" i="105"/>
  <c r="AX24" i="105"/>
  <c r="AY23" i="105"/>
  <c r="AX23" i="105"/>
  <c r="AY22" i="105"/>
  <c r="AX22" i="105"/>
  <c r="AY21" i="105"/>
  <c r="AX21" i="105"/>
  <c r="AY20" i="105"/>
  <c r="AX20" i="105"/>
  <c r="AY19" i="105"/>
  <c r="AX19" i="105"/>
  <c r="AY18" i="105"/>
  <c r="AX18" i="105"/>
  <c r="AY17" i="105"/>
  <c r="AX17" i="105"/>
  <c r="AY16" i="105"/>
  <c r="AX16" i="105"/>
  <c r="AY15" i="105"/>
  <c r="AX15" i="105"/>
  <c r="AY14" i="105"/>
  <c r="AX14" i="105"/>
  <c r="O53" i="104"/>
  <c r="O52" i="104"/>
  <c r="DA59" i="118"/>
  <c r="DA58" i="118"/>
  <c r="DA57" i="118"/>
  <c r="DA56" i="118"/>
  <c r="DA55" i="118"/>
  <c r="DA54" i="118"/>
  <c r="E19" i="125"/>
  <c r="E18" i="125"/>
  <c r="E17" i="125"/>
  <c r="E16" i="125"/>
  <c r="E15" i="125"/>
  <c r="E14" i="125"/>
  <c r="C56" i="43"/>
  <c r="C55" i="43"/>
  <c r="C54" i="43"/>
  <c r="C53" i="43"/>
  <c r="C52" i="43"/>
  <c r="C51" i="43"/>
  <c r="CW19" i="118"/>
  <c r="CW14" i="118"/>
  <c r="CX13" i="118"/>
  <c r="D15" i="115"/>
  <c r="E14" i="115"/>
  <c r="E13" i="115"/>
  <c r="D16" i="110"/>
  <c r="C16" i="110"/>
  <c r="E15" i="110"/>
  <c r="C15" i="110"/>
  <c r="C30" i="105" l="1"/>
  <c r="A7" i="108" l="1"/>
  <c r="R4" i="105" l="1"/>
  <c r="AN16" i="105" l="1"/>
  <c r="A47" i="118"/>
  <c r="A48" i="118" s="1"/>
  <c r="A49" i="118" s="1"/>
  <c r="A42" i="118"/>
  <c r="A43" i="118"/>
  <c r="A44" i="118"/>
  <c r="A45" i="118"/>
  <c r="A46" i="118" s="1"/>
  <c r="AO16" i="105" l="1"/>
  <c r="CJ21" i="118"/>
  <c r="CJ22" i="118"/>
  <c r="CJ23" i="118"/>
  <c r="CJ24" i="118"/>
  <c r="CJ25" i="118" s="1"/>
  <c r="BF22" i="105" l="1"/>
  <c r="BF21" i="105"/>
  <c r="AL26" i="105" l="1"/>
  <c r="AL27" i="105"/>
  <c r="AL28" i="105" s="1"/>
  <c r="AL16" i="105"/>
  <c r="AL17" i="105"/>
  <c r="AL18" i="105"/>
  <c r="AL19" i="105"/>
  <c r="AL20" i="105" s="1"/>
  <c r="AL21" i="105" s="1"/>
  <c r="AL22" i="105" s="1"/>
  <c r="AG21" i="105"/>
  <c r="AG22" i="105"/>
  <c r="AB21" i="105"/>
  <c r="AB22" i="105" s="1"/>
  <c r="AB23" i="105" s="1"/>
  <c r="AB24" i="105" s="1"/>
  <c r="AB25" i="105" s="1"/>
  <c r="AB26" i="105" s="1"/>
  <c r="AB27" i="105" s="1"/>
  <c r="AB28" i="105" s="1"/>
  <c r="K21" i="105"/>
  <c r="K22" i="105"/>
  <c r="K23" i="105"/>
  <c r="K24" i="105"/>
  <c r="K25" i="105" s="1"/>
  <c r="K26" i="105" s="1"/>
  <c r="K27" i="105" s="1"/>
  <c r="K28" i="105" s="1"/>
  <c r="K29" i="105" s="1"/>
  <c r="K30" i="105" s="1"/>
  <c r="K31" i="105" s="1"/>
  <c r="F22" i="105"/>
  <c r="F23" i="105" s="1"/>
  <c r="F24" i="105" s="1"/>
  <c r="F25" i="105" s="1"/>
  <c r="F26" i="105" s="1"/>
  <c r="F27" i="105" s="1"/>
  <c r="F28" i="105" s="1"/>
  <c r="F29" i="105" s="1"/>
  <c r="F30" i="105" s="1"/>
  <c r="C79" i="134" l="1"/>
  <c r="C81" i="134"/>
  <c r="L4" i="104" l="1"/>
  <c r="AO15" i="105" l="1"/>
  <c r="CI14" i="118"/>
  <c r="BA14" i="105"/>
  <c r="BA15" i="105" s="1"/>
  <c r="BA16" i="105" s="1"/>
  <c r="BA17" i="105" s="1"/>
  <c r="BA18" i="105" s="1"/>
  <c r="BA19" i="105" s="1"/>
  <c r="BA20" i="105" s="1"/>
  <c r="BA21" i="105" s="1"/>
  <c r="BA22" i="105" s="1"/>
  <c r="BA23" i="105" s="1"/>
  <c r="BA24" i="105" s="1"/>
  <c r="BA25" i="105" s="1"/>
  <c r="BA26" i="105" s="1"/>
  <c r="CH14" i="118" l="1"/>
  <c r="C7" i="134"/>
  <c r="C8" i="134"/>
  <c r="C63" i="134" s="1"/>
  <c r="C67" i="134" s="1"/>
  <c r="D9" i="134"/>
  <c r="D10" i="134"/>
  <c r="D11" i="134"/>
  <c r="D12" i="134"/>
  <c r="D13" i="134"/>
  <c r="D14" i="134"/>
  <c r="D15" i="134"/>
  <c r="D16" i="134"/>
  <c r="D17" i="134"/>
  <c r="D18" i="134"/>
  <c r="D19" i="134"/>
  <c r="D20" i="134"/>
  <c r="D21" i="134"/>
  <c r="D22" i="134"/>
  <c r="D23" i="134"/>
  <c r="D24" i="134"/>
  <c r="D25" i="134"/>
  <c r="D26" i="134"/>
  <c r="D27" i="134"/>
  <c r="D28" i="134"/>
  <c r="D29" i="134"/>
  <c r="D30" i="134"/>
  <c r="D31" i="134"/>
  <c r="D32" i="134"/>
  <c r="D33" i="134"/>
  <c r="D34" i="134"/>
  <c r="D35" i="134"/>
  <c r="D36" i="134"/>
  <c r="D37" i="134"/>
  <c r="D38" i="134"/>
  <c r="D39" i="134"/>
  <c r="D40" i="134"/>
  <c r="D41" i="134"/>
  <c r="D42" i="134"/>
  <c r="D43" i="134"/>
  <c r="D44" i="134"/>
  <c r="D45" i="134"/>
  <c r="D46" i="134"/>
  <c r="D47" i="134"/>
  <c r="D48" i="134"/>
  <c r="D49" i="134"/>
  <c r="D50" i="134"/>
  <c r="D51" i="134"/>
  <c r="D52" i="134"/>
  <c r="D53" i="134"/>
  <c r="D54" i="134"/>
  <c r="D55" i="134"/>
  <c r="D59" i="134"/>
  <c r="C60" i="134"/>
  <c r="C61" i="134"/>
  <c r="E62" i="134"/>
  <c r="E63" i="134" s="1"/>
  <c r="E64" i="134" s="1"/>
  <c r="G16" i="125" l="1"/>
  <c r="G17" i="125" s="1"/>
  <c r="G18" i="125" s="1"/>
  <c r="M15" i="105" l="1"/>
  <c r="K14" i="105" l="1"/>
  <c r="K15" i="105" s="1"/>
  <c r="K16" i="105" s="1"/>
  <c r="K17" i="105" s="1"/>
  <c r="K18" i="105" s="1"/>
  <c r="K19" i="105" s="1"/>
  <c r="K20" i="105" s="1"/>
  <c r="AP24" i="105" l="1"/>
  <c r="M26" i="104" l="1"/>
  <c r="AN13" i="118" l="1"/>
  <c r="AN14" i="118" s="1"/>
  <c r="AN15" i="118" s="1"/>
  <c r="AN16" i="118" s="1"/>
  <c r="AN17" i="118" s="1"/>
  <c r="AN18" i="118" s="1"/>
  <c r="AN19" i="118" s="1"/>
  <c r="AN20" i="118" s="1"/>
  <c r="N39" i="104" l="1"/>
  <c r="L8" i="125" l="1"/>
  <c r="J41" i="43" l="1"/>
  <c r="J38" i="43"/>
  <c r="J24" i="43"/>
  <c r="O4" i="125" l="1"/>
  <c r="D15" i="110" l="1"/>
  <c r="D20" i="110" s="1"/>
  <c r="K4" i="125" l="1"/>
  <c r="F4" i="125"/>
  <c r="H40" i="124"/>
  <c r="H38" i="124"/>
  <c r="H37" i="124"/>
  <c r="H36" i="124"/>
  <c r="H35" i="124"/>
  <c r="H34" i="124"/>
  <c r="H32" i="124"/>
  <c r="H31" i="124"/>
  <c r="H30" i="124"/>
  <c r="H29" i="124"/>
  <c r="H28" i="124"/>
  <c r="H27" i="124"/>
  <c r="H26" i="124"/>
  <c r="H23" i="124"/>
  <c r="H22" i="124"/>
  <c r="H21" i="124"/>
  <c r="H20" i="124"/>
  <c r="H14" i="124"/>
  <c r="H13" i="124"/>
  <c r="H12" i="124"/>
  <c r="H11" i="124"/>
  <c r="E24" i="124"/>
  <c r="E41" i="124" s="1"/>
  <c r="E15" i="124"/>
  <c r="AZ52" i="105"/>
  <c r="AZ51" i="105"/>
  <c r="AZ50" i="105"/>
  <c r="AZ49" i="105"/>
  <c r="AZ48" i="105"/>
  <c r="AZ47" i="105"/>
  <c r="AZ46" i="105"/>
  <c r="AZ45" i="105"/>
  <c r="AZ43" i="105"/>
  <c r="AY53" i="105"/>
  <c r="AX53" i="105"/>
  <c r="AY33" i="105"/>
  <c r="AV14" i="105"/>
  <c r="AV15" i="105" s="1"/>
  <c r="AV16" i="105" s="1"/>
  <c r="AV17" i="105" s="1"/>
  <c r="AV18" i="105" s="1"/>
  <c r="AV19" i="105" s="1"/>
  <c r="AV20" i="105" s="1"/>
  <c r="AV21" i="105" s="1"/>
  <c r="AV22" i="105" s="1"/>
  <c r="AV23" i="105" s="1"/>
  <c r="AV24" i="105" s="1"/>
  <c r="AV25" i="105" s="1"/>
  <c r="AV26" i="105" s="1"/>
  <c r="AV27" i="105" s="1"/>
  <c r="AV28" i="105" s="1"/>
  <c r="AV29" i="105" s="1"/>
  <c r="AV30" i="105" s="1"/>
  <c r="AV31" i="105" s="1"/>
  <c r="AV32" i="105" s="1"/>
  <c r="AV33" i="105" s="1"/>
  <c r="AV34" i="105" s="1"/>
  <c r="AV35" i="105" s="1"/>
  <c r="AV36" i="105" s="1"/>
  <c r="AV37" i="105" s="1"/>
  <c r="AV38" i="105" s="1"/>
  <c r="AV39" i="105" s="1"/>
  <c r="AV40" i="105" s="1"/>
  <c r="AV41" i="105" s="1"/>
  <c r="AV42" i="105" s="1"/>
  <c r="AV43" i="105" s="1"/>
  <c r="AV44" i="105" s="1"/>
  <c r="AV45" i="105" s="1"/>
  <c r="AV46" i="105" s="1"/>
  <c r="AV47" i="105" s="1"/>
  <c r="AV48" i="105" s="1"/>
  <c r="AV49" i="105" s="1"/>
  <c r="AV50" i="105" s="1"/>
  <c r="AV51" i="105" s="1"/>
  <c r="AV52" i="105" s="1"/>
  <c r="AV53" i="105" s="1"/>
  <c r="AV54" i="105" s="1"/>
  <c r="AV55" i="105" s="1"/>
  <c r="AV56" i="105" s="1"/>
  <c r="AV57" i="105" s="1"/>
  <c r="AV58" i="105" s="1"/>
  <c r="AV59" i="105" s="1"/>
  <c r="AV60" i="105" s="1"/>
  <c r="AV61" i="105" s="1"/>
  <c r="AV62" i="105" s="1"/>
  <c r="AV63" i="105" s="1"/>
  <c r="AV64" i="105" s="1"/>
  <c r="AV65" i="105" s="1"/>
  <c r="BJ4" i="105"/>
  <c r="BE4" i="105"/>
  <c r="E43" i="124" l="1"/>
  <c r="O35" i="104"/>
  <c r="O36" i="104"/>
  <c r="AZ14" i="105"/>
  <c r="AZ40" i="105"/>
  <c r="AZ53" i="105" s="1"/>
  <c r="AZ57" i="105" s="1"/>
  <c r="AZ59" i="105" l="1"/>
  <c r="O39" i="104" s="1"/>
  <c r="AZ61" i="105" l="1"/>
  <c r="BA8" i="105"/>
  <c r="BJ20" i="105"/>
  <c r="Q36" i="104" s="1"/>
  <c r="BH22" i="105"/>
  <c r="BJ15" i="105"/>
  <c r="BJ14" i="105"/>
  <c r="BI16" i="105"/>
  <c r="BH16" i="105"/>
  <c r="BF14" i="105"/>
  <c r="BF15" i="105" s="1"/>
  <c r="BF16" i="105" s="1"/>
  <c r="BF17" i="105" s="1"/>
  <c r="BF18" i="105" s="1"/>
  <c r="BF19" i="105" s="1"/>
  <c r="BF20" i="105" s="1"/>
  <c r="BF23" i="105" s="1"/>
  <c r="BF24" i="105" s="1"/>
  <c r="BF25" i="105" s="1"/>
  <c r="AZ4" i="105"/>
  <c r="AU4" i="105"/>
  <c r="O24" i="104"/>
  <c r="O15" i="104"/>
  <c r="N56" i="104"/>
  <c r="N45" i="104"/>
  <c r="N24" i="104"/>
  <c r="N15" i="104"/>
  <c r="AT19" i="105"/>
  <c r="AT16" i="105"/>
  <c r="AQ13" i="105"/>
  <c r="AQ14" i="105" s="1"/>
  <c r="AQ15" i="105" s="1"/>
  <c r="AQ16" i="105" s="1"/>
  <c r="AQ17" i="105" s="1"/>
  <c r="AQ18" i="105" s="1"/>
  <c r="AQ19" i="105" s="1"/>
  <c r="AU22" i="105" l="1"/>
  <c r="AU24" i="105" s="1"/>
  <c r="N38" i="104" s="1"/>
  <c r="AQ20" i="105"/>
  <c r="AQ21" i="105" s="1"/>
  <c r="AQ22" i="105" s="1"/>
  <c r="AQ23" i="105" s="1"/>
  <c r="AQ24" i="105" s="1"/>
  <c r="AQ25" i="105" s="1"/>
  <c r="AQ26" i="105" s="1"/>
  <c r="AQ27" i="105" s="1"/>
  <c r="BJ16" i="105"/>
  <c r="BJ22" i="105"/>
  <c r="BJ24" i="105" s="1"/>
  <c r="BI22" i="105"/>
  <c r="O41" i="104"/>
  <c r="O43" i="104" s="1"/>
  <c r="AZ1" i="105" l="1"/>
  <c r="N41" i="104"/>
  <c r="N43" i="104" s="1"/>
  <c r="BJ25" i="105"/>
  <c r="Q39" i="104"/>
  <c r="AU27" i="105"/>
  <c r="AU1" i="105" l="1"/>
  <c r="BD25" i="105" l="1"/>
  <c r="BE19" i="105" l="1"/>
  <c r="BC16" i="105"/>
  <c r="BE23" i="105" l="1"/>
  <c r="BE25" i="105" s="1"/>
  <c r="P35" i="104"/>
  <c r="BE26" i="105" l="1"/>
  <c r="BE15" i="105"/>
  <c r="BE14" i="105"/>
  <c r="BE16" i="105" l="1"/>
  <c r="BD16" i="105"/>
  <c r="P52" i="104" l="1"/>
  <c r="P53" i="104"/>
  <c r="P39" i="104" l="1"/>
  <c r="P56" i="104" l="1"/>
  <c r="AV7" i="105" l="1"/>
  <c r="AV8" i="105"/>
  <c r="BA7" i="105"/>
  <c r="AB7" i="105"/>
  <c r="AB8" i="105"/>
  <c r="AQ8" i="105" l="1"/>
  <c r="AL8" i="105"/>
  <c r="Q56" i="104" l="1"/>
  <c r="P45" i="104"/>
  <c r="Q24" i="104"/>
  <c r="P24" i="104"/>
  <c r="Q15" i="104"/>
  <c r="P15" i="104"/>
  <c r="Q45" i="104" l="1"/>
  <c r="P41" i="104"/>
  <c r="P43" i="104" s="1"/>
  <c r="Q41" i="104"/>
  <c r="Q43" i="104" s="1"/>
  <c r="BJ1" i="105" l="1"/>
  <c r="BE1" i="105"/>
  <c r="D17" i="105" l="1"/>
  <c r="Q19" i="105" l="1"/>
  <c r="G40" i="104"/>
  <c r="O14" i="105" l="1"/>
  <c r="O15" i="105" s="1"/>
  <c r="O16" i="105" s="1"/>
  <c r="O17" i="105" s="1"/>
  <c r="O18" i="105" s="1"/>
  <c r="O19" i="105" s="1"/>
  <c r="O20" i="105" s="1"/>
  <c r="O21" i="105" s="1"/>
  <c r="O22" i="105" s="1"/>
  <c r="O23" i="105" s="1"/>
  <c r="O8" i="105"/>
  <c r="O7" i="105"/>
  <c r="H56" i="104"/>
  <c r="H24" i="104"/>
  <c r="H15" i="104"/>
  <c r="H45" i="104" l="1"/>
  <c r="L14" i="125" l="1"/>
  <c r="L15" i="125" s="1"/>
  <c r="L16" i="125" s="1"/>
  <c r="L17" i="125" s="1"/>
  <c r="L18" i="125" s="1"/>
  <c r="L19" i="125" s="1"/>
  <c r="L20" i="125" s="1"/>
  <c r="L21" i="125" s="1"/>
  <c r="L22" i="125" s="1"/>
  <c r="L23" i="125" s="1"/>
  <c r="L7" i="125"/>
  <c r="B14" i="125" l="1"/>
  <c r="B15" i="125" s="1"/>
  <c r="B16" i="125" s="1"/>
  <c r="B17" i="125" s="1"/>
  <c r="B18" i="125" s="1"/>
  <c r="B19" i="125" s="1"/>
  <c r="B20" i="125" s="1"/>
  <c r="G14" i="125"/>
  <c r="G15" i="125" s="1"/>
  <c r="G19" i="125" s="1"/>
  <c r="G20" i="125" s="1"/>
  <c r="G21" i="125" s="1"/>
  <c r="G22" i="125" s="1"/>
  <c r="G23" i="125" s="1"/>
  <c r="G24" i="125" s="1"/>
  <c r="G25" i="125" s="1"/>
  <c r="G26" i="125" s="1"/>
  <c r="G27" i="125" s="1"/>
  <c r="G28" i="125" s="1"/>
  <c r="G29" i="125" s="1"/>
  <c r="G8" i="125"/>
  <c r="G7" i="125"/>
  <c r="A11" i="124" l="1"/>
  <c r="A12" i="124" s="1"/>
  <c r="A13" i="124" s="1"/>
  <c r="A14" i="124" s="1"/>
  <c r="A15" i="124" s="1"/>
  <c r="A16" i="124" s="1"/>
  <c r="A17" i="124" s="1"/>
  <c r="A18" i="124" s="1"/>
  <c r="A19" i="124" s="1"/>
  <c r="A20" i="124" s="1"/>
  <c r="A21" i="124" s="1"/>
  <c r="A22" i="124" s="1"/>
  <c r="A23" i="124" s="1"/>
  <c r="A24" i="124" s="1"/>
  <c r="A25" i="124" s="1"/>
  <c r="A26" i="124" s="1"/>
  <c r="A27" i="124" s="1"/>
  <c r="A28" i="124" s="1"/>
  <c r="A29" i="124" s="1"/>
  <c r="A30" i="124" s="1"/>
  <c r="A31" i="124" s="1"/>
  <c r="A32" i="124" s="1"/>
  <c r="A33" i="124" s="1"/>
  <c r="A34" i="124" s="1"/>
  <c r="A35" i="124" s="1"/>
  <c r="A36" i="124" s="1"/>
  <c r="A37" i="124" s="1"/>
  <c r="A38" i="124" s="1"/>
  <c r="A39" i="124" s="1"/>
  <c r="A40" i="124" s="1"/>
  <c r="A41" i="124" s="1"/>
  <c r="A42" i="124" s="1"/>
  <c r="A43" i="124" s="1"/>
  <c r="A44" i="124" s="1"/>
  <c r="A45" i="124" s="1"/>
  <c r="A46" i="124" s="1"/>
  <c r="A47" i="124" s="1"/>
  <c r="A48" i="124" s="1"/>
  <c r="A49" i="124" s="1"/>
  <c r="A50" i="124" s="1"/>
  <c r="A51" i="124" s="1"/>
  <c r="A52" i="124" s="1"/>
  <c r="A53" i="124" s="1"/>
  <c r="A54" i="124" s="1"/>
  <c r="A55" i="124" s="1"/>
  <c r="A56" i="124" s="1"/>
  <c r="F15" i="124"/>
  <c r="G15" i="124"/>
  <c r="F24" i="124"/>
  <c r="G24" i="124"/>
  <c r="G56" i="124"/>
  <c r="G45" i="124" s="1"/>
  <c r="H24" i="124" l="1"/>
  <c r="H15" i="124"/>
  <c r="F41" i="43" l="1"/>
  <c r="F39" i="43"/>
  <c r="F38" i="43"/>
  <c r="F37" i="43"/>
  <c r="F36" i="43"/>
  <c r="F35" i="43"/>
  <c r="F33" i="43"/>
  <c r="F32" i="43"/>
  <c r="F31" i="43"/>
  <c r="F30" i="43"/>
  <c r="F29" i="43"/>
  <c r="F28" i="43"/>
  <c r="F27" i="43"/>
  <c r="F24" i="43"/>
  <c r="F23" i="43"/>
  <c r="F22" i="43"/>
  <c r="F21" i="43"/>
  <c r="F15" i="43"/>
  <c r="F14" i="43"/>
  <c r="F13" i="43"/>
  <c r="F12" i="43"/>
  <c r="O14" i="118" l="1"/>
  <c r="J22" i="125"/>
  <c r="N22" i="125"/>
  <c r="L46" i="43"/>
  <c r="L35" i="118" l="1"/>
  <c r="N17" i="125" l="1"/>
  <c r="D47" i="43" l="1"/>
  <c r="F25" i="43"/>
  <c r="F16" i="43"/>
  <c r="Q15" i="105" l="1"/>
  <c r="AP4" i="105"/>
  <c r="AL14" i="105" l="1"/>
  <c r="AL15" i="105" s="1"/>
  <c r="AL23" i="105" s="1"/>
  <c r="AL24" i="105" s="1"/>
  <c r="AL25" i="105" s="1"/>
  <c r="AC24" i="118" l="1"/>
  <c r="AC17" i="118"/>
  <c r="AC26" i="118" l="1"/>
  <c r="AD26" i="118" s="1"/>
  <c r="AC19" i="118"/>
  <c r="AD19" i="118" s="1"/>
  <c r="AD28" i="118" l="1"/>
  <c r="AB30" i="118" l="1"/>
  <c r="AD30" i="118" s="1"/>
  <c r="AD31" i="118" s="1"/>
  <c r="M56" i="104" l="1"/>
  <c r="R55" i="104"/>
  <c r="R54" i="104"/>
  <c r="R50" i="104"/>
  <c r="R40" i="104"/>
  <c r="R37" i="104"/>
  <c r="H38" i="43" s="1"/>
  <c r="R34" i="104"/>
  <c r="R31" i="104"/>
  <c r="R30" i="104"/>
  <c r="R28" i="104"/>
  <c r="R27" i="104"/>
  <c r="R26" i="104"/>
  <c r="R23" i="104"/>
  <c r="M45" i="104" l="1"/>
  <c r="D4" i="104"/>
  <c r="D26" i="105" l="1"/>
  <c r="A14" i="105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  <c r="A29" i="105" s="1"/>
  <c r="E25" i="105"/>
  <c r="C26" i="105" l="1"/>
  <c r="A30" i="105" l="1"/>
  <c r="A31" i="105" s="1"/>
  <c r="A32" i="105" s="1"/>
  <c r="A33" i="105" s="1"/>
  <c r="A34" i="105" s="1"/>
  <c r="A35" i="105" s="1"/>
  <c r="A36" i="105" s="1"/>
  <c r="A37" i="105" s="1"/>
  <c r="A38" i="105" s="1"/>
  <c r="A39" i="105" s="1"/>
  <c r="A40" i="105" s="1"/>
  <c r="L57" i="43" l="1"/>
  <c r="A6" i="45"/>
  <c r="G3" i="118" l="1"/>
  <c r="M4" i="118"/>
  <c r="Q4" i="118"/>
  <c r="U4" i="118"/>
  <c r="Z4" i="118"/>
  <c r="AE4" i="118"/>
  <c r="AN4" i="118"/>
  <c r="AS4" i="118"/>
  <c r="AW4" i="118"/>
  <c r="BB4" i="118"/>
  <c r="BF4" i="118"/>
  <c r="BK4" i="118"/>
  <c r="BP4" i="118"/>
  <c r="BU4" i="118"/>
  <c r="BZ4" i="118"/>
  <c r="CE4" i="118"/>
  <c r="CJ4" i="118"/>
  <c r="CO4" i="118"/>
  <c r="CT4" i="118"/>
  <c r="CY4" i="118"/>
  <c r="DH4" i="118"/>
  <c r="DQ4" i="118"/>
  <c r="DZ5" i="118"/>
  <c r="H6" i="118"/>
  <c r="M6" i="118"/>
  <c r="Q6" i="118"/>
  <c r="U6" i="118"/>
  <c r="Z6" i="118"/>
  <c r="AE6" i="118"/>
  <c r="AN6" i="118"/>
  <c r="AS6" i="118"/>
  <c r="AW6" i="118"/>
  <c r="BB6" i="118"/>
  <c r="BF6" i="118"/>
  <c r="BK6" i="118"/>
  <c r="BP6" i="118"/>
  <c r="BU6" i="118"/>
  <c r="BZ6" i="118"/>
  <c r="CE6" i="118"/>
  <c r="CJ6" i="118"/>
  <c r="CO6" i="118"/>
  <c r="CT6" i="118"/>
  <c r="CY6" i="118"/>
  <c r="DH6" i="118"/>
  <c r="DQ6" i="118"/>
  <c r="M7" i="118"/>
  <c r="Q7" i="118"/>
  <c r="U7" i="118"/>
  <c r="Z7" i="118"/>
  <c r="AE7" i="118"/>
  <c r="AN7" i="118"/>
  <c r="AS7" i="118"/>
  <c r="AW7" i="118"/>
  <c r="BB7" i="118"/>
  <c r="BF7" i="118"/>
  <c r="BK7" i="118"/>
  <c r="BP7" i="118"/>
  <c r="BU7" i="118"/>
  <c r="BZ7" i="118"/>
  <c r="CE7" i="118"/>
  <c r="CJ7" i="118"/>
  <c r="CO7" i="118"/>
  <c r="CT7" i="118"/>
  <c r="CY7" i="118"/>
  <c r="DH7" i="118"/>
  <c r="DQ7" i="118"/>
  <c r="DZ7" i="118"/>
  <c r="DZ8" i="118"/>
  <c r="A12" i="118"/>
  <c r="A13" i="118" s="1"/>
  <c r="A14" i="118" s="1"/>
  <c r="A15" i="118" s="1"/>
  <c r="A16" i="118" s="1"/>
  <c r="A17" i="118" s="1"/>
  <c r="A18" i="118" s="1"/>
  <c r="A19" i="118" s="1"/>
  <c r="A20" i="118" s="1"/>
  <c r="A21" i="118" s="1"/>
  <c r="A22" i="118" s="1"/>
  <c r="A23" i="118" s="1"/>
  <c r="A24" i="118" s="1"/>
  <c r="A25" i="118" s="1"/>
  <c r="A26" i="118" s="1"/>
  <c r="A27" i="118" s="1"/>
  <c r="A28" i="118" s="1"/>
  <c r="A29" i="118" s="1"/>
  <c r="A30" i="118" s="1"/>
  <c r="A31" i="118" s="1"/>
  <c r="A32" i="118" s="1"/>
  <c r="H12" i="118"/>
  <c r="H13" i="118" s="1"/>
  <c r="H14" i="118" s="1"/>
  <c r="H15" i="118" s="1"/>
  <c r="H16" i="118" s="1"/>
  <c r="H17" i="118" s="1"/>
  <c r="H18" i="118" s="1"/>
  <c r="H19" i="118" s="1"/>
  <c r="H20" i="118" s="1"/>
  <c r="H21" i="118" s="1"/>
  <c r="H22" i="118" s="1"/>
  <c r="H23" i="118" s="1"/>
  <c r="H24" i="118" s="1"/>
  <c r="H25" i="118" s="1"/>
  <c r="H26" i="118" s="1"/>
  <c r="H27" i="118" s="1"/>
  <c r="H28" i="118" s="1"/>
  <c r="H29" i="118" s="1"/>
  <c r="H30" i="118" s="1"/>
  <c r="H31" i="118" s="1"/>
  <c r="H32" i="118" s="1"/>
  <c r="H33" i="118" s="1"/>
  <c r="H34" i="118" s="1"/>
  <c r="H35" i="118" s="1"/>
  <c r="H36" i="118" s="1"/>
  <c r="H37" i="118" s="1"/>
  <c r="H38" i="118" s="1"/>
  <c r="H39" i="118" s="1"/>
  <c r="H40" i="118" s="1"/>
  <c r="H41" i="118" s="1"/>
  <c r="AL12" i="118"/>
  <c r="AM12" i="118" s="1"/>
  <c r="BA12" i="118"/>
  <c r="BA14" i="118" s="1"/>
  <c r="BO12" i="118"/>
  <c r="BW12" i="118"/>
  <c r="CJ12" i="118"/>
  <c r="CJ13" i="118" s="1"/>
  <c r="CJ14" i="118" s="1"/>
  <c r="CJ15" i="118" s="1"/>
  <c r="CJ16" i="118" s="1"/>
  <c r="CJ17" i="118" s="1"/>
  <c r="CJ18" i="118" s="1"/>
  <c r="CJ19" i="118" s="1"/>
  <c r="CJ20" i="118" s="1"/>
  <c r="DC12" i="118"/>
  <c r="M13" i="118"/>
  <c r="M14" i="118" s="1"/>
  <c r="M15" i="118" s="1"/>
  <c r="M16" i="118" s="1"/>
  <c r="M17" i="118" s="1"/>
  <c r="M18" i="118" s="1"/>
  <c r="M19" i="118" s="1"/>
  <c r="M20" i="118" s="1"/>
  <c r="M21" i="118" s="1"/>
  <c r="M22" i="118" s="1"/>
  <c r="M23" i="118" s="1"/>
  <c r="M24" i="118" s="1"/>
  <c r="M25" i="118" s="1"/>
  <c r="M26" i="118" s="1"/>
  <c r="M27" i="118" s="1"/>
  <c r="M28" i="118" s="1"/>
  <c r="M29" i="118" s="1"/>
  <c r="Q13" i="118"/>
  <c r="Q14" i="118" s="1"/>
  <c r="Q15" i="118" s="1"/>
  <c r="Q16" i="118" s="1"/>
  <c r="Q17" i="118" s="1"/>
  <c r="Q18" i="118" s="1"/>
  <c r="Q19" i="118" s="1"/>
  <c r="Q20" i="118" s="1"/>
  <c r="Q21" i="118" s="1"/>
  <c r="Q22" i="118" s="1"/>
  <c r="Q23" i="118" s="1"/>
  <c r="Q24" i="118" s="1"/>
  <c r="U13" i="118"/>
  <c r="AL13" i="118"/>
  <c r="AM13" i="118" s="1"/>
  <c r="AW13" i="118"/>
  <c r="AW14" i="118" s="1"/>
  <c r="AW15" i="118" s="1"/>
  <c r="AW16" i="118" s="1"/>
  <c r="AW17" i="118" s="1"/>
  <c r="AW18" i="118" s="1"/>
  <c r="AW19" i="118" s="1"/>
  <c r="AW20" i="118" s="1"/>
  <c r="BB13" i="118"/>
  <c r="BB14" i="118" s="1"/>
  <c r="BB15" i="118" s="1"/>
  <c r="BF13" i="118"/>
  <c r="BF14" i="118" s="1"/>
  <c r="BF15" i="118" s="1"/>
  <c r="BF16" i="118" s="1"/>
  <c r="BF17" i="118" s="1"/>
  <c r="BF18" i="118" s="1"/>
  <c r="BF19" i="118" s="1"/>
  <c r="BK13" i="118"/>
  <c r="BK14" i="118" s="1"/>
  <c r="BK15" i="118" s="1"/>
  <c r="BK16" i="118" s="1"/>
  <c r="BK17" i="118" s="1"/>
  <c r="BK18" i="118" s="1"/>
  <c r="BK19" i="118" s="1"/>
  <c r="BP13" i="118"/>
  <c r="BP14" i="118" s="1"/>
  <c r="BP15" i="118" s="1"/>
  <c r="BP16" i="118" s="1"/>
  <c r="BP17" i="118" s="1"/>
  <c r="BP18" i="118" s="1"/>
  <c r="BP19" i="118" s="1"/>
  <c r="BP20" i="118" s="1"/>
  <c r="BP21" i="118" s="1"/>
  <c r="BP22" i="118" s="1"/>
  <c r="BP23" i="118" s="1"/>
  <c r="BT13" i="118"/>
  <c r="DS30" i="118" s="1"/>
  <c r="BU13" i="118"/>
  <c r="BU14" i="118" s="1"/>
  <c r="BU15" i="118" s="1"/>
  <c r="BU16" i="118" s="1"/>
  <c r="BU17" i="118" s="1"/>
  <c r="BU18" i="118" s="1"/>
  <c r="BU19" i="118" s="1"/>
  <c r="BU20" i="118" s="1"/>
  <c r="BZ13" i="118"/>
  <c r="CD13" i="118"/>
  <c r="CE13" i="118"/>
  <c r="CO13" i="118"/>
  <c r="E14" i="118"/>
  <c r="F14" i="118" s="1"/>
  <c r="U14" i="118"/>
  <c r="U15" i="118" s="1"/>
  <c r="U16" i="118" s="1"/>
  <c r="U17" i="118" s="1"/>
  <c r="U18" i="118" s="1"/>
  <c r="U19" i="118" s="1"/>
  <c r="U20" i="118" s="1"/>
  <c r="U21" i="118" s="1"/>
  <c r="U22" i="118" s="1"/>
  <c r="U23" i="118" s="1"/>
  <c r="U24" i="118" s="1"/>
  <c r="U25" i="118" s="1"/>
  <c r="U26" i="118" s="1"/>
  <c r="U27" i="118" s="1"/>
  <c r="U28" i="118" s="1"/>
  <c r="U29" i="118" s="1"/>
  <c r="U30" i="118" s="1"/>
  <c r="U31" i="118" s="1"/>
  <c r="U32" i="118" s="1"/>
  <c r="U33" i="118" s="1"/>
  <c r="U34" i="118" s="1"/>
  <c r="U35" i="118" s="1"/>
  <c r="U36" i="118" s="1"/>
  <c r="U37" i="118" s="1"/>
  <c r="U38" i="118" s="1"/>
  <c r="U39" i="118" s="1"/>
  <c r="U40" i="118" s="1"/>
  <c r="U41" i="118" s="1"/>
  <c r="U42" i="118" s="1"/>
  <c r="U43" i="118" s="1"/>
  <c r="U44" i="118" s="1"/>
  <c r="U45" i="118" s="1"/>
  <c r="U46" i="118" s="1"/>
  <c r="U47" i="118" s="1"/>
  <c r="U48" i="118" s="1"/>
  <c r="U49" i="118" s="1"/>
  <c r="AL14" i="118"/>
  <c r="AM14" i="118" s="1"/>
  <c r="AV14" i="118"/>
  <c r="DL42" i="118" s="1"/>
  <c r="AY14" i="118"/>
  <c r="AZ14" i="118"/>
  <c r="BT14" i="118"/>
  <c r="BX14" i="118"/>
  <c r="BZ14" i="118"/>
  <c r="BZ15" i="118" s="1"/>
  <c r="BZ16" i="118" s="1"/>
  <c r="BZ17" i="118" s="1"/>
  <c r="BZ18" i="118" s="1"/>
  <c r="BZ19" i="118" s="1"/>
  <c r="BZ20" i="118" s="1"/>
  <c r="BZ21" i="118" s="1"/>
  <c r="BZ22" i="118" s="1"/>
  <c r="BZ23" i="118" s="1"/>
  <c r="BZ24" i="118" s="1"/>
  <c r="BZ25" i="118" s="1"/>
  <c r="BZ26" i="118" s="1"/>
  <c r="BZ27" i="118" s="1"/>
  <c r="BZ28" i="118" s="1"/>
  <c r="BZ29" i="118" s="1"/>
  <c r="BZ30" i="118" s="1"/>
  <c r="CD14" i="118"/>
  <c r="CE14" i="118"/>
  <c r="CE15" i="118" s="1"/>
  <c r="CE16" i="118" s="1"/>
  <c r="CE17" i="118" s="1"/>
  <c r="CE18" i="118" s="1"/>
  <c r="CE19" i="118" s="1"/>
  <c r="CE20" i="118" s="1"/>
  <c r="CE21" i="118" s="1"/>
  <c r="CE22" i="118" s="1"/>
  <c r="CE23" i="118" s="1"/>
  <c r="CE24" i="118" s="1"/>
  <c r="CO14" i="118"/>
  <c r="CO15" i="118" s="1"/>
  <c r="CO16" i="118" s="1"/>
  <c r="CO17" i="118" s="1"/>
  <c r="CO18" i="118" s="1"/>
  <c r="CO19" i="118" s="1"/>
  <c r="CO20" i="118" s="1"/>
  <c r="CO21" i="118" s="1"/>
  <c r="CO22" i="118" s="1"/>
  <c r="CO23" i="118" s="1"/>
  <c r="CO24" i="118" s="1"/>
  <c r="CS14" i="118"/>
  <c r="CU14" i="118"/>
  <c r="E15" i="118"/>
  <c r="F15" i="118" s="1"/>
  <c r="BE15" i="118"/>
  <c r="CD15" i="118"/>
  <c r="CN15" i="118"/>
  <c r="CS15" i="118"/>
  <c r="CY15" i="118"/>
  <c r="DC15" i="118"/>
  <c r="DH15" i="118"/>
  <c r="DH16" i="118" s="1"/>
  <c r="DH17" i="118" s="1"/>
  <c r="DH18" i="118" s="1"/>
  <c r="DH19" i="118" s="1"/>
  <c r="DH20" i="118" s="1"/>
  <c r="DH21" i="118" s="1"/>
  <c r="DH22" i="118" s="1"/>
  <c r="DH23" i="118" s="1"/>
  <c r="DH24" i="118" s="1"/>
  <c r="DQ15" i="118"/>
  <c r="DQ16" i="118" s="1"/>
  <c r="DQ17" i="118" s="1"/>
  <c r="DZ15" i="118"/>
  <c r="DZ16" i="118" s="1"/>
  <c r="DZ17" i="118" s="1"/>
  <c r="DZ18" i="118" s="1"/>
  <c r="DZ19" i="118" s="1"/>
  <c r="DZ20" i="118" s="1"/>
  <c r="DZ21" i="118" s="1"/>
  <c r="DZ22" i="118" s="1"/>
  <c r="DZ23" i="118" s="1"/>
  <c r="DZ24" i="118" s="1"/>
  <c r="DZ25" i="118" s="1"/>
  <c r="DZ26" i="118" s="1"/>
  <c r="DZ27" i="118" s="1"/>
  <c r="DZ28" i="118" s="1"/>
  <c r="DZ29" i="118" s="1"/>
  <c r="DZ30" i="118" s="1"/>
  <c r="DZ31" i="118" s="1"/>
  <c r="DZ32" i="118" s="1"/>
  <c r="DZ33" i="118" s="1"/>
  <c r="DZ34" i="118" s="1"/>
  <c r="DZ35" i="118" s="1"/>
  <c r="DZ36" i="118" s="1"/>
  <c r="DZ37" i="118" s="1"/>
  <c r="DZ38" i="118" s="1"/>
  <c r="DZ39" i="118" s="1"/>
  <c r="DZ40" i="118" s="1"/>
  <c r="DZ41" i="118" s="1"/>
  <c r="DZ42" i="118" s="1"/>
  <c r="DZ43" i="118" s="1"/>
  <c r="DZ44" i="118" s="1"/>
  <c r="DZ45" i="118" s="1"/>
  <c r="DZ46" i="118" s="1"/>
  <c r="DZ47" i="118" s="1"/>
  <c r="EB15" i="118"/>
  <c r="C12" i="43" s="1"/>
  <c r="E16" i="118"/>
  <c r="F16" i="118" s="1"/>
  <c r="K16" i="118"/>
  <c r="L19" i="118" s="1"/>
  <c r="CD16" i="118"/>
  <c r="CS16" i="118"/>
  <c r="CY16" i="118"/>
  <c r="CY17" i="118" s="1"/>
  <c r="CY18" i="118" s="1"/>
  <c r="CY19" i="118" s="1"/>
  <c r="CY20" i="118" s="1"/>
  <c r="CY21" i="118" s="1"/>
  <c r="CY22" i="118" s="1"/>
  <c r="CY23" i="118" s="1"/>
  <c r="CY24" i="118" s="1"/>
  <c r="CY25" i="118" s="1"/>
  <c r="CY26" i="118" s="1"/>
  <c r="EB16" i="118"/>
  <c r="C13" i="43" s="1"/>
  <c r="E17" i="118"/>
  <c r="F17" i="118" s="1"/>
  <c r="CD17" i="118"/>
  <c r="CQ17" i="118"/>
  <c r="CR17" i="118"/>
  <c r="EB17" i="118"/>
  <c r="C14" i="43" s="1"/>
  <c r="E18" i="118"/>
  <c r="F18" i="118" s="1"/>
  <c r="AM18" i="118"/>
  <c r="AV18" i="118"/>
  <c r="BR18" i="118"/>
  <c r="BS18" i="118"/>
  <c r="CD18" i="118"/>
  <c r="CD24" i="118" s="1"/>
  <c r="CN18" i="118"/>
  <c r="CU18" i="118"/>
  <c r="DC18" i="118"/>
  <c r="DF18" i="118"/>
  <c r="EB18" i="118"/>
  <c r="C15" i="43" s="1"/>
  <c r="E19" i="118"/>
  <c r="F19" i="118" s="1"/>
  <c r="CB19" i="118"/>
  <c r="CB21" i="118" s="1"/>
  <c r="CC19" i="118"/>
  <c r="CC21" i="118" s="1"/>
  <c r="BI17" i="118"/>
  <c r="DA19" i="118"/>
  <c r="DD19" i="118"/>
  <c r="DE19" i="118"/>
  <c r="DG19" i="118"/>
  <c r="DJ19" i="118"/>
  <c r="DL19" i="118"/>
  <c r="DM19" i="118"/>
  <c r="DN19" i="118"/>
  <c r="DO19" i="118"/>
  <c r="DP19" i="118"/>
  <c r="DS19" i="118"/>
  <c r="DT19" i="118"/>
  <c r="DU19" i="118"/>
  <c r="DV19" i="118"/>
  <c r="DW19" i="118"/>
  <c r="DX19" i="118"/>
  <c r="E20" i="118"/>
  <c r="F20" i="118" s="1"/>
  <c r="CS20" i="118"/>
  <c r="CU20" i="118"/>
  <c r="E21" i="118"/>
  <c r="F21" i="118" s="1"/>
  <c r="J21" i="118"/>
  <c r="BS21" i="118"/>
  <c r="CQ21" i="118"/>
  <c r="CR21" i="118"/>
  <c r="E22" i="118"/>
  <c r="F22" i="118" s="1"/>
  <c r="S22" i="118"/>
  <c r="CG23" i="118"/>
  <c r="E23" i="118"/>
  <c r="F23" i="118" s="1"/>
  <c r="CR23" i="118"/>
  <c r="E24" i="118"/>
  <c r="F24" i="118" s="1"/>
  <c r="AU24" i="118"/>
  <c r="CB24" i="118"/>
  <c r="CC24" i="118"/>
  <c r="CL24" i="118"/>
  <c r="EB24" i="118"/>
  <c r="C21" i="43" s="1"/>
  <c r="E25" i="118"/>
  <c r="F25" i="118" s="1"/>
  <c r="DF25" i="118"/>
  <c r="EB25" i="118"/>
  <c r="C22" i="43" s="1"/>
  <c r="C26" i="118"/>
  <c r="D26" i="118"/>
  <c r="EB26" i="118"/>
  <c r="C23" i="43" s="1"/>
  <c r="CY27" i="118"/>
  <c r="CY28" i="118" s="1"/>
  <c r="DF27" i="118"/>
  <c r="EB27" i="118"/>
  <c r="C24" i="43" s="1"/>
  <c r="AL28" i="118"/>
  <c r="CC28" i="118"/>
  <c r="DA28" i="118"/>
  <c r="DB28" i="118"/>
  <c r="DC28" i="118"/>
  <c r="DD28" i="118"/>
  <c r="DE28" i="118"/>
  <c r="DG28" i="118"/>
  <c r="DJ28" i="118"/>
  <c r="DL28" i="118"/>
  <c r="DM28" i="118"/>
  <c r="DN28" i="118"/>
  <c r="DO28" i="118"/>
  <c r="DP28" i="118"/>
  <c r="DS28" i="118"/>
  <c r="DT28" i="118"/>
  <c r="DU28" i="118"/>
  <c r="DW28" i="118"/>
  <c r="DX28" i="118"/>
  <c r="X29" i="118"/>
  <c r="Y29" i="118" s="1"/>
  <c r="CY29" i="118"/>
  <c r="CY30" i="118" s="1"/>
  <c r="CY31" i="118" s="1"/>
  <c r="CY32" i="118" s="1"/>
  <c r="CY33" i="118" s="1"/>
  <c r="CY34" i="118" s="1"/>
  <c r="CY35" i="118" s="1"/>
  <c r="CY36" i="118" s="1"/>
  <c r="CY37" i="118" s="1"/>
  <c r="CY38" i="118" s="1"/>
  <c r="CY39" i="118" s="1"/>
  <c r="CY40" i="118" s="1"/>
  <c r="CY41" i="118" s="1"/>
  <c r="CY42" i="118" s="1"/>
  <c r="CY43" i="118" s="1"/>
  <c r="CY44" i="118" s="1"/>
  <c r="CY45" i="118" s="1"/>
  <c r="CY46" i="118" s="1"/>
  <c r="CY47" i="118" s="1"/>
  <c r="CY48" i="118" s="1"/>
  <c r="CY49" i="118" s="1"/>
  <c r="CY50" i="118" s="1"/>
  <c r="CY51" i="118" s="1"/>
  <c r="CY52" i="118" s="1"/>
  <c r="CY53" i="118" s="1"/>
  <c r="CY54" i="118" s="1"/>
  <c r="CY55" i="118" s="1"/>
  <c r="CY56" i="118" s="1"/>
  <c r="CY57" i="118" s="1"/>
  <c r="CY58" i="118" s="1"/>
  <c r="CY59" i="118" s="1"/>
  <c r="CY60" i="118" s="1"/>
  <c r="EB30" i="118"/>
  <c r="C27" i="43" s="1"/>
  <c r="DX31" i="118"/>
  <c r="EB31" i="118"/>
  <c r="C28" i="43" s="1"/>
  <c r="DX32" i="118"/>
  <c r="EB32" i="118"/>
  <c r="C29" i="43" s="1"/>
  <c r="A33" i="118"/>
  <c r="A34" i="118" s="1"/>
  <c r="A35" i="118" s="1"/>
  <c r="A36" i="118" s="1"/>
  <c r="A37" i="118" s="1"/>
  <c r="A38" i="118" s="1"/>
  <c r="A39" i="118" s="1"/>
  <c r="A40" i="118" s="1"/>
  <c r="A41" i="118" s="1"/>
  <c r="DN33" i="118"/>
  <c r="DF34" i="118"/>
  <c r="DC40" i="118"/>
  <c r="DF35" i="118"/>
  <c r="EB35" i="118"/>
  <c r="C32" i="43" s="1"/>
  <c r="E37" i="118"/>
  <c r="J39" i="118"/>
  <c r="EB39" i="118"/>
  <c r="C36" i="43" s="1"/>
  <c r="E40" i="118"/>
  <c r="DF40" i="118"/>
  <c r="EB40" i="118"/>
  <c r="C37" i="43" s="1"/>
  <c r="EB41" i="118"/>
  <c r="C38" i="43" s="1"/>
  <c r="EB43" i="118"/>
  <c r="C40" i="43" s="1"/>
  <c r="Y45" i="118"/>
  <c r="EA47" i="118"/>
  <c r="E48" i="118"/>
  <c r="X48" i="118"/>
  <c r="EA49" i="118"/>
  <c r="EA51" i="118"/>
  <c r="EB54" i="118"/>
  <c r="EB55" i="118"/>
  <c r="EB56" i="118"/>
  <c r="EB57" i="118"/>
  <c r="EB58" i="118"/>
  <c r="EB59" i="118"/>
  <c r="DA60" i="118"/>
  <c r="DB60" i="118"/>
  <c r="DB49" i="118" s="1"/>
  <c r="DC60" i="118"/>
  <c r="DC49" i="118" s="1"/>
  <c r="DD60" i="118"/>
  <c r="DD49" i="118" s="1"/>
  <c r="DE60" i="118"/>
  <c r="DE49" i="118" s="1"/>
  <c r="DF60" i="118"/>
  <c r="DF49" i="118" s="1"/>
  <c r="DG60" i="118"/>
  <c r="DG49" i="118" s="1"/>
  <c r="DJ60" i="118"/>
  <c r="DJ49" i="118" s="1"/>
  <c r="DK60" i="118"/>
  <c r="DL60" i="118"/>
  <c r="DL49" i="118" s="1"/>
  <c r="DM60" i="118"/>
  <c r="DM49" i="118" s="1"/>
  <c r="DN60" i="118"/>
  <c r="DN49" i="118" s="1"/>
  <c r="DO60" i="118"/>
  <c r="DP60" i="118"/>
  <c r="DP49" i="118" s="1"/>
  <c r="DS60" i="118"/>
  <c r="DS49" i="118" s="1"/>
  <c r="DT60" i="118"/>
  <c r="DT49" i="118" s="1"/>
  <c r="DU60" i="118"/>
  <c r="DU49" i="118" s="1"/>
  <c r="DV60" i="118"/>
  <c r="DV49" i="118" s="1"/>
  <c r="DW60" i="118"/>
  <c r="DW49" i="118" s="1"/>
  <c r="DF36" i="118" l="1"/>
  <c r="DG61" i="118"/>
  <c r="DF61" i="118"/>
  <c r="DB61" i="118"/>
  <c r="DP61" i="118"/>
  <c r="DM61" i="118"/>
  <c r="DD61" i="118"/>
  <c r="DN45" i="118"/>
  <c r="DN47" i="118" s="1"/>
  <c r="DL61" i="118"/>
  <c r="DZ48" i="118"/>
  <c r="DZ49" i="118" s="1"/>
  <c r="AV22" i="118"/>
  <c r="AV24" i="118" s="1"/>
  <c r="DL43" i="118" s="1"/>
  <c r="BT18" i="118"/>
  <c r="BT20" i="118" s="1"/>
  <c r="BT21" i="118" s="1"/>
  <c r="DS43" i="118" s="1"/>
  <c r="CN20" i="118"/>
  <c r="CN22" i="118" s="1"/>
  <c r="DW42" i="118" s="1"/>
  <c r="DX55" i="118"/>
  <c r="DX54" i="118"/>
  <c r="DX57" i="118"/>
  <c r="CS21" i="118"/>
  <c r="CS23" i="118" s="1"/>
  <c r="DX37" i="118"/>
  <c r="CS17" i="118"/>
  <c r="EB19" i="118"/>
  <c r="EB60" i="118"/>
  <c r="EB49" i="118" s="1"/>
  <c r="DF28" i="118"/>
  <c r="DC19" i="118"/>
  <c r="CB26" i="118"/>
  <c r="DU31" i="118" s="1"/>
  <c r="CC26" i="118"/>
  <c r="DU32" i="118" s="1"/>
  <c r="DS36" i="118"/>
  <c r="BA16" i="118"/>
  <c r="DM36" i="118"/>
  <c r="DL36" i="118"/>
  <c r="AV20" i="118"/>
  <c r="DG36" i="118"/>
  <c r="AM16" i="118"/>
  <c r="CX12" i="118" s="1"/>
  <c r="E26" i="118"/>
  <c r="DN61" i="118"/>
  <c r="DO49" i="118"/>
  <c r="DK49" i="118"/>
  <c r="DE61" i="118"/>
  <c r="DT61" i="118"/>
  <c r="DA49" i="118"/>
  <c r="DG43" i="118"/>
  <c r="DJ61" i="118"/>
  <c r="DC61" i="118"/>
  <c r="EB28" i="118"/>
  <c r="DY17" i="118"/>
  <c r="EC17" i="118" s="1"/>
  <c r="DQ18" i="118"/>
  <c r="DQ19" i="118" s="1"/>
  <c r="DQ20" i="118" s="1"/>
  <c r="DQ21" i="118" s="1"/>
  <c r="DQ22" i="118" s="1"/>
  <c r="DQ23" i="118" s="1"/>
  <c r="DQ24" i="118" s="1"/>
  <c r="DQ25" i="118" s="1"/>
  <c r="DQ26" i="118" s="1"/>
  <c r="DQ27" i="118" s="1"/>
  <c r="DQ28" i="118" s="1"/>
  <c r="DQ29" i="118" s="1"/>
  <c r="DQ30" i="118" s="1"/>
  <c r="DQ31" i="118" s="1"/>
  <c r="DQ32" i="118" s="1"/>
  <c r="DQ33" i="118" s="1"/>
  <c r="DQ34" i="118" s="1"/>
  <c r="DQ35" i="118" s="1"/>
  <c r="DQ36" i="118" s="1"/>
  <c r="DQ37" i="118" s="1"/>
  <c r="DQ38" i="118" s="1"/>
  <c r="DQ39" i="118" s="1"/>
  <c r="DQ40" i="118" s="1"/>
  <c r="DQ41" i="118" s="1"/>
  <c r="DQ42" i="118" s="1"/>
  <c r="DQ43" i="118" s="1"/>
  <c r="DQ44" i="118" s="1"/>
  <c r="DQ45" i="118" s="1"/>
  <c r="DQ46" i="118" s="1"/>
  <c r="DQ47" i="118" s="1"/>
  <c r="BY12" i="118"/>
  <c r="BW14" i="118"/>
  <c r="DH25" i="118"/>
  <c r="K21" i="118"/>
  <c r="DC36" i="118" s="1"/>
  <c r="CD19" i="118"/>
  <c r="CD21" i="118" s="1"/>
  <c r="CD26" i="118" s="1"/>
  <c r="F26" i="118"/>
  <c r="L3" i="118"/>
  <c r="DD12" i="118"/>
  <c r="CU19" i="118"/>
  <c r="BN17" i="118"/>
  <c r="BW18" i="118"/>
  <c r="AZ18" i="118"/>
  <c r="AQ18" i="118"/>
  <c r="A7" i="115"/>
  <c r="S8" i="105"/>
  <c r="S7" i="105"/>
  <c r="A7" i="110"/>
  <c r="A4" i="43" s="1"/>
  <c r="BE1" i="118" l="1"/>
  <c r="BE51" i="118"/>
  <c r="DQ48" i="118"/>
  <c r="DQ49" i="118" s="1"/>
  <c r="ED17" i="118"/>
  <c r="D14" i="43"/>
  <c r="DK61" i="118"/>
  <c r="DZ50" i="118"/>
  <c r="DZ51" i="118" s="1"/>
  <c r="DZ52" i="118" s="1"/>
  <c r="DZ53" i="118" s="1"/>
  <c r="DZ54" i="118" s="1"/>
  <c r="DZ55" i="118" s="1"/>
  <c r="DZ56" i="118" s="1"/>
  <c r="DZ57" i="118" s="1"/>
  <c r="DZ58" i="118" s="1"/>
  <c r="DZ59" i="118" s="1"/>
  <c r="DZ60" i="118" s="1"/>
  <c r="DO61" i="118"/>
  <c r="DY18" i="118"/>
  <c r="EC18" i="118" s="1"/>
  <c r="ED18" i="118" s="1"/>
  <c r="X28" i="118"/>
  <c r="Y28" i="118" s="1"/>
  <c r="DF33" i="118" s="1"/>
  <c r="DL45" i="118"/>
  <c r="DL47" i="118" s="1"/>
  <c r="CN24" i="118"/>
  <c r="DW43" i="118" s="1"/>
  <c r="BA18" i="118"/>
  <c r="DM43" i="118" s="1"/>
  <c r="DX60" i="118"/>
  <c r="DX49" i="118" s="1"/>
  <c r="CS24" i="118"/>
  <c r="DX43" i="118"/>
  <c r="DG45" i="118"/>
  <c r="DG47" i="118" s="1"/>
  <c r="DA61" i="118"/>
  <c r="DS45" i="118"/>
  <c r="DS47" i="118" s="1"/>
  <c r="AV26" i="118"/>
  <c r="J20" i="118"/>
  <c r="K20" i="118" s="1"/>
  <c r="DC33" i="118" s="1"/>
  <c r="AL21" i="118"/>
  <c r="AL22" i="118" s="1"/>
  <c r="AM25" i="118" s="1"/>
  <c r="AM27" i="118" s="1"/>
  <c r="E39" i="118"/>
  <c r="CX14" i="118"/>
  <c r="A6" i="108"/>
  <c r="BT23" i="118"/>
  <c r="CD28" i="118"/>
  <c r="CD30" i="118" s="1"/>
  <c r="DH26" i="118"/>
  <c r="DE12" i="118"/>
  <c r="P3" i="118"/>
  <c r="BY14" i="118"/>
  <c r="BY16" i="118" s="1"/>
  <c r="DT41" i="118"/>
  <c r="AG8" i="105"/>
  <c r="W8" i="105"/>
  <c r="K8" i="105"/>
  <c r="F8" i="105"/>
  <c r="AG7" i="105"/>
  <c r="W7" i="105"/>
  <c r="K7" i="105"/>
  <c r="F7" i="105"/>
  <c r="C31" i="108" l="1"/>
  <c r="AN18" i="105"/>
  <c r="DM45" i="118"/>
  <c r="DM47" i="118" s="1"/>
  <c r="DX45" i="118"/>
  <c r="DX47" i="118" s="1"/>
  <c r="DW45" i="118"/>
  <c r="DW47" i="118" s="1"/>
  <c r="D15" i="43"/>
  <c r="DQ50" i="118"/>
  <c r="DQ51" i="118" s="1"/>
  <c r="DQ52" i="118" s="1"/>
  <c r="DQ53" i="118" s="1"/>
  <c r="DQ54" i="118" s="1"/>
  <c r="DQ55" i="118" s="1"/>
  <c r="DQ56" i="118" s="1"/>
  <c r="DQ57" i="118" s="1"/>
  <c r="DQ58" i="118" s="1"/>
  <c r="DQ59" i="118" s="1"/>
  <c r="DQ60" i="118" s="1"/>
  <c r="AV1" i="118"/>
  <c r="CN25" i="118"/>
  <c r="BA20" i="118"/>
  <c r="DU43" i="118"/>
  <c r="X30" i="118"/>
  <c r="Y30" i="118" s="1"/>
  <c r="DF42" i="118" s="1"/>
  <c r="CX16" i="118"/>
  <c r="CX18" i="118" s="1"/>
  <c r="J24" i="118"/>
  <c r="K24" i="118" s="1"/>
  <c r="L26" i="118" s="1"/>
  <c r="DC42" i="118" s="1"/>
  <c r="BT1" i="118"/>
  <c r="AD1" i="118"/>
  <c r="E43" i="118"/>
  <c r="L23" i="118"/>
  <c r="AV51" i="118"/>
  <c r="DJ33" i="118"/>
  <c r="AM28" i="118"/>
  <c r="DJ43" i="118" s="1"/>
  <c r="DH27" i="118"/>
  <c r="DY26" i="118"/>
  <c r="EC26" i="118" s="1"/>
  <c r="BY18" i="118"/>
  <c r="DT44" i="118" s="1"/>
  <c r="DF12" i="118"/>
  <c r="T3" i="118"/>
  <c r="CS1" i="118" l="1"/>
  <c r="BA51" i="118"/>
  <c r="DU45" i="118"/>
  <c r="DU47" i="118" s="1"/>
  <c r="CN1" i="118"/>
  <c r="ED26" i="118"/>
  <c r="D23" i="43"/>
  <c r="DT45" i="118"/>
  <c r="DT47" i="118" s="1"/>
  <c r="BA1" i="118"/>
  <c r="Y31" i="118"/>
  <c r="CX19" i="118"/>
  <c r="CX20" i="118" s="1"/>
  <c r="L37" i="118"/>
  <c r="L39" i="118" s="1"/>
  <c r="DC43" i="118" s="1"/>
  <c r="DJ45" i="118"/>
  <c r="DJ47" i="118" s="1"/>
  <c r="AM29" i="118"/>
  <c r="Y3" i="118"/>
  <c r="DG12" i="118"/>
  <c r="DH28" i="118"/>
  <c r="DH29" i="118" s="1"/>
  <c r="DH30" i="118" s="1"/>
  <c r="DY27" i="118"/>
  <c r="BY20" i="118"/>
  <c r="AN17" i="105" l="1"/>
  <c r="CD1" i="118"/>
  <c r="DC45" i="118"/>
  <c r="DC47" i="118" s="1"/>
  <c r="BY1" i="118"/>
  <c r="L41" i="118"/>
  <c r="AM1" i="118"/>
  <c r="EC27" i="118"/>
  <c r="D24" i="43" s="1"/>
  <c r="DH31" i="118"/>
  <c r="AD3" i="118"/>
  <c r="DJ12" i="118"/>
  <c r="C15" i="108" l="1"/>
  <c r="C24" i="108"/>
  <c r="L1" i="118"/>
  <c r="DH32" i="118"/>
  <c r="DY31" i="118"/>
  <c r="EC31" i="118" s="1"/>
  <c r="DK12" i="118"/>
  <c r="AM3" i="118"/>
  <c r="ED27" i="118"/>
  <c r="A3" i="110"/>
  <c r="ED31" i="118" l="1"/>
  <c r="D28" i="43"/>
  <c r="DL12" i="118"/>
  <c r="AR3" i="118"/>
  <c r="DY32" i="118"/>
  <c r="EC32" i="118" s="1"/>
  <c r="DH33" i="118"/>
  <c r="ED32" i="118" l="1"/>
  <c r="D29" i="43"/>
  <c r="DH34" i="118"/>
  <c r="AV3" i="118"/>
  <c r="DM12" i="118"/>
  <c r="DY34" i="118" l="1"/>
  <c r="EC34" i="118" s="1"/>
  <c r="DH35" i="118"/>
  <c r="BA3" i="118"/>
  <c r="DN12" i="118"/>
  <c r="D31" i="43" l="1"/>
  <c r="DO12" i="118"/>
  <c r="BE3" i="118"/>
  <c r="DH36" i="118"/>
  <c r="DY35" i="118"/>
  <c r="EC35" i="118" s="1"/>
  <c r="ED35" i="118" l="1"/>
  <c r="D32" i="43"/>
  <c r="DP12" i="118"/>
  <c r="BJ3" i="118"/>
  <c r="DH37" i="118"/>
  <c r="DH38" i="118" l="1"/>
  <c r="DY37" i="118"/>
  <c r="EC37" i="118" s="1"/>
  <c r="BO3" i="118"/>
  <c r="DS12" i="118"/>
  <c r="D21" i="110"/>
  <c r="C21" i="110"/>
  <c r="C20" i="110"/>
  <c r="D34" i="43" l="1"/>
  <c r="BT3" i="118"/>
  <c r="DT12" i="118"/>
  <c r="DY38" i="118"/>
  <c r="EC38" i="118" s="1"/>
  <c r="DH39" i="118"/>
  <c r="E21" i="110"/>
  <c r="E16" i="110"/>
  <c r="E17" i="110" s="1"/>
  <c r="C14" i="45" s="1"/>
  <c r="C17" i="110"/>
  <c r="C22" i="110"/>
  <c r="C8" i="131" l="1"/>
  <c r="D8" i="131" s="1"/>
  <c r="D35" i="43"/>
  <c r="DH40" i="118"/>
  <c r="DY39" i="118"/>
  <c r="EC39" i="118" s="1"/>
  <c r="DU12" i="118"/>
  <c r="BY3" i="118"/>
  <c r="B15" i="115"/>
  <c r="E8" i="131" l="1"/>
  <c r="ED39" i="118"/>
  <c r="D36" i="43"/>
  <c r="DV12" i="118"/>
  <c r="CD3" i="118"/>
  <c r="DY40" i="118"/>
  <c r="EC40" i="118" s="1"/>
  <c r="DH41" i="118"/>
  <c r="E15" i="115"/>
  <c r="C34" i="105" l="1"/>
  <c r="ED40" i="118"/>
  <c r="D37" i="43"/>
  <c r="DY41" i="118"/>
  <c r="EC41" i="118" s="1"/>
  <c r="DH42" i="118"/>
  <c r="CI3" i="118"/>
  <c r="DW12" i="118"/>
  <c r="E17" i="115"/>
  <c r="E19" i="115" s="1"/>
  <c r="C40" i="108" l="1"/>
  <c r="E20" i="115"/>
  <c r="E21" i="115" s="1"/>
  <c r="ED41" i="118"/>
  <c r="D38" i="43"/>
  <c r="CN3" i="118"/>
  <c r="DX12" i="118"/>
  <c r="CS3" i="118" s="1"/>
  <c r="DH43" i="118"/>
  <c r="C21" i="45" l="1"/>
  <c r="DH44" i="118"/>
  <c r="AB14" i="105"/>
  <c r="AB15" i="105" s="1"/>
  <c r="AB16" i="105" s="1"/>
  <c r="AB17" i="105" s="1"/>
  <c r="AB18" i="105" s="1"/>
  <c r="AB19" i="105" s="1"/>
  <c r="AB20" i="105" s="1"/>
  <c r="AG14" i="105"/>
  <c r="AG15" i="105" s="1"/>
  <c r="AG16" i="105" s="1"/>
  <c r="AG17" i="105" s="1"/>
  <c r="C15" i="131" l="1"/>
  <c r="D15" i="131" s="1"/>
  <c r="E15" i="131" s="1"/>
  <c r="DH45" i="118"/>
  <c r="DH46" i="118" s="1"/>
  <c r="DH47" i="118" s="1"/>
  <c r="AF15" i="105"/>
  <c r="DH48" i="118" l="1"/>
  <c r="DH49" i="118" s="1"/>
  <c r="DH50" i="118" l="1"/>
  <c r="DH51" i="118" s="1"/>
  <c r="DH52" i="118" s="1"/>
  <c r="DH53" i="118" s="1"/>
  <c r="DH54" i="118" s="1"/>
  <c r="DY54" i="118" s="1"/>
  <c r="DY49" i="118"/>
  <c r="EC49" i="118" s="1"/>
  <c r="DH55" i="118"/>
  <c r="AJ28" i="105"/>
  <c r="ED49" i="118" l="1"/>
  <c r="DY55" i="118"/>
  <c r="EC55" i="118" s="1"/>
  <c r="DH56" i="118"/>
  <c r="EC54" i="118"/>
  <c r="D51" i="43" s="1"/>
  <c r="ED55" i="118" l="1"/>
  <c r="D52" i="43"/>
  <c r="S12" i="118"/>
  <c r="T15" i="118" s="1"/>
  <c r="DY56" i="118"/>
  <c r="EC56" i="118" s="1"/>
  <c r="DH57" i="118"/>
  <c r="ED54" i="118"/>
  <c r="L25" i="43"/>
  <c r="ED56" i="118" l="1"/>
  <c r="D53" i="43"/>
  <c r="T20" i="118"/>
  <c r="T22" i="118" s="1"/>
  <c r="DY57" i="118"/>
  <c r="DH58" i="118"/>
  <c r="AK4" i="105"/>
  <c r="AF4" i="105"/>
  <c r="AA4" i="105"/>
  <c r="V4" i="105"/>
  <c r="N4" i="105"/>
  <c r="J4" i="105"/>
  <c r="E4" i="105"/>
  <c r="DE43" i="118" l="1"/>
  <c r="T24" i="118"/>
  <c r="DY58" i="118"/>
  <c r="EC58" i="118" s="1"/>
  <c r="DH59" i="118"/>
  <c r="EC57" i="118"/>
  <c r="D54" i="43" s="1"/>
  <c r="ED58" i="118" l="1"/>
  <c r="D55" i="43"/>
  <c r="DE45" i="118"/>
  <c r="DE47" i="118" s="1"/>
  <c r="ED57" i="118"/>
  <c r="DH60" i="118"/>
  <c r="DY59" i="118"/>
  <c r="T1" i="118" l="1"/>
  <c r="EC59" i="118"/>
  <c r="D56" i="43" s="1"/>
  <c r="D57" i="43" s="1"/>
  <c r="DY60" i="118"/>
  <c r="DY61" i="118" s="1"/>
  <c r="A13" i="108"/>
  <c r="A14" i="108" s="1"/>
  <c r="A15" i="108" s="1"/>
  <c r="A16" i="108" s="1"/>
  <c r="A17" i="108" s="1"/>
  <c r="A18" i="108" s="1"/>
  <c r="A19" i="108" s="1"/>
  <c r="A20" i="108" s="1"/>
  <c r="A21" i="108" s="1"/>
  <c r="A22" i="108" s="1"/>
  <c r="A23" i="108" s="1"/>
  <c r="A24" i="108" s="1"/>
  <c r="A25" i="108" s="1"/>
  <c r="A26" i="108" s="1"/>
  <c r="A27" i="108" s="1"/>
  <c r="A28" i="108" s="1"/>
  <c r="A29" i="108" s="1"/>
  <c r="A30" i="108" s="1"/>
  <c r="A31" i="108" s="1"/>
  <c r="A32" i="108" s="1"/>
  <c r="A33" i="108" s="1"/>
  <c r="A34" i="108" s="1"/>
  <c r="A35" i="108" s="1"/>
  <c r="A36" i="108" s="1"/>
  <c r="A37" i="108" s="1"/>
  <c r="A38" i="108" s="1"/>
  <c r="A39" i="108" s="1"/>
  <c r="A40" i="108" s="1"/>
  <c r="A41" i="108" s="1"/>
  <c r="A42" i="108" s="1"/>
  <c r="A43" i="108" s="1"/>
  <c r="A44" i="108" s="1"/>
  <c r="A45" i="108" s="1"/>
  <c r="A46" i="108" s="1"/>
  <c r="D46" i="43" l="1"/>
  <c r="ED59" i="118"/>
  <c r="ED60" i="118" s="1"/>
  <c r="EC60" i="118"/>
  <c r="AK109" i="105"/>
  <c r="AI23" i="105" l="1"/>
  <c r="AJ24" i="105" s="1"/>
  <c r="AJ30" i="105" s="1"/>
  <c r="AK33" i="105" s="1"/>
  <c r="L35" i="104" s="1"/>
  <c r="AG18" i="105"/>
  <c r="AG19" i="105" s="1"/>
  <c r="AG20" i="105" s="1"/>
  <c r="R35" i="104" l="1"/>
  <c r="AG23" i="105"/>
  <c r="AG24" i="105" s="1"/>
  <c r="AG25" i="105" s="1"/>
  <c r="AG26" i="105" s="1"/>
  <c r="AG27" i="105" s="1"/>
  <c r="AG28" i="105" s="1"/>
  <c r="AG29" i="105" s="1"/>
  <c r="AG30" i="105" s="1"/>
  <c r="AG31" i="105" s="1"/>
  <c r="AG32" i="105" s="1"/>
  <c r="AG33" i="105" s="1"/>
  <c r="AG34" i="105" s="1"/>
  <c r="AG35" i="105" s="1"/>
  <c r="AG36" i="105" s="1"/>
  <c r="AG37" i="105" s="1"/>
  <c r="AK35" i="105"/>
  <c r="L39" i="104" s="1"/>
  <c r="F14" i="105"/>
  <c r="F15" i="105" s="1"/>
  <c r="S14" i="105"/>
  <c r="S15" i="105" s="1"/>
  <c r="S16" i="105" s="1"/>
  <c r="S17" i="105" s="1"/>
  <c r="S18" i="105" s="1"/>
  <c r="S19" i="105" s="1"/>
  <c r="S20" i="105" s="1"/>
  <c r="W14" i="105"/>
  <c r="W15" i="105" s="1"/>
  <c r="W16" i="105" s="1"/>
  <c r="W17" i="105" s="1"/>
  <c r="W18" i="105" s="1"/>
  <c r="W19" i="105" s="1"/>
  <c r="W20" i="105" s="1"/>
  <c r="W21" i="105" s="1"/>
  <c r="W22" i="105" s="1"/>
  <c r="W23" i="105" s="1"/>
  <c r="W24" i="105" s="1"/>
  <c r="W25" i="105" s="1"/>
  <c r="W26" i="105" s="1"/>
  <c r="W27" i="105" s="1"/>
  <c r="W28" i="105" s="1"/>
  <c r="W29" i="105" s="1"/>
  <c r="W30" i="105" s="1"/>
  <c r="W31" i="105" s="1"/>
  <c r="AA16" i="105"/>
  <c r="AA21" i="105"/>
  <c r="S21" i="105" l="1"/>
  <c r="S22" i="105" s="1"/>
  <c r="S23" i="105" s="1"/>
  <c r="S24" i="105" s="1"/>
  <c r="S25" i="105" s="1"/>
  <c r="S26" i="105" s="1"/>
  <c r="S27" i="105" s="1"/>
  <c r="F16" i="105"/>
  <c r="F17" i="105" s="1"/>
  <c r="F18" i="105" s="1"/>
  <c r="F19" i="105" s="1"/>
  <c r="F20" i="105" s="1"/>
  <c r="F21" i="105" s="1"/>
  <c r="AA23" i="105"/>
  <c r="AA27" i="105" s="1"/>
  <c r="AA29" i="105" s="1"/>
  <c r="AA31" i="105" s="1"/>
  <c r="AK37" i="105"/>
  <c r="V15" i="105"/>
  <c r="V17" i="105" s="1"/>
  <c r="J36" i="104" l="1"/>
  <c r="V23" i="105"/>
  <c r="V25" i="105" s="1"/>
  <c r="V27" i="105" l="1"/>
  <c r="A11" i="104" l="1"/>
  <c r="A12" i="104" s="1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6" i="104" s="1"/>
  <c r="A37" i="104" s="1"/>
  <c r="A38" i="104" s="1"/>
  <c r="A39" i="104" s="1"/>
  <c r="A40" i="104" s="1"/>
  <c r="A41" i="104" s="1"/>
  <c r="A42" i="104" s="1"/>
  <c r="A43" i="104" s="1"/>
  <c r="A44" i="104" s="1"/>
  <c r="A45" i="104" s="1"/>
  <c r="A46" i="104" s="1"/>
  <c r="A47" i="104" s="1"/>
  <c r="A48" i="104" s="1"/>
  <c r="A49" i="104" s="1"/>
  <c r="A50" i="104" s="1"/>
  <c r="A51" i="104" s="1"/>
  <c r="A52" i="104" s="1"/>
  <c r="A53" i="104" s="1"/>
  <c r="A54" i="104" s="1"/>
  <c r="A55" i="104" s="1"/>
  <c r="A56" i="104" s="1"/>
  <c r="G15" i="104"/>
  <c r="F15" i="104"/>
  <c r="I15" i="104"/>
  <c r="J15" i="104"/>
  <c r="K15" i="104"/>
  <c r="L15" i="104"/>
  <c r="E24" i="104"/>
  <c r="G24" i="104"/>
  <c r="F24" i="104"/>
  <c r="I24" i="104"/>
  <c r="J24" i="104"/>
  <c r="K24" i="104"/>
  <c r="L24" i="104"/>
  <c r="H32" i="43"/>
  <c r="H35" i="43"/>
  <c r="I36" i="104"/>
  <c r="R36" i="104" s="1"/>
  <c r="I39" i="104"/>
  <c r="J39" i="104"/>
  <c r="H51" i="43"/>
  <c r="H56" i="43"/>
  <c r="E56" i="104"/>
  <c r="G56" i="104"/>
  <c r="I56" i="104"/>
  <c r="J56" i="104"/>
  <c r="K56" i="104"/>
  <c r="L56" i="104"/>
  <c r="J45" i="104" l="1"/>
  <c r="H24" i="43"/>
  <c r="L41" i="104"/>
  <c r="L43" i="104" s="1"/>
  <c r="H28" i="43"/>
  <c r="I41" i="104"/>
  <c r="I43" i="104" s="1"/>
  <c r="J41" i="104"/>
  <c r="J43" i="104" s="1"/>
  <c r="G45" i="104"/>
  <c r="L45" i="104"/>
  <c r="H55" i="43"/>
  <c r="I45" i="104"/>
  <c r="H36" i="43"/>
  <c r="H37" i="43"/>
  <c r="H27" i="43"/>
  <c r="H29" i="43"/>
  <c r="AK1" i="105" l="1"/>
  <c r="AA1" i="105"/>
  <c r="V1" i="105"/>
  <c r="H31" i="43"/>
  <c r="H41" i="43" l="1"/>
  <c r="A12" i="43" l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l="1"/>
  <c r="A56" i="43" s="1"/>
  <c r="A57" i="43" s="1"/>
  <c r="E23" i="43" l="1"/>
  <c r="D22" i="124" l="1"/>
  <c r="I22" i="124" s="1"/>
  <c r="G23" i="43"/>
  <c r="D22" i="104" s="1"/>
  <c r="E32" i="43"/>
  <c r="D31" i="124" s="1"/>
  <c r="E36" i="43"/>
  <c r="D35" i="124" s="1"/>
  <c r="G36" i="43" l="1"/>
  <c r="I36" i="43" s="1"/>
  <c r="I35" i="124"/>
  <c r="G32" i="43"/>
  <c r="D31" i="104" s="1"/>
  <c r="I31" i="124"/>
  <c r="E29" i="43"/>
  <c r="D28" i="124" s="1"/>
  <c r="E28" i="43"/>
  <c r="D27" i="124" s="1"/>
  <c r="D35" i="104" l="1"/>
  <c r="I32" i="43"/>
  <c r="G29" i="43"/>
  <c r="D28" i="104" s="1"/>
  <c r="I28" i="124"/>
  <c r="G28" i="43"/>
  <c r="D27" i="104" s="1"/>
  <c r="I27" i="124"/>
  <c r="S31" i="104"/>
  <c r="E24" i="43"/>
  <c r="D23" i="124" s="1"/>
  <c r="E14" i="43"/>
  <c r="D13" i="124" l="1"/>
  <c r="I13" i="124" s="1"/>
  <c r="I29" i="43"/>
  <c r="S35" i="104"/>
  <c r="I28" i="43"/>
  <c r="G24" i="43"/>
  <c r="I24" i="43" s="1"/>
  <c r="K24" i="43" s="1"/>
  <c r="I23" i="124"/>
  <c r="G14" i="43"/>
  <c r="D13" i="104" s="1"/>
  <c r="S28" i="104"/>
  <c r="S27" i="104"/>
  <c r="E15" i="43"/>
  <c r="D14" i="124" l="1"/>
  <c r="I14" i="124" s="1"/>
  <c r="D23" i="104"/>
  <c r="G15" i="43"/>
  <c r="M24" i="43"/>
  <c r="C16" i="43"/>
  <c r="E38" i="43"/>
  <c r="D37" i="124" s="1"/>
  <c r="D14" i="104" l="1"/>
  <c r="S23" i="104"/>
  <c r="G38" i="43"/>
  <c r="I38" i="43" s="1"/>
  <c r="K38" i="43" s="1"/>
  <c r="I37" i="124"/>
  <c r="C25" i="43"/>
  <c r="D37" i="104" l="1"/>
  <c r="M38" i="43"/>
  <c r="S37" i="104" l="1"/>
  <c r="E37" i="43" l="1"/>
  <c r="D36" i="124" s="1"/>
  <c r="G37" i="43" l="1"/>
  <c r="I36" i="124"/>
  <c r="I37" i="43" l="1"/>
  <c r="D36" i="104"/>
  <c r="S36" i="104" l="1"/>
  <c r="E53" i="43"/>
  <c r="D16" i="125" l="1"/>
  <c r="F16" i="125" s="1"/>
  <c r="E52" i="124" s="1"/>
  <c r="H52" i="124" s="1"/>
  <c r="F53" i="43" s="1"/>
  <c r="G53" i="43" s="1"/>
  <c r="D52" i="104" s="1"/>
  <c r="D52" i="124"/>
  <c r="I52" i="124" l="1"/>
  <c r="E56" i="43"/>
  <c r="D19" i="125" l="1"/>
  <c r="F19" i="125" s="1"/>
  <c r="E55" i="124" s="1"/>
  <c r="H55" i="124" s="1"/>
  <c r="D55" i="124"/>
  <c r="E52" i="43"/>
  <c r="E54" i="43"/>
  <c r="D15" i="125" l="1"/>
  <c r="D51" i="124"/>
  <c r="D17" i="125"/>
  <c r="D53" i="124"/>
  <c r="I55" i="124"/>
  <c r="F56" i="43"/>
  <c r="G56" i="43" s="1"/>
  <c r="I56" i="43" s="1"/>
  <c r="K56" i="43" s="1"/>
  <c r="M56" i="43" s="1"/>
  <c r="E51" i="43"/>
  <c r="D14" i="125" l="1"/>
  <c r="D50" i="124"/>
  <c r="D55" i="104"/>
  <c r="E55" i="43"/>
  <c r="C57" i="43"/>
  <c r="D18" i="125" l="1"/>
  <c r="F18" i="125" s="1"/>
  <c r="E54" i="124" s="1"/>
  <c r="H54" i="124" s="1"/>
  <c r="D54" i="124"/>
  <c r="D56" i="124" s="1"/>
  <c r="S55" i="104"/>
  <c r="E57" i="43"/>
  <c r="C46" i="43"/>
  <c r="D20" i="125" l="1"/>
  <c r="I54" i="124"/>
  <c r="F55" i="43"/>
  <c r="E46" i="43"/>
  <c r="D45" i="124" s="1"/>
  <c r="G55" i="43" l="1"/>
  <c r="I55" i="43" l="1"/>
  <c r="K55" i="43" s="1"/>
  <c r="M55" i="43" s="1"/>
  <c r="D54" i="104"/>
  <c r="E23" i="105"/>
  <c r="S54" i="104" l="1"/>
  <c r="E14" i="105"/>
  <c r="E24" i="105" l="1"/>
  <c r="E14" i="104" l="1"/>
  <c r="E26" i="105"/>
  <c r="BH14" i="118" l="1"/>
  <c r="BJ12" i="118" l="1"/>
  <c r="BJ14" i="118" s="1"/>
  <c r="BI14" i="118"/>
  <c r="BJ16" i="118" l="1"/>
  <c r="DO36" i="118"/>
  <c r="BJ17" i="118" l="1"/>
  <c r="DO43" i="118" s="1"/>
  <c r="DO45" i="118" l="1"/>
  <c r="DO47" i="118" s="1"/>
  <c r="BJ19" i="118"/>
  <c r="BJ1" i="118" l="1"/>
  <c r="BJ50" i="118"/>
  <c r="Y25" i="118" l="1"/>
  <c r="Y47" i="118" s="1"/>
  <c r="DF15" i="118"/>
  <c r="DF19" i="118" l="1"/>
  <c r="Y48" i="118"/>
  <c r="DF43" i="118" s="1"/>
  <c r="Y49" i="118" l="1"/>
  <c r="DF45" i="118"/>
  <c r="DF47" i="118" s="1"/>
  <c r="Y1" i="118" l="1"/>
  <c r="E20" i="110" l="1"/>
  <c r="E22" i="110" s="1"/>
  <c r="J13" i="43" l="1"/>
  <c r="AP15" i="118" l="1"/>
  <c r="AR12" i="118"/>
  <c r="DK28" i="118" l="1"/>
  <c r="DY30" i="118" l="1"/>
  <c r="EC30" i="118" s="1"/>
  <c r="ED30" i="118" s="1"/>
  <c r="D27" i="43" l="1"/>
  <c r="E27" i="43" s="1"/>
  <c r="D26" i="124" s="1"/>
  <c r="G27" i="43" l="1"/>
  <c r="D26" i="104" s="1"/>
  <c r="I26" i="124"/>
  <c r="AR14" i="118"/>
  <c r="AQ15" i="118"/>
  <c r="I27" i="43" l="1"/>
  <c r="S26" i="104"/>
  <c r="DK42" i="118"/>
  <c r="AR15" i="118"/>
  <c r="AR17" i="118" s="1"/>
  <c r="AR18" i="118" l="1"/>
  <c r="DK43" i="118" s="1"/>
  <c r="AR20" i="118" l="1"/>
  <c r="DK45" i="118"/>
  <c r="DK47" i="118" s="1"/>
  <c r="AR1" i="118" l="1"/>
  <c r="J32" i="43" l="1"/>
  <c r="K32" i="43" s="1"/>
  <c r="J29" i="43"/>
  <c r="K29" i="43" s="1"/>
  <c r="M29" i="43" s="1"/>
  <c r="J31" i="43"/>
  <c r="M32" i="43" l="1"/>
  <c r="J28" i="43" l="1"/>
  <c r="K28" i="43" s="1"/>
  <c r="M28" i="43" s="1"/>
  <c r="AP20" i="105" l="1"/>
  <c r="DB16" i="118" l="1"/>
  <c r="DY16" i="118" l="1"/>
  <c r="EC16" i="118" s="1"/>
  <c r="D13" i="43" s="1"/>
  <c r="E13" i="43" s="1"/>
  <c r="ED16" i="118" l="1"/>
  <c r="D12" i="124"/>
  <c r="G13" i="43"/>
  <c r="C16" i="105" l="1"/>
  <c r="D12" i="104"/>
  <c r="I12" i="124"/>
  <c r="G37" i="118" l="1"/>
  <c r="F37" i="118"/>
  <c r="DB15" i="118" l="1"/>
  <c r="F43" i="118"/>
  <c r="G44" i="118" s="1"/>
  <c r="DB42" i="118" s="1"/>
  <c r="F40" i="118"/>
  <c r="DB36" i="118" s="1"/>
  <c r="F39" i="118"/>
  <c r="DB33" i="118" l="1"/>
  <c r="G41" i="118"/>
  <c r="G46" i="118" s="1"/>
  <c r="DY42" i="118"/>
  <c r="EC42" i="118" s="1"/>
  <c r="DB19" i="118"/>
  <c r="DY15" i="118"/>
  <c r="DY19" i="118" l="1"/>
  <c r="EC15" i="118"/>
  <c r="D39" i="43"/>
  <c r="DY33" i="118"/>
  <c r="G48" i="118"/>
  <c r="DB43" i="118" s="1"/>
  <c r="DB45" i="118" l="1"/>
  <c r="DB47" i="118" s="1"/>
  <c r="ED15" i="118"/>
  <c r="ED19" i="118" s="1"/>
  <c r="D12" i="43"/>
  <c r="EC19" i="118"/>
  <c r="G49" i="118"/>
  <c r="EC33" i="118"/>
  <c r="G1" i="118" l="1"/>
  <c r="D16" i="43"/>
  <c r="E12" i="43"/>
  <c r="D30" i="43"/>
  <c r="E16" i="43" l="1"/>
  <c r="G12" i="43"/>
  <c r="D11" i="124"/>
  <c r="C15" i="105" l="1"/>
  <c r="I11" i="124"/>
  <c r="D15" i="124"/>
  <c r="D11" i="104"/>
  <c r="G16" i="43"/>
  <c r="D15" i="104" l="1"/>
  <c r="I15" i="124"/>
  <c r="DV24" i="118" l="1"/>
  <c r="DY24" i="118" l="1"/>
  <c r="EC24" i="118" l="1"/>
  <c r="D21" i="43" l="1"/>
  <c r="ED24" i="118"/>
  <c r="AN14" i="105" l="1"/>
  <c r="E21" i="43"/>
  <c r="D20" i="124" l="1"/>
  <c r="G21" i="43"/>
  <c r="C22" i="108" l="1"/>
  <c r="D20" i="104"/>
  <c r="I20" i="124"/>
  <c r="DV25" i="118" l="1"/>
  <c r="CI19" i="118"/>
  <c r="CI21" i="118" s="1"/>
  <c r="CI23" i="118" l="1"/>
  <c r="DV43" i="118" s="1"/>
  <c r="DY25" i="118"/>
  <c r="DV28" i="118"/>
  <c r="CI24" i="118" l="1"/>
  <c r="DV45" i="118"/>
  <c r="DV47" i="118" s="1"/>
  <c r="EC25" i="118"/>
  <c r="DY28" i="118"/>
  <c r="CI1" i="118" l="1"/>
  <c r="ED25" i="118"/>
  <c r="D22" i="43"/>
  <c r="EC28" i="118"/>
  <c r="AN15" i="105" l="1"/>
  <c r="ED28" i="118"/>
  <c r="E22" i="43"/>
  <c r="D25" i="43"/>
  <c r="D21" i="124" l="1"/>
  <c r="G22" i="43"/>
  <c r="E25" i="43"/>
  <c r="D21" i="104" l="1"/>
  <c r="G25" i="43"/>
  <c r="I21" i="124"/>
  <c r="D24" i="124"/>
  <c r="C23" i="108" l="1"/>
  <c r="I24" i="124"/>
  <c r="D24" i="104"/>
  <c r="CG19" i="118" l="1"/>
  <c r="CH19" i="118" l="1"/>
  <c r="J35" i="43" l="1"/>
  <c r="C41" i="108" l="1"/>
  <c r="J36" i="43"/>
  <c r="K36" i="43" s="1"/>
  <c r="M36" i="43" s="1"/>
  <c r="J37" i="43" l="1"/>
  <c r="K37" i="43" l="1"/>
  <c r="M37" i="43" l="1"/>
  <c r="J34" i="43" l="1"/>
  <c r="J27" i="43" l="1"/>
  <c r="K27" i="43" l="1"/>
  <c r="M27" i="43" l="1"/>
  <c r="AZ30" i="105" l="1"/>
  <c r="AZ29" i="105"/>
  <c r="AZ26" i="105"/>
  <c r="AZ25" i="105"/>
  <c r="AZ24" i="105"/>
  <c r="AZ22" i="105"/>
  <c r="AZ21" i="105"/>
  <c r="AZ19" i="105"/>
  <c r="AZ17" i="105"/>
  <c r="AZ16" i="105"/>
  <c r="AZ15" i="105" l="1"/>
  <c r="AZ27" i="105"/>
  <c r="AZ18" i="105"/>
  <c r="AZ23" i="105"/>
  <c r="AZ20" i="105"/>
  <c r="AZ28" i="105"/>
  <c r="AZ33" i="105" l="1"/>
  <c r="AX33" i="105"/>
  <c r="R52" i="104" l="1"/>
  <c r="H53" i="43" l="1"/>
  <c r="S52" i="104"/>
  <c r="I53" i="43" l="1"/>
  <c r="K53" i="43" l="1"/>
  <c r="M53" i="43" s="1"/>
  <c r="O56" i="104" l="1"/>
  <c r="O45" i="104" l="1"/>
  <c r="J57" i="43" l="1"/>
  <c r="J46" i="43" l="1"/>
  <c r="EB38" i="118" l="1"/>
  <c r="C35" i="43" l="1"/>
  <c r="E35" i="43" s="1"/>
  <c r="ED38" i="118"/>
  <c r="EB44" i="118"/>
  <c r="EB37" i="118"/>
  <c r="C41" i="43" l="1"/>
  <c r="C34" i="43"/>
  <c r="E34" i="43" s="1"/>
  <c r="ED37" i="118"/>
  <c r="D34" i="124"/>
  <c r="G35" i="43"/>
  <c r="D33" i="124" l="1"/>
  <c r="I35" i="43"/>
  <c r="K35" i="43" s="1"/>
  <c r="M35" i="43" s="1"/>
  <c r="D34" i="104"/>
  <c r="I34" i="124"/>
  <c r="S34" i="104" l="1"/>
  <c r="EB36" i="118" l="1"/>
  <c r="EB42" i="118"/>
  <c r="C33" i="43" l="1"/>
  <c r="C39" i="43"/>
  <c r="E39" i="43" s="1"/>
  <c r="ED42" i="118"/>
  <c r="D38" i="124" l="1"/>
  <c r="G39" i="43"/>
  <c r="I38" i="124" l="1"/>
  <c r="D38" i="104"/>
  <c r="EB34" i="118" l="1"/>
  <c r="C31" i="43" l="1"/>
  <c r="E31" i="43" s="1"/>
  <c r="ED34" i="118"/>
  <c r="D30" i="124" l="1"/>
  <c r="G31" i="43"/>
  <c r="D30" i="104" l="1"/>
  <c r="I31" i="43"/>
  <c r="K31" i="43" s="1"/>
  <c r="M31" i="43" s="1"/>
  <c r="I30" i="124"/>
  <c r="S30" i="104" l="1"/>
  <c r="EB33" i="118" l="1"/>
  <c r="DA45" i="118"/>
  <c r="DA47" i="118" s="1"/>
  <c r="DA51" i="118" l="1"/>
  <c r="C30" i="43"/>
  <c r="EB45" i="118"/>
  <c r="EB47" i="118" s="1"/>
  <c r="ED33" i="118"/>
  <c r="EB51" i="118" l="1"/>
  <c r="C42" i="43"/>
  <c r="C44" i="43" s="1"/>
  <c r="E30" i="43"/>
  <c r="C48" i="43" l="1"/>
  <c r="D29" i="124"/>
  <c r="G30" i="43"/>
  <c r="D29" i="104" l="1"/>
  <c r="I29" i="124"/>
  <c r="P12" i="118" l="1"/>
  <c r="K17" i="125"/>
  <c r="J17" i="105" l="1"/>
  <c r="P17" i="118" l="1"/>
  <c r="P25" i="118"/>
  <c r="P14" i="118"/>
  <c r="P15" i="118" s="1"/>
  <c r="P27" i="118" l="1"/>
  <c r="DD43" i="118" l="1"/>
  <c r="P28" i="118" l="1"/>
  <c r="P19" i="118"/>
  <c r="DD44" i="118" l="1"/>
  <c r="P29" i="118"/>
  <c r="DY44" i="118" l="1"/>
  <c r="DD45" i="118"/>
  <c r="DD47" i="118" s="1"/>
  <c r="EC44" i="118" l="1"/>
  <c r="P1" i="118"/>
  <c r="D41" i="43" l="1"/>
  <c r="ED44" i="118"/>
  <c r="E41" i="43" l="1"/>
  <c r="G41" i="43" s="1"/>
  <c r="D40" i="124" l="1"/>
  <c r="N24" i="105" l="1"/>
  <c r="I41" i="43"/>
  <c r="D40" i="104"/>
  <c r="I40" i="124"/>
  <c r="K41" i="43" l="1"/>
  <c r="S40" i="104"/>
  <c r="M41" i="43" l="1"/>
  <c r="AP19" i="105" l="1"/>
  <c r="M14" i="104" l="1"/>
  <c r="R14" i="104" l="1"/>
  <c r="H15" i="43" s="1"/>
  <c r="I15" i="43" l="1"/>
  <c r="S14" i="104"/>
  <c r="AP17" i="105" l="1"/>
  <c r="M22" i="104" l="1"/>
  <c r="R22" i="104" l="1"/>
  <c r="H23" i="43" s="1"/>
  <c r="I23" i="43" s="1"/>
  <c r="AP14" i="105"/>
  <c r="S22" i="104" l="1"/>
  <c r="M20" i="104"/>
  <c r="R20" i="104" l="1"/>
  <c r="S20" i="104" l="1"/>
  <c r="H21" i="43"/>
  <c r="I21" i="43" l="1"/>
  <c r="AP18" i="105" l="1"/>
  <c r="M13" i="104" l="1"/>
  <c r="R13" i="104" l="1"/>
  <c r="M15" i="104"/>
  <c r="H14" i="43" l="1"/>
  <c r="S13" i="104"/>
  <c r="I14" i="43" l="1"/>
  <c r="AP16" i="105" l="1"/>
  <c r="AO22" i="105" l="1"/>
  <c r="AN22" i="105" l="1"/>
  <c r="AP15" i="105"/>
  <c r="M21" i="104" l="1"/>
  <c r="AP22" i="105"/>
  <c r="AP26" i="105" l="1"/>
  <c r="R21" i="104"/>
  <c r="M24" i="104"/>
  <c r="H22" i="43" l="1"/>
  <c r="S21" i="104"/>
  <c r="R24" i="104"/>
  <c r="AP27" i="105"/>
  <c r="S24" i="104" l="1"/>
  <c r="AP28" i="105"/>
  <c r="M39" i="104"/>
  <c r="I22" i="43"/>
  <c r="H25" i="43"/>
  <c r="I25" i="43" l="1"/>
  <c r="M41" i="104"/>
  <c r="M43" i="104" s="1"/>
  <c r="AP1" i="105" l="1"/>
  <c r="E18" i="105" l="1"/>
  <c r="D19" i="105"/>
  <c r="D28" i="105" s="1"/>
  <c r="E16" i="105" l="1"/>
  <c r="E12" i="104" l="1"/>
  <c r="R12" i="104" s="1"/>
  <c r="H13" i="43" s="1"/>
  <c r="I13" i="43" s="1"/>
  <c r="K13" i="43" s="1"/>
  <c r="S12" i="104" l="1"/>
  <c r="E15" i="105"/>
  <c r="C17" i="105"/>
  <c r="C19" i="105" s="1"/>
  <c r="C28" i="105" s="1"/>
  <c r="E17" i="105" l="1"/>
  <c r="E19" i="105" s="1"/>
  <c r="E28" i="105" s="1"/>
  <c r="E11" i="104"/>
  <c r="D31" i="105"/>
  <c r="E32" i="104" s="1"/>
  <c r="D30" i="105"/>
  <c r="D34" i="105"/>
  <c r="E38" i="104" s="1"/>
  <c r="R32" i="104" l="1"/>
  <c r="H33" i="43" s="1"/>
  <c r="R38" i="104"/>
  <c r="H39" i="43" s="1"/>
  <c r="I39" i="43" s="1"/>
  <c r="E29" i="104"/>
  <c r="E32" i="105"/>
  <c r="E36" i="105" s="1"/>
  <c r="E38" i="105" s="1"/>
  <c r="E39" i="105" s="1"/>
  <c r="E40" i="105" s="1"/>
  <c r="R11" i="104"/>
  <c r="E15" i="104"/>
  <c r="S38" i="104" l="1"/>
  <c r="E39" i="104"/>
  <c r="H12" i="43"/>
  <c r="S11" i="104"/>
  <c r="R15" i="104"/>
  <c r="S15" i="104" s="1"/>
  <c r="E41" i="104" l="1"/>
  <c r="E43" i="104" s="1"/>
  <c r="I12" i="43"/>
  <c r="H16" i="43"/>
  <c r="E1" i="105" l="1"/>
  <c r="I16" i="43"/>
  <c r="BM14" i="118" l="1"/>
  <c r="BN14" i="118" l="1"/>
  <c r="BO13" i="118"/>
  <c r="BO14" i="118" s="1"/>
  <c r="BO16" i="118" s="1"/>
  <c r="DP36" i="118" l="1"/>
  <c r="BO17" i="118"/>
  <c r="DP43" i="118" s="1"/>
  <c r="DY43" i="118" l="1"/>
  <c r="EC43" i="118" s="1"/>
  <c r="ED43" i="118" s="1"/>
  <c r="BO19" i="118"/>
  <c r="DP45" i="118"/>
  <c r="DP47" i="118" s="1"/>
  <c r="DY36" i="118"/>
  <c r="D40" i="43" l="1"/>
  <c r="E40" i="43" s="1"/>
  <c r="D39" i="124" s="1"/>
  <c r="EC36" i="118"/>
  <c r="DY45" i="118"/>
  <c r="DY47" i="118" s="1"/>
  <c r="BO1" i="118"/>
  <c r="A1" i="118" s="1"/>
  <c r="D33" i="43" l="1"/>
  <c r="ED36" i="118"/>
  <c r="ED45" i="118" s="1"/>
  <c r="ED47" i="118" s="1"/>
  <c r="EC45" i="118"/>
  <c r="EC47" i="118" s="1"/>
  <c r="ED51" i="118" l="1"/>
  <c r="E33" i="43"/>
  <c r="D42" i="43"/>
  <c r="D44" i="43" s="1"/>
  <c r="D32" i="124" l="1"/>
  <c r="G33" i="43"/>
  <c r="E42" i="43"/>
  <c r="E44" i="43" s="1"/>
  <c r="E48" i="43" l="1"/>
  <c r="D32" i="104"/>
  <c r="I33" i="43"/>
  <c r="I32" i="124"/>
  <c r="D41" i="124"/>
  <c r="D43" i="124" s="1"/>
  <c r="D47" i="124" l="1"/>
  <c r="S32" i="104"/>
  <c r="AD17" i="105" l="1"/>
  <c r="AF14" i="105" l="1"/>
  <c r="AF17" i="105" s="1"/>
  <c r="AE17" i="105"/>
  <c r="K29" i="104" l="1"/>
  <c r="AF19" i="105"/>
  <c r="AF22" i="105" s="1"/>
  <c r="AF24" i="105" l="1"/>
  <c r="K39" i="104"/>
  <c r="R29" i="104"/>
  <c r="K41" i="104" l="1"/>
  <c r="K43" i="104" s="1"/>
  <c r="S29" i="104"/>
  <c r="H30" i="43"/>
  <c r="AF1" i="105" l="1"/>
  <c r="I30" i="43"/>
  <c r="J15" i="43" l="1"/>
  <c r="K15" i="43" s="1"/>
  <c r="M15" i="43" l="1"/>
  <c r="J39" i="43" l="1"/>
  <c r="K39" i="43" s="1"/>
  <c r="J12" i="43"/>
  <c r="K12" i="43" s="1"/>
  <c r="J33" i="43"/>
  <c r="K33" i="43" s="1"/>
  <c r="J30" i="43" l="1"/>
  <c r="K30" i="43" s="1"/>
  <c r="J22" i="43" l="1"/>
  <c r="K22" i="43" l="1"/>
  <c r="M22" i="43" s="1"/>
  <c r="J23" i="43" l="1"/>
  <c r="K23" i="43" s="1"/>
  <c r="M23" i="43" s="1"/>
  <c r="J21" i="43" l="1"/>
  <c r="C26" i="108"/>
  <c r="J14" i="43"/>
  <c r="C17" i="108"/>
  <c r="J16" i="43" l="1"/>
  <c r="K14" i="43"/>
  <c r="K21" i="43"/>
  <c r="J25" i="43"/>
  <c r="M14" i="43" l="1"/>
  <c r="K16" i="43"/>
  <c r="M21" i="43"/>
  <c r="M25" i="43" s="1"/>
  <c r="K25" i="43"/>
  <c r="J40" i="43" l="1"/>
  <c r="C43" i="108"/>
  <c r="C45" i="108" l="1"/>
  <c r="J42" i="43"/>
  <c r="J44" i="43" s="1"/>
  <c r="D12" i="131" l="1"/>
  <c r="D14" i="131" s="1"/>
  <c r="D17" i="131" s="1"/>
  <c r="K16" i="125" l="1"/>
  <c r="J16" i="105" l="1"/>
  <c r="J13" i="105" l="1"/>
  <c r="K13" i="125"/>
  <c r="J15" i="125" l="1"/>
  <c r="J18" i="125" s="1"/>
  <c r="I15" i="105"/>
  <c r="I18" i="105" s="1"/>
  <c r="I15" i="125"/>
  <c r="I18" i="125" s="1"/>
  <c r="K14" i="125" l="1"/>
  <c r="K15" i="125" s="1"/>
  <c r="K18" i="125" s="1"/>
  <c r="K20" i="125" s="1"/>
  <c r="F33" i="124" s="1"/>
  <c r="K26" i="125" l="1"/>
  <c r="F51" i="124" s="1"/>
  <c r="K22" i="125"/>
  <c r="F39" i="124" s="1"/>
  <c r="H15" i="105"/>
  <c r="H18" i="105" s="1"/>
  <c r="J14" i="105"/>
  <c r="J15" i="105" s="1"/>
  <c r="J18" i="105" s="1"/>
  <c r="H33" i="124"/>
  <c r="F41" i="124" l="1"/>
  <c r="F43" i="124" s="1"/>
  <c r="K23" i="125"/>
  <c r="F34" i="43"/>
  <c r="I33" i="124"/>
  <c r="F33" i="104"/>
  <c r="J20" i="105"/>
  <c r="K1" i="125" l="1"/>
  <c r="R33" i="104"/>
  <c r="J23" i="105"/>
  <c r="F39" i="104" s="1"/>
  <c r="J27" i="105"/>
  <c r="G34" i="43"/>
  <c r="D33" i="104" l="1"/>
  <c r="S33" i="104" s="1"/>
  <c r="F41" i="104"/>
  <c r="F43" i="104" s="1"/>
  <c r="J24" i="105"/>
  <c r="F51" i="104"/>
  <c r="H34" i="43"/>
  <c r="R51" i="104" l="1"/>
  <c r="I34" i="43"/>
  <c r="J1" i="105"/>
  <c r="K34" i="43" l="1"/>
  <c r="H52" i="43"/>
  <c r="M34" i="43" l="1"/>
  <c r="F53" i="104" l="1"/>
  <c r="J30" i="105"/>
  <c r="R53" i="104" l="1"/>
  <c r="F56" i="104"/>
  <c r="F45" i="104" l="1"/>
  <c r="J2" i="105" s="1"/>
  <c r="H54" i="43"/>
  <c r="R56" i="104"/>
  <c r="H57" i="43" l="1"/>
  <c r="R45" i="104"/>
  <c r="H46" i="43" l="1"/>
  <c r="F53" i="124" l="1"/>
  <c r="K29" i="125"/>
  <c r="F56" i="124" l="1"/>
  <c r="F45" i="124" l="1"/>
  <c r="F17" i="125" l="1"/>
  <c r="E53" i="124" s="1"/>
  <c r="H53" i="124" s="1"/>
  <c r="F15" i="125"/>
  <c r="E51" i="124" s="1"/>
  <c r="H51" i="124" s="1"/>
  <c r="I53" i="124" l="1"/>
  <c r="F54" i="43"/>
  <c r="G54" i="43" s="1"/>
  <c r="I51" i="124"/>
  <c r="F52" i="43"/>
  <c r="G52" i="43" s="1"/>
  <c r="F14" i="125" l="1"/>
  <c r="E20" i="125"/>
  <c r="D51" i="104"/>
  <c r="S51" i="104" s="1"/>
  <c r="I52" i="43"/>
  <c r="K52" i="43" s="1"/>
  <c r="M52" i="43" s="1"/>
  <c r="D53" i="104"/>
  <c r="S53" i="104" s="1"/>
  <c r="I54" i="43"/>
  <c r="K54" i="43" s="1"/>
  <c r="M54" i="43" s="1"/>
  <c r="E50" i="124" l="1"/>
  <c r="F20" i="125"/>
  <c r="H50" i="124" l="1"/>
  <c r="E56" i="124"/>
  <c r="I50" i="124" l="1"/>
  <c r="I56" i="124" s="1"/>
  <c r="F51" i="43"/>
  <c r="H56" i="124"/>
  <c r="H45" i="124" s="1"/>
  <c r="E45" i="124"/>
  <c r="F1" i="125"/>
  <c r="N13" i="125" l="1"/>
  <c r="N15" i="125" s="1"/>
  <c r="O18" i="125" s="1"/>
  <c r="O20" i="125" s="1"/>
  <c r="O22" i="125" s="1"/>
  <c r="I45" i="124"/>
  <c r="G51" i="43"/>
  <c r="F57" i="43"/>
  <c r="F46" i="43" s="1"/>
  <c r="G46" i="43" s="1"/>
  <c r="D45" i="104" l="1"/>
  <c r="S45" i="104" s="1"/>
  <c r="I46" i="43"/>
  <c r="K46" i="43" s="1"/>
  <c r="M46" i="43" s="1"/>
  <c r="I51" i="43"/>
  <c r="D50" i="104"/>
  <c r="G57" i="43"/>
  <c r="G39" i="124"/>
  <c r="O23" i="125"/>
  <c r="S50" i="104" l="1"/>
  <c r="S56" i="104" s="1"/>
  <c r="D56" i="104"/>
  <c r="K51" i="43"/>
  <c r="I57" i="43"/>
  <c r="C7" i="131" s="1"/>
  <c r="C10" i="131" s="1"/>
  <c r="H39" i="124"/>
  <c r="G41" i="124"/>
  <c r="G43" i="124" s="1"/>
  <c r="O1" i="125" s="1"/>
  <c r="A1" i="125" s="1"/>
  <c r="I39" i="124" l="1"/>
  <c r="I41" i="124" s="1"/>
  <c r="I43" i="124" s="1"/>
  <c r="I47" i="124" s="1"/>
  <c r="H41" i="124"/>
  <c r="H43" i="124" s="1"/>
  <c r="F40" i="43"/>
  <c r="M51" i="43"/>
  <c r="M57" i="43" s="1"/>
  <c r="K57" i="43"/>
  <c r="E7" i="131" l="1"/>
  <c r="E10" i="131" s="1"/>
  <c r="Q13" i="105"/>
  <c r="R17" i="105" s="1"/>
  <c r="R19" i="105" s="1"/>
  <c r="R21" i="105" s="1"/>
  <c r="C13" i="45"/>
  <c r="G40" i="43"/>
  <c r="F42" i="43"/>
  <c r="F44" i="43" s="1"/>
  <c r="C16" i="45" l="1"/>
  <c r="N23" i="105"/>
  <c r="N27" i="105" s="1"/>
  <c r="D39" i="104"/>
  <c r="D41" i="104" s="1"/>
  <c r="D43" i="104" s="1"/>
  <c r="D47" i="104" s="1"/>
  <c r="G42" i="43"/>
  <c r="G44" i="43" s="1"/>
  <c r="R23" i="105"/>
  <c r="H39" i="104"/>
  <c r="H41" i="104" s="1"/>
  <c r="H43" i="104" s="1"/>
  <c r="R1" i="105" s="1"/>
  <c r="G48" i="43" l="1"/>
  <c r="C75" i="134"/>
  <c r="C66" i="134" l="1"/>
  <c r="C68" i="134" s="1"/>
  <c r="D81" i="134"/>
  <c r="C76" i="134"/>
  <c r="C83" i="134" s="1"/>
  <c r="D80" i="134"/>
  <c r="D77" i="134"/>
  <c r="D82" i="134"/>
  <c r="D78" i="134"/>
  <c r="D79" i="134"/>
  <c r="D83" i="134" l="1"/>
  <c r="E70" i="134"/>
  <c r="C84" i="134" s="1"/>
  <c r="N13" i="105"/>
  <c r="N15" i="105" s="1"/>
  <c r="N16" i="105" s="1"/>
  <c r="C70" i="134"/>
  <c r="D70" i="134" l="1"/>
  <c r="N29" i="105"/>
  <c r="N18" i="105" l="1"/>
  <c r="D62" i="134"/>
  <c r="D63" i="134"/>
  <c r="D64" i="134" s="1"/>
  <c r="N30" i="105" l="1"/>
  <c r="N20" i="105"/>
  <c r="N31" i="105" l="1"/>
  <c r="G39" i="104"/>
  <c r="G41" i="104" l="1"/>
  <c r="G43" i="104" s="1"/>
  <c r="N1" i="105" s="1"/>
  <c r="A1" i="105" s="1"/>
  <c r="R39" i="104"/>
  <c r="S39" i="104" l="1"/>
  <c r="S41" i="104" s="1"/>
  <c r="S43" i="104" s="1"/>
  <c r="S47" i="104" s="1"/>
  <c r="R41" i="104"/>
  <c r="R43" i="104" s="1"/>
  <c r="H40" i="43"/>
  <c r="H42" i="43" l="1"/>
  <c r="H44" i="43" s="1"/>
  <c r="I40" i="43"/>
  <c r="I42" i="43" l="1"/>
  <c r="I44" i="43" s="1"/>
  <c r="K40" i="43"/>
  <c r="K42" i="43" s="1"/>
  <c r="K44" i="43" s="1"/>
  <c r="C18" i="45" l="1"/>
  <c r="E12" i="131"/>
  <c r="E14" i="131" s="1"/>
  <c r="E17" i="131" s="1"/>
  <c r="K48" i="43"/>
  <c r="C12" i="131"/>
  <c r="C14" i="131" s="1"/>
  <c r="C17" i="131" s="1"/>
  <c r="I48" i="43"/>
  <c r="C19" i="45" l="1"/>
  <c r="C22" i="45" l="1"/>
  <c r="C23" i="45" l="1"/>
  <c r="L13" i="43" l="1"/>
  <c r="M13" i="43" s="1"/>
  <c r="C25" i="45"/>
  <c r="L12" i="43" l="1"/>
  <c r="M12" i="43" l="1"/>
  <c r="M16" i="43" s="1"/>
  <c r="L16" i="43"/>
  <c r="L9" i="43" l="1"/>
  <c r="M9" i="43"/>
  <c r="L39" i="43"/>
  <c r="M39" i="43" s="1"/>
  <c r="L30" i="43"/>
  <c r="L33" i="43"/>
  <c r="M33" i="43" s="1"/>
  <c r="L40" i="43"/>
  <c r="M40" i="43" s="1"/>
  <c r="L42" i="43" l="1"/>
  <c r="L44" i="43" s="1"/>
  <c r="M30" i="43"/>
  <c r="M42" i="43" s="1"/>
  <c r="M44" i="43" s="1"/>
  <c r="M48" i="43" s="1"/>
</calcChain>
</file>

<file path=xl/sharedStrings.xml><?xml version="1.0" encoding="utf-8"?>
<sst xmlns="http://schemas.openxmlformats.org/spreadsheetml/2006/main" count="1555" uniqueCount="705">
  <si>
    <t>PURCHASED AND INTERCHANGED</t>
  </si>
  <si>
    <t>OTHER POWER SUPPLY EXPENSES</t>
  </si>
  <si>
    <t>RATE BASE:</t>
  </si>
  <si>
    <t>CUSTOMER ACCOUNT EXPENSES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</si>
  <si>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</si>
  <si>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</si>
  <si>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</si>
  <si>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</si>
  <si>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</si>
  <si>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</si>
  <si>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</si>
  <si>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</si>
  <si>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</si>
  <si>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</si>
  <si>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</si>
  <si>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</si>
  <si>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</si>
  <si>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</si>
  <si>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</si>
  <si>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</si>
  <si>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</si>
  <si>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</si>
  <si>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</si>
  <si>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</si>
  <si>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</si>
  <si>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</si>
  <si>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</si>
  <si>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</si>
  <si>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</si>
  <si>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</si>
  <si>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</si>
  <si>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</si>
  <si>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LINE</t>
  </si>
  <si>
    <t>ACTUAL</t>
  </si>
  <si>
    <t>NO.</t>
  </si>
  <si>
    <t>DESCRIPTION</t>
  </si>
  <si>
    <t>RESTATED</t>
  </si>
  <si>
    <t>ADJUSTMENT</t>
  </si>
  <si>
    <t>REVENUES</t>
  </si>
  <si>
    <t>TOTAL</t>
  </si>
  <si>
    <t>INCOME TAX</t>
  </si>
  <si>
    <t>AMORTIZATION</t>
  </si>
  <si>
    <t>RESULTS OF</t>
  </si>
  <si>
    <t>OPERATIONS</t>
  </si>
  <si>
    <t>RATE</t>
  </si>
  <si>
    <t>1</t>
  </si>
  <si>
    <t>FUEL</t>
  </si>
  <si>
    <t>OPERATING REVENUES</t>
  </si>
  <si>
    <t>RATE BASE</t>
  </si>
  <si>
    <t>WHEELING</t>
  </si>
  <si>
    <t xml:space="preserve"> RESIDENTIAL EXCHANGE</t>
  </si>
  <si>
    <t>ADJUSTMENTS</t>
  </si>
  <si>
    <t>TAXES OTHER THAN F.I.T.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</si>
  <si>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</si>
  <si>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</si>
  <si>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</si>
  <si>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</si>
  <si>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</si>
  <si>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</si>
  <si>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DEPRECIATION</t>
  </si>
  <si>
    <t>FAS 133</t>
  </si>
  <si>
    <t>REVENUE</t>
  </si>
  <si>
    <t>EXHIBIT A-1</t>
  </si>
  <si>
    <t>ACCUM DEPR AND AMORT</t>
  </si>
  <si>
    <t>PCA</t>
  </si>
  <si>
    <t>OPERATING INCOME REQUIREMENT</t>
  </si>
  <si>
    <t>OPERATING INCOME DEFICIENCY</t>
  </si>
  <si>
    <t>INCOME TAXES</t>
  </si>
  <si>
    <t>TAXES OTHER THAN INCOME TAXES</t>
  </si>
  <si>
    <t>GROSS UTILITY PLANT IN SERVICE</t>
  </si>
  <si>
    <t>DEFERRED G/L ON</t>
  </si>
  <si>
    <t>STORM</t>
  </si>
  <si>
    <t>AFTER</t>
  </si>
  <si>
    <t>PROPERTY SALES</t>
  </si>
  <si>
    <t>DAMAGE</t>
  </si>
  <si>
    <t>DFIT</t>
  </si>
  <si>
    <t>DETERMINATION OF ERF RELATED REVENUES AND EXPENSES</t>
  </si>
  <si>
    <t>A</t>
  </si>
  <si>
    <t>B</t>
  </si>
  <si>
    <t>C = A + B</t>
  </si>
  <si>
    <t>D</t>
  </si>
  <si>
    <t xml:space="preserve">  DEFERRED DEBITS AND CREDITS</t>
  </si>
  <si>
    <t>ASC 815</t>
  </si>
  <si>
    <t>AMOUNT</t>
  </si>
  <si>
    <t>INCREASE (DECREASE) NOI</t>
  </si>
  <si>
    <t>TEST YEAR</t>
  </si>
  <si>
    <t>ERF ADJUSTED</t>
  </si>
  <si>
    <t>UTILITY PLANT IN SERVICE</t>
  </si>
  <si>
    <t>DEFERRED DEBITS</t>
  </si>
  <si>
    <t>DEFERRED TAXES</t>
  </si>
  <si>
    <t>ALLOWANCE FOR WORKING CAPITAL</t>
  </si>
  <si>
    <t>OTHER</t>
  </si>
  <si>
    <t>RESTATED OPERATING INCOME</t>
  </si>
  <si>
    <t>EXPEDITED RATE FILING INCREASE</t>
  </si>
  <si>
    <t>SALES FROM RESALE-FIRM/SPECIAL CONTRACT</t>
  </si>
  <si>
    <t>-</t>
  </si>
  <si>
    <t>REQUIREMENT</t>
  </si>
  <si>
    <t>PROCESSING COSTS</t>
  </si>
  <si>
    <t>REMEDIATION</t>
  </si>
  <si>
    <t>STUDY</t>
  </si>
  <si>
    <t>PAYMENT</t>
  </si>
  <si>
    <t>ENVIRONMENTAL</t>
  </si>
  <si>
    <t>INCREASE (DECREASE) FIT</t>
  </si>
  <si>
    <t>STATE UTILITY TAX @</t>
  </si>
  <si>
    <t>ANNUAL FILING FEE @</t>
  </si>
  <si>
    <t>UNCOLLECTIBLES @</t>
  </si>
  <si>
    <t>TOTAL  ADJUSTMENT TO RATEBASE</t>
  </si>
  <si>
    <t>ADJUSTMENT TO RATE BASE</t>
  </si>
  <si>
    <t>INCREASE (DECREASE) EXPENSE</t>
  </si>
  <si>
    <t>INCREASE (DECREASE) OPERATING EXPENSE</t>
  </si>
  <si>
    <t>INCREASE (DECREASE) FIT (LINE 11 X 21%)</t>
  </si>
  <si>
    <t>TOTAL RATE YEAR AMORTIZATION ENVIRONMENTAL (LINE 4 + LINE 9)</t>
  </si>
  <si>
    <t>INCREASE (DECREASE) IN EXPENSE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</si>
  <si>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</si>
  <si>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DOCKET UE-160203 &amp; UG-160204 CREDIT CARD FEES</t>
  </si>
  <si>
    <t>DISTRIBUTION</t>
  </si>
  <si>
    <t>SUBTOTAL DEPRECIATION EXPENSE 403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</si>
  <si>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</si>
  <si>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TRANSMISSION</t>
  </si>
  <si>
    <t>403 ELEC. PORTION OF COMMON</t>
  </si>
  <si>
    <t>403 ELEC. DEPRECIATION EXPENSE</t>
  </si>
  <si>
    <t>PAYMENT PROCESSING COSTS</t>
  </si>
  <si>
    <t>ENVIRONMENTAL REMEDIATION</t>
  </si>
  <si>
    <t>DEFERRED GAINS/LOSSES ON PROPERTY SALES</t>
  </si>
  <si>
    <t>DEPRECIATION STUDY</t>
  </si>
  <si>
    <t>PUGET SOUND ENERGY-ELECTRIC 2018 ERF</t>
  </si>
  <si>
    <t>STORM DAMAGE</t>
  </si>
  <si>
    <t xml:space="preserve">  DEFERRED DEBITS</t>
  </si>
  <si>
    <t>COMMISSION BASIS REPORT</t>
  </si>
  <si>
    <t>PRO FORMA</t>
  </si>
  <si>
    <t>COST OF</t>
  </si>
  <si>
    <t>CAPITAL %</t>
  </si>
  <si>
    <t>CAPITAL</t>
  </si>
  <si>
    <t>EQUITY</t>
  </si>
  <si>
    <t>TOTAL COST OF CAPITAL</t>
  </si>
  <si>
    <t>TOTAL AFTER TAX COST OF CAPITAL</t>
  </si>
  <si>
    <t>INCREASE (DECREASE) FIT @</t>
  </si>
  <si>
    <t>EXPEDITED RATE FILING</t>
  </si>
  <si>
    <t>INCREASE (DECREASE) TAXES OTHER</t>
  </si>
  <si>
    <t>INCREASE (DECREASE) OPERATING INCOME</t>
  </si>
  <si>
    <t xml:space="preserve">INCREASE (DECREASE) NOI </t>
  </si>
  <si>
    <t>REMOVE REVENUE DEFERRALS FOR TAX REFORM</t>
  </si>
  <si>
    <t xml:space="preserve">2010 STORM DAMAGE </t>
  </si>
  <si>
    <t>2014 STORM DAMAGE</t>
  </si>
  <si>
    <t>2015 STORM DAMAGE</t>
  </si>
  <si>
    <t>2016 STORM DAMAGE</t>
  </si>
  <si>
    <t>2017 STORM DAMAGE</t>
  </si>
  <si>
    <t xml:space="preserve">01/18/12 SNOW STORM </t>
  </si>
  <si>
    <t xml:space="preserve">DEFERRED BALANCES FOR 6 YEAR AMORTIZATION </t>
  </si>
  <si>
    <t>TEST YEAR INCLUDES FULL YEAR OF PROCESSING FEES</t>
  </si>
  <si>
    <t xml:space="preserve">SHARE OF DEFERRED UNASSIGNED RECOVERIES </t>
  </si>
  <si>
    <t>ELECTRIC ENVIRONMENTAL REMEDIATION DEFERRED COSTS</t>
  </si>
  <si>
    <t>INSURANCE PROCEEDS &amp; THIRD PARTY PAYMENTS</t>
  </si>
  <si>
    <t>TOTAL INCREASE (DECREASE) OPERATING EXPENSE</t>
  </si>
  <si>
    <t>RECLASSIFY TRANSPORTATION REVENUE FROM OTHER OPERATING REVENUES</t>
  </si>
  <si>
    <t>RECLASSIFY TRANSPORTATION REVENUE TO SALES TO CUSTOMERS</t>
  </si>
  <si>
    <t>REMOVE DECOUPLING DEFERRALS FROM TEST YEAR</t>
  </si>
  <si>
    <t>TOTAL INCREASE (DECREASE) IN REVENUES</t>
  </si>
  <si>
    <t>BAD DEBTS</t>
  </si>
  <si>
    <t>ANNUAL FILING FEE</t>
  </si>
  <si>
    <t>SUM OF TAXES OTHER</t>
  </si>
  <si>
    <t>CONVERSION FACTOR EXCLUDING FEDERAL INCOME TAX ( 1 - LINE 5)</t>
  </si>
  <si>
    <t xml:space="preserve">CONVERSION FACTOR INCL FEDERAL INCOME TAX ( LINE 5 + LINE 8 ) </t>
  </si>
  <si>
    <t>ANNUAL AMORTIZATION (LN 3 ÷ 36) x 12</t>
  </si>
  <si>
    <t>INCREASE (DECREASE) EXPENSE  (LINE 13 - LINE 11)</t>
  </si>
  <si>
    <t>ADJUSTMENT TO ACCUM. DEPREC. AT 100% DEPREC. EXP. LINE 21</t>
  </si>
  <si>
    <t xml:space="preserve">  ACCUMULATED DFIT</t>
  </si>
  <si>
    <t>PRO FORMA COST OF CAPITAL APPROVED IN UE-170033/UG-170034</t>
  </si>
  <si>
    <t>ADJUSTED FOR FEDERAL TAX RATE CHANGE FROM 35% to 21%</t>
  </si>
  <si>
    <t>UPDATED FOR NEW DEBT ISSUANCES</t>
  </si>
  <si>
    <t>COST %</t>
  </si>
  <si>
    <t>SHORT TERM AND LONG TERM DEBT</t>
  </si>
  <si>
    <t>AFTER TAX SHORT AND LONG TERM DEBT</t>
  </si>
  <si>
    <t>ANNUALIZE FEDERAL</t>
  </si>
  <si>
    <t xml:space="preserve">TOTAL </t>
  </si>
  <si>
    <t>CONVERSION FACTOR - ELECTRIC</t>
  </si>
  <si>
    <t>EXPEDITED RATE FILING ADJUSTMENTS SUMMARY</t>
  </si>
  <si>
    <t xml:space="preserve">AMOUNTS THAT HAVE CHANGED SINCE UE-170033/UG-170034  &amp; UE-180282/UG-180283 </t>
  </si>
  <si>
    <t>TOTAL DEFERRED NET GAIN AND LOSSES TO AMORTIZE</t>
  </si>
  <si>
    <r>
      <t>ENVIRONMENTAL REMEDIATION COSTS</t>
    </r>
    <r>
      <rPr>
        <sz val="10"/>
        <color rgb="FF0000FF"/>
        <rFont val="Calibri"/>
        <family val="2"/>
      </rPr>
      <t/>
    </r>
  </si>
  <si>
    <t>APRROVED IN UE-180282 (2017 GRC TAX REFORM)</t>
  </si>
  <si>
    <r>
      <rPr>
        <vertAlign val="superscript"/>
        <sz val="9"/>
        <color rgb="FF0000CC"/>
        <rFont val="Times New Roman"/>
        <family val="1"/>
      </rPr>
      <t xml:space="preserve">1  </t>
    </r>
    <r>
      <rPr>
        <sz val="10"/>
        <color rgb="FF0000CC"/>
        <rFont val="Times New Roman"/>
        <family val="1"/>
      </rPr>
      <t>APRROVED IN UE-180282 (2017 GRC TAX REFORM)</t>
    </r>
  </si>
  <si>
    <r>
      <t>AMORTIZATION OF DEFERRAL- 3 YEAR AMORT</t>
    </r>
    <r>
      <rPr>
        <vertAlign val="superscript"/>
        <sz val="9"/>
        <rFont val="Times New Roman"/>
        <family val="1"/>
      </rPr>
      <t>1</t>
    </r>
  </si>
  <si>
    <t>ANNUAL AMORTIZATION (LINE 10 ÷ 48) x 12</t>
  </si>
  <si>
    <r>
      <t xml:space="preserve">ANNUAL AMORTIZATION (LINE 14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</si>
  <si>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t>TOTAL RATE YEAR AMORTIZATION</t>
  </si>
  <si>
    <t xml:space="preserve">INCREASE (DECREASE) FIT  </t>
  </si>
  <si>
    <t>ACCUMULATED DEPRECIATION</t>
  </si>
  <si>
    <t>INCREASE (DECREASE) OPERATING INCOME BEFORE FIT</t>
  </si>
  <si>
    <t>TOTAL INCREASE (DECREASE) EXPENSE</t>
  </si>
  <si>
    <t>REMOVE JPUD AMORT EXPENSE SCH 133</t>
  </si>
  <si>
    <t>GREEN POWER - SCH 135/136 TAXES PORTION OF ADMIN</t>
  </si>
  <si>
    <t>GREEN POWER - SCH 135/136 BENEFITS PORTION OF ADMIN</t>
  </si>
  <si>
    <t>GREEN POWER - SCH 135/136 CHARGED TO 908/909</t>
  </si>
  <si>
    <t>GREEN POWER - SCH 135/136 TAGS CHARGED TO 557</t>
  </si>
  <si>
    <t>AMORT ON INTEREST ON REC PROCEEDS - SCH 137</t>
  </si>
  <si>
    <t>RESIDENTIAL EXCHANGE - SCH 194</t>
  </si>
  <si>
    <t>LOW INCOME AMORTIZATION - SCHEDULE 129</t>
  </si>
  <si>
    <t>INCREASE (DECREASE) SALES TO CUSTOMERS</t>
  </si>
  <si>
    <t>MUNICIPAL TAXES - SCHEDULE 81</t>
  </si>
  <si>
    <t>Firm Resale</t>
  </si>
  <si>
    <t>PROPERTY TAX AMORTIZATION EXP - SCHEDULE 140</t>
  </si>
  <si>
    <t>Schedule 40</t>
  </si>
  <si>
    <t>CONSERVATION AMORTIZATON - SCHEDULE 120</t>
  </si>
  <si>
    <t>INCREASE (DECREASE) OPERATING EXPENSES</t>
  </si>
  <si>
    <t>Schedule 43</t>
  </si>
  <si>
    <t>REMOVE EXPENSES ASSOCIATED WITH RIDERS</t>
  </si>
  <si>
    <t>(ACTUAL PTC'S REMOVED IN FIT ADJUSTMENT NO. 3.06)</t>
  </si>
  <si>
    <t>Schedule 31</t>
  </si>
  <si>
    <t xml:space="preserve">REMOVE ACCRUAL FOR FUTURE PTC LIABILITY </t>
  </si>
  <si>
    <t>Schedule 29</t>
  </si>
  <si>
    <t>INCREASE(DECREASE) NOI</t>
  </si>
  <si>
    <t>AMORTIZATION OF INTEREST AND GRANTS</t>
  </si>
  <si>
    <t>Schedule 26</t>
  </si>
  <si>
    <t>INCREASE(DECREASE) FIT @</t>
  </si>
  <si>
    <t>STATE UTILITY TAX</t>
  </si>
  <si>
    <t>REMOVE SCHEDULE 95A TREASURY GRANTS</t>
  </si>
  <si>
    <t>Schedule 25</t>
  </si>
  <si>
    <t xml:space="preserve">INCREASE(DECREASE) NOI </t>
  </si>
  <si>
    <t>OTHER OPERATING EXPENSES:</t>
  </si>
  <si>
    <t>Schedule 24</t>
  </si>
  <si>
    <t>INCREASE (DECREASE) FIT (LINE 15 X Line 17)</t>
  </si>
  <si>
    <t>INCREASE(DECREASE) DEFERRED FIT</t>
  </si>
  <si>
    <t>Schedule 7</t>
  </si>
  <si>
    <t>REVENUE ADJUSTMENT:</t>
  </si>
  <si>
    <t>DECREASE REVENUE SENSITIVE ITEMS FOR DECREASE IN REVENUES:</t>
  </si>
  <si>
    <t>INCREASE(DECREASE) FIT</t>
  </si>
  <si>
    <t>INCREASE (DECREASE) OPERATING EXPENSE (LINE 10-LINE 13)</t>
  </si>
  <si>
    <t>TOTAL (INCREASE) DECREASE REVENUES</t>
  </si>
  <si>
    <t>TOTAL CHARGED TO EXPENSE</t>
  </si>
  <si>
    <t xml:space="preserve">INCREASE (DECREASE) FIT @ </t>
  </si>
  <si>
    <t xml:space="preserve">  STORM DAMAGE EXPENSE (LINE 7)</t>
  </si>
  <si>
    <t>UNCOLLECTIBLES CHARGED TO EXPENSE IN TEST YEAR</t>
  </si>
  <si>
    <t>REMOVE JPUD GAIN ON SALE SCH 133</t>
  </si>
  <si>
    <t>DEFERRED FIT - INV TAX CREDIT, NET OF AMORT.</t>
  </si>
  <si>
    <t>CHARGED TO EXPENSE  IN TEST YEAR</t>
  </si>
  <si>
    <t>GREEN POWER - SCH 135/136 ELIMINATE OVER EXPENSED</t>
  </si>
  <si>
    <t>DEFERRED FIT - CREDIT</t>
  </si>
  <si>
    <t>INCREASE (DECREASE) INCOME</t>
  </si>
  <si>
    <t>INCREASE(DECREASE) OPERATING INCOME</t>
  </si>
  <si>
    <t>PROFORMA BAD DEBTS</t>
  </si>
  <si>
    <t>GREEN POWER - SCH 135/136</t>
  </si>
  <si>
    <t>DEFERRED FIT - DEBIT</t>
  </si>
  <si>
    <t>INCREASE (DECREASE ) EXPENSE</t>
  </si>
  <si>
    <t>CHARGED TO EXPENSE</t>
  </si>
  <si>
    <t>SIX-YEAR AVERAGE STORM EXPENSE FOR RATE YEAR (LINE 8 ÷ 6 YEARS)</t>
  </si>
  <si>
    <t>PROFORMA BAD DEBT RATE</t>
  </si>
  <si>
    <t>DECOUPLING SCH 142 SURCHARGE AMORT EXPENSE</t>
  </si>
  <si>
    <t>CURRENTLY PAYABLE</t>
  </si>
  <si>
    <t>DEPRECIATION EXPENSE</t>
  </si>
  <si>
    <t>RESTATED ENERGY TAX</t>
  </si>
  <si>
    <t>INCREASE(DECREASE) INCOME</t>
  </si>
  <si>
    <t>TOTAL INCREASE(DECREASE) IN EXPENSE</t>
  </si>
  <si>
    <t>INCREASE(DECREASE) EXPENSE</t>
  </si>
  <si>
    <t>DECOUPLING SCH 142 REVENUE</t>
  </si>
  <si>
    <t>FIT PER BOOKS:</t>
  </si>
  <si>
    <t>WILD HORSE SOLAR OPERATING EXPENSE</t>
  </si>
  <si>
    <t>TOTAL NORMAL STORMS</t>
  </si>
  <si>
    <t>EXPENSE OFFSET FOR SCH 137 REC AND BIOGAS PROCEEDS</t>
  </si>
  <si>
    <t>TOTAL RESTATED FIT</t>
  </si>
  <si>
    <t xml:space="preserve">     EEELT TAX</t>
  </si>
  <si>
    <t>SUBTOTAL - POWER COSTS TO BE ADJUSTED</t>
  </si>
  <si>
    <t xml:space="preserve">  TWELVE MONTHS ENDED 12/31/17</t>
  </si>
  <si>
    <t xml:space="preserve">INCREASE (DECREASE) DEFERRED FIT @ </t>
  </si>
  <si>
    <t>INCREASE(DECREASE ) IN EXPENSE</t>
  </si>
  <si>
    <t>INCREASE(DECREASE) WUTC FILING FEE</t>
  </si>
  <si>
    <t>REPORTING PERIOD REVENUES</t>
  </si>
  <si>
    <t>REC PROCEEDS - SCH 137 REC AND BIOGAS PROCEEDS</t>
  </si>
  <si>
    <t>DEFERRED FIT - OTHER</t>
  </si>
  <si>
    <t>INCREASE (DECREASE) REVENUES</t>
  </si>
  <si>
    <t>NET WH SOLAR PLANT RATEBASE</t>
  </si>
  <si>
    <t>EEELT TAX RATE</t>
  </si>
  <si>
    <t>PURCHASES/SALES OF NON-CORE GAS &amp; OTHER REV</t>
  </si>
  <si>
    <t xml:space="preserve">  TWELVE MONTHS ENDED 12/31/16</t>
  </si>
  <si>
    <t>CHARGED TO EXPENSE FOR TEST YEAR</t>
  </si>
  <si>
    <t>DEFERRED INCOME TAX LIABILITY</t>
  </si>
  <si>
    <t/>
  </si>
  <si>
    <t xml:space="preserve">  TWELVE MONTHS ENDED 12/31/15</t>
  </si>
  <si>
    <t>INCREASE/(DECREASE) IN OPERATING EXPENSE (LINE 3)</t>
  </si>
  <si>
    <t>RESTATED WUTC FILING FEE</t>
  </si>
  <si>
    <t>3-YR AVERAGE OF NET WRITE OFF RATE</t>
  </si>
  <si>
    <t>LOW INCOME RIDER - SCHEDULE 129</t>
  </si>
  <si>
    <t xml:space="preserve">ACCUM DEPRECIATION </t>
  </si>
  <si>
    <t xml:space="preserve">     WETT TAX</t>
  </si>
  <si>
    <t xml:space="preserve">  TWELVE MONTHS ENDED 12/31/14</t>
  </si>
  <si>
    <t xml:space="preserve">      2017 AND 2011 GRC EXPENSES TO BE NORMALIZED</t>
  </si>
  <si>
    <t>RESTATED INTEREST</t>
  </si>
  <si>
    <t>PLANT BALANCE</t>
  </si>
  <si>
    <t>WETT TAX RATE</t>
  </si>
  <si>
    <t xml:space="preserve">  TWELVE MONTHS ENDED 12/31/13</t>
  </si>
  <si>
    <t>INCREASE/(DECREASE) IN EXPENSE</t>
  </si>
  <si>
    <t>INCREASE (DECREASE ) IN EXPENSE</t>
  </si>
  <si>
    <t>INCREASE(DECREASE) EXCISE TAX</t>
  </si>
  <si>
    <t>PAYROLL TAXES ASSOCI WITH MERIT PAY</t>
  </si>
  <si>
    <t>PROPERTY TAX TRACKER - SCHEDULE 140</t>
  </si>
  <si>
    <t>WEIGHTED COST OF DEBT</t>
  </si>
  <si>
    <t>FEDERAL INCOME TAX @</t>
  </si>
  <si>
    <t>UTILITY PLANT RATEBASE</t>
  </si>
  <si>
    <t>TRANSMISSION LINE LOSS % FOR WECC</t>
  </si>
  <si>
    <t xml:space="preserve">  TWELVE MONTHS ENDED 12/31/12</t>
  </si>
  <si>
    <t>INJURIES &amp; DAMAGES PAYMENTS IN EXCESS OF ACCRUALS</t>
  </si>
  <si>
    <t>CONSERVATION RIDER - SCHEDULE 120</t>
  </si>
  <si>
    <t>REMOVE TEST YEAR EARNINGS SHARING ACCRUAL</t>
  </si>
  <si>
    <t>CHANGE</t>
  </si>
  <si>
    <t>GPI KWH</t>
  </si>
  <si>
    <t>WILD HORSE SOLAR RATEBASE (AMA)</t>
  </si>
  <si>
    <t>ACTUAL KWH</t>
  </si>
  <si>
    <t>PRODUCTION EXPENSES:</t>
  </si>
  <si>
    <t>ACTUAL O&amp;M:</t>
  </si>
  <si>
    <t>ASC 815 OPERATING EXPENSE</t>
  </si>
  <si>
    <t>OPERATING EXPENSES</t>
  </si>
  <si>
    <t>INJURIES &amp; DAMAGES ACCRUALS</t>
  </si>
  <si>
    <t>QUALIFIED RETIREMENT FUND</t>
  </si>
  <si>
    <t>INTEREST EXPENSE FOR TEST YEAR</t>
  </si>
  <si>
    <t>D &amp; O INS. CHG  EXPENSE</t>
  </si>
  <si>
    <t>RESTATED EXCISE TAXES</t>
  </si>
  <si>
    <t>TOTAL INCENTIVE / MERIT PAY</t>
  </si>
  <si>
    <t>REMOVE REVENUES ASSOCIATED WITH RIDERS:</t>
  </si>
  <si>
    <t xml:space="preserve">TAXABLE INCOME  </t>
  </si>
  <si>
    <t>REMOVE MERGER RATE CREDIT SCH 132</t>
  </si>
  <si>
    <t>Ref FOR LOSSES</t>
  </si>
  <si>
    <t>KWH</t>
  </si>
  <si>
    <t>TEMP Ref</t>
  </si>
  <si>
    <t>SOLAR</t>
  </si>
  <si>
    <t>ENERGY TAX</t>
  </si>
  <si>
    <t>COSTS</t>
  </si>
  <si>
    <t>NORMALIZATION</t>
  </si>
  <si>
    <t>DAMAGES</t>
  </si>
  <si>
    <t>PLAN</t>
  </si>
  <si>
    <t>CUST DEPOSITS</t>
  </si>
  <si>
    <t>INSURANCE</t>
  </si>
  <si>
    <t>FILING FEE</t>
  </si>
  <si>
    <t>PAY</t>
  </si>
  <si>
    <t>DEBTS</t>
  </si>
  <si>
    <t>EXPENSES</t>
  </si>
  <si>
    <t>REV &amp; EXP</t>
  </si>
  <si>
    <t>INTEREST</t>
  </si>
  <si>
    <t>&amp; EXPENSE</t>
  </si>
  <si>
    <t>OF OPERATIONS</t>
  </si>
  <si>
    <t>SALES TO CUSTOMERS:</t>
  </si>
  <si>
    <t>TEMPERATURE NORMALIZATION ADJUSTMENT:</t>
  </si>
  <si>
    <t>WILD HORSE</t>
  </si>
  <si>
    <t>MT ELECTRIC</t>
  </si>
  <si>
    <t>POWER</t>
  </si>
  <si>
    <t xml:space="preserve">STORM </t>
  </si>
  <si>
    <t>MISC</t>
  </si>
  <si>
    <t>INJURIES &amp;</t>
  </si>
  <si>
    <t xml:space="preserve">PENSION </t>
  </si>
  <si>
    <t xml:space="preserve">INTEREST ON </t>
  </si>
  <si>
    <t>D&amp;O</t>
  </si>
  <si>
    <t>EXCISE TAX &amp;</t>
  </si>
  <si>
    <t>INCENTIVE</t>
  </si>
  <si>
    <t>BAD</t>
  </si>
  <si>
    <t>RATE CASE</t>
  </si>
  <si>
    <t>PASS-THROUGH</t>
  </si>
  <si>
    <t xml:space="preserve">TAX BENEFIT OF </t>
  </si>
  <si>
    <t>FEDERAL</t>
  </si>
  <si>
    <t>TEMPERATURE</t>
  </si>
  <si>
    <t>ACTUAL RESULTS</t>
  </si>
  <si>
    <t>(DECREASE)</t>
  </si>
  <si>
    <t>Total</t>
  </si>
  <si>
    <t>Distribution</t>
  </si>
  <si>
    <t>Transmission</t>
  </si>
  <si>
    <t>TO REVENUE</t>
  </si>
  <si>
    <t>RESALE FIRM</t>
  </si>
  <si>
    <t>RESALE OTHER</t>
  </si>
  <si>
    <t>WRITEOFF'S</t>
  </si>
  <si>
    <t>YEAR</t>
  </si>
  <si>
    <t>&gt;</t>
  </si>
  <si>
    <t>INCREASE</t>
  </si>
  <si>
    <t xml:space="preserve">LINE </t>
  </si>
  <si>
    <t>WRITEOFFS</t>
  </si>
  <si>
    <t>NET</t>
  </si>
  <si>
    <t>SALES FOR</t>
  </si>
  <si>
    <t>OPERATING</t>
  </si>
  <si>
    <t>GROSS</t>
  </si>
  <si>
    <t xml:space="preserve">PERCENT </t>
  </si>
  <si>
    <t>RESULTS OF OPERATIONS</t>
  </si>
  <si>
    <t>FOR THE TWELVE MONTHS ENDED JUNE 30, 2018</t>
  </si>
  <si>
    <t>STATEMENT OF OPERATING INCOME AND ADJUSTMENTS</t>
  </si>
  <si>
    <t>WILD HORSE SOLAR</t>
  </si>
  <si>
    <t>MONTANA ENERGY TAX</t>
  </si>
  <si>
    <t>POWER COSTS</t>
  </si>
  <si>
    <t>STORM NORMALIZATION</t>
  </si>
  <si>
    <t>MISCELLANEOUS ADJUSTMENTS</t>
  </si>
  <si>
    <t>INJURIES AND DAMAGES</t>
  </si>
  <si>
    <t>PENSION PLAN</t>
  </si>
  <si>
    <t>INTEREST ON CUSTOMER DEPOSITS</t>
  </si>
  <si>
    <t>D&amp;O INSURANCE</t>
  </si>
  <si>
    <t>EXCISE TAX &amp; FILING FEE</t>
  </si>
  <si>
    <t>INCENTIVE PLAN</t>
  </si>
  <si>
    <t>RATE CASE EXPENSES</t>
  </si>
  <si>
    <t>PASS-THROUGH REVENUE &amp; EXPENSE</t>
  </si>
  <si>
    <t>TAX BENEFIT OF INTEREST</t>
  </si>
  <si>
    <t>FEDERAL INCOME TAX</t>
  </si>
  <si>
    <t>REVENUE &amp; EXPENSE RESTATING</t>
  </si>
  <si>
    <t>TEMPERATURE NORMALIZATION</t>
  </si>
  <si>
    <t>Ref 5.01 page 4 of 4</t>
  </si>
  <si>
    <t>Ref 5.01 page 3 of 4</t>
  </si>
  <si>
    <t>Ref 5.01 page 2 of 4</t>
  </si>
  <si>
    <t>Ref 5.08</t>
  </si>
  <si>
    <t>TO "EOP"</t>
  </si>
  <si>
    <t>(END OF PERIOD)</t>
  </si>
  <si>
    <t>EOP RESTATED</t>
  </si>
  <si>
    <t>ANNUALIZING</t>
  </si>
  <si>
    <t>EOP ANNUALIZED</t>
  </si>
  <si>
    <t>CBR RESTATED</t>
  </si>
  <si>
    <t>REMOVE</t>
  </si>
  <si>
    <t>CBR</t>
  </si>
  <si>
    <t>F</t>
  </si>
  <si>
    <t>H</t>
  </si>
  <si>
    <t xml:space="preserve">E = C + D </t>
  </si>
  <si>
    <t xml:space="preserve">G = E + F </t>
  </si>
  <si>
    <t>J</t>
  </si>
  <si>
    <t>K = I + J</t>
  </si>
  <si>
    <t>17GRC ERF</t>
  </si>
  <si>
    <t>TOTAL OTHER OPERATING REVENUES</t>
  </si>
  <si>
    <t xml:space="preserve">POWER </t>
  </si>
  <si>
    <t>EXPENSES OF LAST 2 COMPLETED GRCS</t>
  </si>
  <si>
    <t>ANNUAL NORMALIZATION (LINE 4 / 2)</t>
  </si>
  <si>
    <t>LESS TEST YEAR EXPENSE:  GRC DIRECT CHARGES TO O&amp;M</t>
  </si>
  <si>
    <t xml:space="preserve">EXPENSES OF LAST 2 COMPLETED PCORCS </t>
  </si>
  <si>
    <t xml:space="preserve">     2014 AND 2013 PCORC EXPENSES TO BE NORMALIZED</t>
  </si>
  <si>
    <t>ANNUAL NORMALIZATION (LINE 11 / 4)</t>
  </si>
  <si>
    <t>LESS TEST YEAR EXPENSE:  PCORC DIRECT CHARGES TO O&amp;M</t>
  </si>
  <si>
    <t>EXPENSES TO BE NORMALIZED:</t>
  </si>
  <si>
    <t xml:space="preserve"> 501/547-STEAM FUEL / GAS FOR POWER FUEL</t>
  </si>
  <si>
    <t xml:space="preserve">    565-WHEELING</t>
  </si>
  <si>
    <t xml:space="preserve">    456-PURCHASES/SALES OF NON-CORE GAS</t>
  </si>
  <si>
    <t xml:space="preserve">INCREASE(DECREASE) OPERATING EXPENSE </t>
  </si>
  <si>
    <t>HAVE BEEN HIGHLIGHTED IN GREEN.</t>
  </si>
  <si>
    <t>June</t>
  </si>
  <si>
    <t>February</t>
  </si>
  <si>
    <t>12 ME 06/30/2014 AND 02/28/2013</t>
  </si>
  <si>
    <t>12 ME 06/30/2017 AND 02/29/2016</t>
  </si>
  <si>
    <t>12 ME 06/30/2018 AND 02/28/2017</t>
  </si>
  <si>
    <t>DEFERRED GAIN APPROVED IN  UE-1802823</t>
  </si>
  <si>
    <t>DEFERRED LOSS APRROVED IN UE-1802823</t>
  </si>
  <si>
    <t>n/a</t>
  </si>
  <si>
    <t>Jul-Aug=7.3%; Sep-Jun=7.1%</t>
  </si>
  <si>
    <t>TO EOP</t>
  </si>
  <si>
    <t>EXPENSE TO EOP</t>
  </si>
  <si>
    <t>DEPRECIATION EXPENSE TO END OF PERIOD</t>
  </si>
  <si>
    <t>RATE BASE TO END OF PERIOD</t>
  </si>
  <si>
    <t>EOP</t>
  </si>
  <si>
    <t>TAX BENEFIT OF</t>
  </si>
  <si>
    <t>EOP INTEREST</t>
  </si>
  <si>
    <t>TAX BENEFIT OF PRO FORMA INTEREST</t>
  </si>
  <si>
    <t>WEIGHTED AVERAGE COST OF DEBT</t>
  </si>
  <si>
    <t>TAX BENEFIT OF RESTATED INTEREST</t>
  </si>
  <si>
    <t>TAX BENEFIT</t>
  </si>
  <si>
    <t>OF INTEREST</t>
  </si>
  <si>
    <t>FINAL RATE BASE</t>
  </si>
  <si>
    <t xml:space="preserve">I = G + H </t>
  </si>
  <si>
    <t>12 ME June 30, 2018</t>
  </si>
  <si>
    <t xml:space="preserve">WHITE </t>
  </si>
  <si>
    <t>RIVER</t>
  </si>
  <si>
    <t>REGULATORY ASSET</t>
  </si>
  <si>
    <t xml:space="preserve">    TOTAL WHITE RIVER NET</t>
  </si>
  <si>
    <t>WHITE RIVER AMORTIZATION</t>
  </si>
  <si>
    <t xml:space="preserve">    TOTAL WHITE RIVER EXPENSES</t>
  </si>
  <si>
    <t xml:space="preserve">    INCREASE (DECREASE ) EXPENSE</t>
  </si>
  <si>
    <t xml:space="preserve">     INCREASE (DECREASE) FIT</t>
  </si>
  <si>
    <t xml:space="preserve">     INCREASE (DECREASE) NOI</t>
  </si>
  <si>
    <t>WHITE RIVER</t>
  </si>
  <si>
    <t>REG. ASSETS &amp; LIABILITIES</t>
  </si>
  <si>
    <t>REMOVE NON-OPERATING COSTS FROM OTHER ENERGY SUPPLY EXPENSE</t>
  </si>
  <si>
    <t>REMOVE NON-OPERATING COSTS FROM ADMIN AND GENERAL EXPENSES</t>
  </si>
  <si>
    <t>ANNUALIZE TAX REFORM REVENUES AND EXPENSES</t>
  </si>
  <si>
    <t>MONTANA ELECTRIC ENERGY TAX</t>
  </si>
  <si>
    <t>RATE YEAR KWH</t>
  </si>
  <si>
    <t xml:space="preserve">INCREASE (DECREASE) FIT </t>
  </si>
  <si>
    <t>MONTANA ELECT</t>
  </si>
  <si>
    <t>REGULATORY ASSETS</t>
  </si>
  <si>
    <t>AND LIABILITIES</t>
  </si>
  <si>
    <t>TRANSFER OF HYDRO TREASURY GRANTS IN RATEBASE</t>
  </si>
  <si>
    <t>HYDRO TREASURY GRANTS RATEBASE</t>
  </si>
  <si>
    <t>COLSTRIP 1/2 RETIREMENT ACCOUNT</t>
  </si>
  <si>
    <t>TOTAL TREASURY GRANTS RATEBASE</t>
  </si>
  <si>
    <t>HYDRO TREASURY GRANTS OPERATING EXPENSE</t>
  </si>
  <si>
    <t>AMORTIZATION EXPENSE</t>
  </si>
  <si>
    <t>TOTAL TREASURY GRANTS EXPENSE</t>
  </si>
  <si>
    <t>ANNUALIZE FEDERAL INCOME TAX FOR TAX CUTS AND JOBS ACT</t>
  </si>
  <si>
    <t>AMA OF REGULATORY ASSET/LIABILITY NET OF ACCUM AMORT AND DFIT</t>
  </si>
  <si>
    <t>BEP</t>
  </si>
  <si>
    <t>WESTCOAST PIPELINE CAPACITY - UE-082013 (FB ENERGY)</t>
  </si>
  <si>
    <t>WESTCOAST PIPELINE CAPACITY - UE-100503 (BNP PARIBUS)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</si>
  <si>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</si>
  <si>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</si>
  <si>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</si>
  <si>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</si>
  <si>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FERC PART 12 STUDY NON-CONSTRUCTION COSTS UE-070074 (FERC 407)</t>
  </si>
  <si>
    <t>LOWER SNAKE RIVER PP TRANSM PRINCIPAL $99.8M</t>
  </si>
  <si>
    <t>CARRYING CHARGES ON LSR PP TRANSM $99.8M (FERC 407.3)</t>
  </si>
  <si>
    <t>LOWER SNAKE RIVER PLANT DEFERRAL $18.3M 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</si>
  <si>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</si>
  <si>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</si>
  <si>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</si>
  <si>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</si>
  <si>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</si>
  <si>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</si>
  <si>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 xml:space="preserve">TOTAL REGULATORY ASSETS AND LIABILITIES RATEBASE </t>
  </si>
  <si>
    <t>AMORTIZATION OF REGULATORY ASSET/LIABILITY</t>
  </si>
  <si>
    <t>|------------------------ (NOTE 1) -------------------------|</t>
  </si>
  <si>
    <t>TOTAL AMORTIZATION OF REG ASSETS/LIABS</t>
  </si>
  <si>
    <t xml:space="preserve">(NOTE 1) THE ADJUSTMENTS FOR AMORTIZATION OF POWER COST RELATED REGULATORY ASSETS AND </t>
  </si>
  <si>
    <t>AND THEREFORE ARE NOT ADJUSTED HERE.</t>
  </si>
  <si>
    <t>HYDRO GRANTS</t>
  </si>
  <si>
    <t>RECLASS</t>
  </si>
  <si>
    <t>Ref 11.01</t>
  </si>
  <si>
    <t>SALES FOR RESALE - FIRM</t>
  </si>
  <si>
    <t>ALL OTHER SALES TO CUSTOMERS REVENUE</t>
  </si>
  <si>
    <t>LIMIT FIXED PRODUCTION EOP REVENUES TO AMOUNTS ALLOWED PER TARIFF</t>
  </si>
  <si>
    <t>COMPANY</t>
  </si>
  <si>
    <t>VARIABLE</t>
  </si>
  <si>
    <t>DELIVERY AND</t>
  </si>
  <si>
    <t>FIXED PRODUCTION</t>
  </si>
  <si>
    <t>OPERATING INCOME DEFICIENCY (SURPLUS)</t>
  </si>
  <si>
    <t>REVENUE REQUIREMENT DEFICIENCY (SURPLUS)</t>
  </si>
  <si>
    <t>FEDERAL INCOME TAX @ 21%</t>
  </si>
  <si>
    <t>DEFERRED FIT - DEBIT &amp; CREDIT</t>
  </si>
  <si>
    <t>OTHER POWER COSTS (FIXED 557)</t>
  </si>
  <si>
    <t xml:space="preserve"> 555 + BROKERAGE FEES</t>
  </si>
  <si>
    <t xml:space="preserve"> 557 OTHER POWER COSTS - FIXED ONLY</t>
  </si>
  <si>
    <t xml:space="preserve">    447-SALES TO OTHER UTILITIES</t>
  </si>
  <si>
    <t>ANNUALIZE</t>
  </si>
  <si>
    <t>TOTAL SALES TO CUSTOMERS</t>
  </si>
  <si>
    <t>ANNUALIZED REVENUES FROM UE-180282 TAX REFORM TARIFF FILING</t>
  </si>
  <si>
    <t>REQUESTED AUTHORIZED WEIGHTED COST OF DEBT</t>
  </si>
  <si>
    <t>FINAL INTEREST</t>
  </si>
  <si>
    <t>403.1 ELEC. ASSET RETIREMENT COST DEPRECIATION</t>
  </si>
  <si>
    <t>411.10 ELEC. ASSET RETIREMENT OBLIGATION ACCRETION</t>
  </si>
  <si>
    <t>TOTAL DEPRECIATION AND ACCRETION</t>
  </si>
  <si>
    <t>Check</t>
  </si>
  <si>
    <t>Total Current and Deferred Taxes</t>
  </si>
  <si>
    <t>Plant Related</t>
  </si>
  <si>
    <t>PT</t>
  </si>
  <si>
    <t>WNP3 Book Amortization</t>
  </si>
  <si>
    <t>F-05</t>
  </si>
  <si>
    <t>162(m) Limitation</t>
  </si>
  <si>
    <t>P-19</t>
  </si>
  <si>
    <t>P-07</t>
  </si>
  <si>
    <t>Colstrip Common Amortization</t>
  </si>
  <si>
    <t>F-10</t>
  </si>
  <si>
    <t>Statutory Tax - composite</t>
  </si>
  <si>
    <t>Pre-Tax Book Income</t>
  </si>
  <si>
    <t>Rate Reconciliation</t>
  </si>
  <si>
    <t>Tax Current/ Deferred</t>
  </si>
  <si>
    <t>Taxable NOI</t>
  </si>
  <si>
    <t>Total Tax Adjustments</t>
  </si>
  <si>
    <t>Pretax NOI</t>
  </si>
  <si>
    <t>Plant related Total</t>
  </si>
  <si>
    <t>P-05</t>
  </si>
  <si>
    <t xml:space="preserve"> Colstrip ARO  Total</t>
  </si>
  <si>
    <t>No Key</t>
  </si>
  <si>
    <t>Unearned Revenue - Pole Contacts</t>
  </si>
  <si>
    <t>N-91 Total</t>
  </si>
  <si>
    <t>Goldendale Minor Inspection</t>
  </si>
  <si>
    <t>N-90 Total</t>
  </si>
  <si>
    <t>Redmond West Tenant Allowances</t>
  </si>
  <si>
    <t>N-89 Total</t>
  </si>
  <si>
    <t xml:space="preserve"> FPC Fixed Power Cost</t>
  </si>
  <si>
    <t>N-83 Total</t>
  </si>
  <si>
    <t xml:space="preserve"> Credit Card Deferral</t>
  </si>
  <si>
    <t>N-82 Total</t>
  </si>
  <si>
    <t xml:space="preserve"> PCA Fixed Cost Deferral </t>
  </si>
  <si>
    <t>N-81 Total</t>
  </si>
  <si>
    <t xml:space="preserve"> Operating Lease Obligation DEF Credit-LT</t>
  </si>
  <si>
    <t>N-76 Total</t>
  </si>
  <si>
    <t xml:space="preserve"> Operating Lease Obligation REG ASSET-LT  </t>
  </si>
  <si>
    <t>N-75 Total</t>
  </si>
  <si>
    <t xml:space="preserve"> Electron Unrecovered Loss  </t>
  </si>
  <si>
    <t>N-74 Total</t>
  </si>
  <si>
    <t xml:space="preserve"> Colstrip 3&amp;4 Overhaul Costs - LT</t>
  </si>
  <si>
    <t>N-73 Total</t>
  </si>
  <si>
    <t xml:space="preserve"> Major Inspection </t>
  </si>
  <si>
    <t>N-72 Total</t>
  </si>
  <si>
    <t xml:space="preserve"> Baker Upgrade Deferrals</t>
  </si>
  <si>
    <t>N-63</t>
  </si>
  <si>
    <t xml:space="preserve"> Baker Upgrade Equity Reserve</t>
  </si>
  <si>
    <t xml:space="preserve"> Snoqualmie Deferrals</t>
  </si>
  <si>
    <t>N-62</t>
  </si>
  <si>
    <t xml:space="preserve"> Snoqualmie Equity Reserve</t>
  </si>
  <si>
    <t xml:space="preserve"> Ferndale Deferrals</t>
  </si>
  <si>
    <t>N-61</t>
  </si>
  <si>
    <t xml:space="preserve"> Ferndale Equity Reserve</t>
  </si>
  <si>
    <t xml:space="preserve"> White River Reg Asset</t>
  </si>
  <si>
    <t>N-59 Total</t>
  </si>
  <si>
    <t xml:space="preserve"> Summit Landlord Incentive-common </t>
  </si>
  <si>
    <t>N-56 Total</t>
  </si>
  <si>
    <t xml:space="preserve"> Mint Farm Deferral</t>
  </si>
  <si>
    <t>N-52 Total</t>
  </si>
  <si>
    <t xml:space="preserve"> Snoqualmie Treasury Grant Deferral</t>
  </si>
  <si>
    <t>N-49 Total</t>
  </si>
  <si>
    <t xml:space="preserve"> BPA Carrying Cost - LT</t>
  </si>
  <si>
    <t>N-46</t>
  </si>
  <si>
    <t xml:space="preserve"> BPA Transmission Equity Reserve</t>
  </si>
  <si>
    <t xml:space="preserve"> Self Insurance - IBNR  </t>
  </si>
  <si>
    <t>N-44 Total</t>
  </si>
  <si>
    <t xml:space="preserve"> Reserve for Injuries and Damages Norm  </t>
  </si>
  <si>
    <t>N-43 Total</t>
  </si>
  <si>
    <t xml:space="preserve"> Baker Treasury Grant Deferral  </t>
  </si>
  <si>
    <t>N-40 Total</t>
  </si>
  <si>
    <t xml:space="preserve"> Bothell Data Ctr Prepaid Lease Exp-common  </t>
  </si>
  <si>
    <t>N-37 Total</t>
  </si>
  <si>
    <t xml:space="preserve"> 481(a) Adj - Depr Turnaround on Retirements </t>
  </si>
  <si>
    <t>N-32 Total</t>
  </si>
  <si>
    <t xml:space="preserve"> Vacation Pay-common</t>
  </si>
  <si>
    <t>N-31 Total</t>
  </si>
  <si>
    <t xml:space="preserve"> BNP WestCoast Cap Agreement</t>
  </si>
  <si>
    <t>N-29 Total</t>
  </si>
  <si>
    <t xml:space="preserve"> Electric PCA Customer Portion </t>
  </si>
  <si>
    <t>N-28 Total</t>
  </si>
  <si>
    <t xml:space="preserve"> Summit Purch Opt Buyou</t>
  </si>
  <si>
    <t>N-26 Total</t>
  </si>
  <si>
    <t xml:space="preserve"> Colstrip 3&amp;4 Loss Reserves </t>
  </si>
  <si>
    <t>N-20 Total</t>
  </si>
  <si>
    <t xml:space="preserve"> Horizon Payment</t>
  </si>
  <si>
    <t>N-19</t>
  </si>
  <si>
    <t xml:space="preserve"> Horizon Payment Amortization </t>
  </si>
  <si>
    <t xml:space="preserve"> West Coast Capacity Assignment</t>
  </si>
  <si>
    <t>N-18 Total</t>
  </si>
  <si>
    <t xml:space="preserve"> Deferred Compensation-common</t>
  </si>
  <si>
    <t>N-16 Total</t>
  </si>
  <si>
    <t xml:space="preserve"> Storm Damage 2014</t>
  </si>
  <si>
    <t>N-11</t>
  </si>
  <si>
    <t xml:space="preserve"> Storm Damage 2012</t>
  </si>
  <si>
    <t xml:space="preserve"> Storm Damage 2017 </t>
  </si>
  <si>
    <t xml:space="preserve"> Storm Damage 2016</t>
  </si>
  <si>
    <t xml:space="preserve"> Storm Damage 2006, 2010</t>
  </si>
  <si>
    <t xml:space="preserve"> 2017 Storm Amortization Recovery </t>
  </si>
  <si>
    <t xml:space="preserve"> Emission Allowances</t>
  </si>
  <si>
    <t>N-06 Total</t>
  </si>
  <si>
    <t xml:space="preserve"> Environmental Remediation </t>
  </si>
  <si>
    <t>N-05 Total</t>
  </si>
  <si>
    <t xml:space="preserve"> Green Attributes </t>
  </si>
  <si>
    <t>N-04 Total</t>
  </si>
  <si>
    <t xml:space="preserve"> Land Sales </t>
  </si>
  <si>
    <t>N-03 Total</t>
  </si>
  <si>
    <t xml:space="preserve"> FAS143 - ARO Book Depreciation</t>
  </si>
  <si>
    <t>N-01</t>
  </si>
  <si>
    <t xml:space="preserve"> FAS143 - ARO Book Accretion</t>
  </si>
  <si>
    <t xml:space="preserve"> Bad Debt Expense</t>
  </si>
  <si>
    <t>F-29 Total</t>
  </si>
  <si>
    <t>F-24</t>
  </si>
  <si>
    <t>Variance</t>
  </si>
  <si>
    <t>DefTax Effected</t>
  </si>
  <si>
    <t>M Item Activity</t>
  </si>
  <si>
    <t>M Item Description</t>
  </si>
  <si>
    <t>Tax Return Key</t>
  </si>
  <si>
    <t>CBR Electric</t>
  </si>
  <si>
    <t>July 1, 2017 - June 30, 2018</t>
  </si>
  <si>
    <t>Puget Sound Energy, Inc.</t>
  </si>
  <si>
    <t>REMOVE VARIABLE POWER COSTS</t>
  </si>
  <si>
    <t>VARIABLE POWER</t>
  </si>
  <si>
    <t>COSTS (NON-ERF)</t>
  </si>
  <si>
    <t>RESULTS</t>
  </si>
  <si>
    <t>TOTAL END OF PERIOD RESTATED RESULTS</t>
  </si>
  <si>
    <t>FIT PER EOP RESTATED RESULTS</t>
  </si>
  <si>
    <t>LESS TOTAL TEST YEAR AMORTIZATION IN EOP RESTATED RESULTS</t>
  </si>
  <si>
    <t>ANNUALIZE MAJOR MAINTENANCE IN PRODUCTION O&amp;M</t>
  </si>
  <si>
    <t>RESTATED ENERGY TAX (LINE 4 + LINE 7)</t>
  </si>
  <si>
    <t>INCLUDED IN EOP RESTATED RESULTS</t>
  </si>
  <si>
    <t xml:space="preserve">LIABILITIES ARE PERFORMED IN THE POWER COST ADJUSTMENT (ADJUSTMENT NO. 9.10) </t>
  </si>
  <si>
    <t>REF 7.03</t>
  </si>
  <si>
    <t>REF 7.04</t>
  </si>
  <si>
    <t>REF 7.02</t>
  </si>
  <si>
    <t>REF 9.02</t>
  </si>
  <si>
    <t>REF 9.03</t>
  </si>
  <si>
    <t>REF 9.04</t>
  </si>
  <si>
    <t>REF 9.05</t>
  </si>
  <si>
    <t>REF 9.06</t>
  </si>
  <si>
    <t>REF 9.07</t>
  </si>
  <si>
    <t>REF 9.08</t>
  </si>
  <si>
    <t>REF 9.09</t>
  </si>
  <si>
    <t>REF 9.10</t>
  </si>
  <si>
    <t>REF 9.11</t>
  </si>
  <si>
    <t>REF 9.12</t>
  </si>
  <si>
    <t>REF 9.13</t>
  </si>
  <si>
    <t>REF 9.14</t>
  </si>
  <si>
    <t>TOTAL CHANGE</t>
  </si>
  <si>
    <t>ADDITIONAL INTEREST</t>
  </si>
  <si>
    <t>END OF PERIOD ADJUSTMENTS SUMMARY</t>
  </si>
  <si>
    <t>Ref 7.01</t>
  </si>
  <si>
    <t>Meals &amp; Entertainment / Meals</t>
  </si>
  <si>
    <t>Hydro Treasury Grant</t>
  </si>
  <si>
    <t>Hydro Treasury GRANT</t>
  </si>
  <si>
    <t>ADJUST DFIT TO REFLECT ACTUAL JUNE 30, 2018 PLANT BOOK BALANCES</t>
  </si>
  <si>
    <t>Ref 3.03</t>
  </si>
  <si>
    <t>Ref 3.04</t>
  </si>
  <si>
    <t xml:space="preserve">Ref 3.01 </t>
  </si>
  <si>
    <t>OVERALL REVENUE REQUIREMENT DEFICIENCY</t>
  </si>
  <si>
    <t>REVENUE REQUIREMENT DEFICIENCY - STATE</t>
  </si>
  <si>
    <t>Ref 3.02</t>
  </si>
  <si>
    <t>USED FOR SETTING ERF REVENUE REQUIREMENT</t>
  </si>
  <si>
    <t>Ref 9.01 p 1/2</t>
  </si>
  <si>
    <t>Ref 9.01 p 2/2</t>
  </si>
  <si>
    <t>FINAL TAX BENEFIT OF INTEREST AT CURRENT FIT RATE</t>
  </si>
  <si>
    <t>AMORTIZATION FOR TEST YEAR IN EOP RESTATED RESULTS</t>
  </si>
  <si>
    <t>LESSAMORTIZATION INCLUDED IN EOP RESTATED RESULTS</t>
  </si>
  <si>
    <t>WHITE RIVER RATEBASE</t>
  </si>
  <si>
    <t>HYDRO TREASURY GRANTS BALANCE</t>
  </si>
  <si>
    <t>RATE BASE CHANGE</t>
  </si>
  <si>
    <t>Ref 5.01 page 1 of 4</t>
  </si>
  <si>
    <t>FEDERAL INCOME TAX ( LINE 7 *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</si>
</sst>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#,##0.0000000;\(#,##0.0000000\)"/>
    <numFmt numFmtId="166" formatCode="#,##0;\(#,##0\)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_);[Red]_(&quot;$&quot;* \(#,##0\);_(&quot;$&quot;* &quot;-&quot;_);_(@_)"/>
    <numFmt numFmtId="170" formatCode="0.000000"/>
    <numFmt numFmtId="171" formatCode="0.0000%"/>
    <numFmt numFmtId="172" formatCode="0.00000%"/>
    <numFmt numFmtId="173" formatCode="&quot;Adj.&quot;\ 0.00"/>
    <numFmt numFmtId="174" formatCode="0.00000"/>
    <numFmt numFmtId="175" formatCode="_(* #,##0.0_);_(* \(#,##0.0\);_(* &quot;-&quot;??_);_(@_)"/>
    <numFmt numFmtId="176" formatCode="0.0%"/>
    <numFmt numFmtId="177" formatCode="0.00000000"/>
    <numFmt numFmtId="178" formatCode="0.0000000"/>
    <numFmt numFmtId="179" formatCode="#,##0.000000;\(#,##0.000000\)"/>
    <numFmt numFmtId="180" formatCode="#,##0.0000"/>
    <numFmt numFmtId="181" formatCode="yyyy"/>
    <numFmt numFmtId="182" formatCode="_(* #,##0.00000_);_(* \(#,##0.00000\);_(* &quot;-&quot;?????_);_(@_)"/>
    <numFmt numFmtId="183" formatCode="&quot;Ref&quot;\ 0.00"/>
    <numFmt numFmtId="184" formatCode="0.0000000000000000%"/>
  </numFmts>
  <fonts count="45" x14ac:knownFonts="1">
    <font>
      <sz val="8"/>
      <name val="Helv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i/>
      <sz val="10"/>
      <name val="Times New Roman"/>
      <family val="1"/>
    </font>
    <font>
      <sz val="10"/>
      <name val="Helv"/>
    </font>
    <font>
      <b/>
      <sz val="8"/>
      <name val="Times New Roman"/>
      <family val="1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8.8000000000000007"/>
      <name val="Symbol"/>
      <family val="1"/>
      <charset val="2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b/>
      <i/>
      <sz val="8"/>
      <name val="Helv"/>
    </font>
    <font>
      <b/>
      <u/>
      <sz val="10"/>
      <name val="Times New Roman"/>
      <family val="1"/>
    </font>
    <font>
      <u/>
      <sz val="10"/>
      <color rgb="FF0000CC"/>
      <name val="Times New Roman"/>
      <family val="1"/>
    </font>
    <font>
      <sz val="10"/>
      <color rgb="FF0000FF"/>
      <name val="Calibri"/>
      <family val="2"/>
    </font>
    <font>
      <sz val="10"/>
      <color rgb="FF0000CC"/>
      <name val="Times New Roman"/>
      <family val="1"/>
    </font>
    <font>
      <sz val="11"/>
      <color rgb="FFFF0000"/>
      <name val="Calibri"/>
      <family val="2"/>
      <scheme val="minor"/>
    </font>
    <font>
      <vertAlign val="superscript"/>
      <sz val="9"/>
      <name val="Times New Roman"/>
      <family val="1"/>
    </font>
    <font>
      <sz val="8"/>
      <color rgb="FFFF0000"/>
      <name val="Helv"/>
    </font>
    <font>
      <sz val="10"/>
      <color rgb="FFFF0000"/>
      <name val="Times New Roman"/>
      <family val="1"/>
    </font>
    <font>
      <vertAlign val="superscript"/>
      <sz val="9"/>
      <color rgb="FF0000CC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b/>
      <sz val="11"/>
      <name val="Times New Roman"/>
      <family val="1"/>
    </font>
    <font>
      <b/>
      <sz val="8"/>
      <name val="Helv"/>
    </font>
    <font>
      <b/>
      <sz val="8"/>
      <color rgb="FFFF0000"/>
      <name val="Helv"/>
    </font>
    <font>
      <b/>
      <u/>
      <sz val="10"/>
      <color rgb="FFFF0000"/>
      <name val="Times New Roman"/>
      <family val="1"/>
    </font>
    <font>
      <b/>
      <i/>
      <sz val="10"/>
      <color rgb="FF006600"/>
      <name val="Times New Roman"/>
      <family val="1"/>
    </font>
    <font>
      <sz val="10"/>
      <color rgb="FF0000FF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8"/>
      <name val="Times New Roman"/>
      <family val="1"/>
    </font>
    <font>
      <i/>
      <sz val="10"/>
      <color rgb="FF0000FF"/>
      <name val="Times New Roman"/>
      <family val="1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170" fontId="0" fillId="0" borderId="0">
      <alignment horizontal="left" wrapText="1"/>
    </xf>
  </cellStyleXfs>
  <cellXfs count="765">
    <xf numFmtId="0" fontId="0" fillId="0" borderId="0" xfId="0" applyNumberFormat="1" applyAlignment="1"/>
    <xf numFmtId="167" fontId="16" fillId="0" borderId="0" xfId="0" applyNumberFormat="1" applyFont="1" applyAlignment="1"/>
    <xf numFmtId="167" fontId="16" fillId="0" borderId="0" xfId="0" applyNumberFormat="1" applyFont="1" applyBorder="1" applyAlignment="1"/>
    <xf numFmtId="167" fontId="16" fillId="0" borderId="39" xfId="0" applyNumberFormat="1" applyFont="1" applyFill="1" applyBorder="1" applyAlignment="1"/>
    <xf numFmtId="167" fontId="16" fillId="0" borderId="40" xfId="0" applyNumberFormat="1" applyFont="1" applyFill="1" applyBorder="1" applyAlignment="1"/>
    <xf numFmtId="43" fontId="16" fillId="0" borderId="0" xfId="0" applyNumberFormat="1" applyFont="1" applyFill="1" applyBorder="1" applyAlignment="1"/>
    <xf numFmtId="43" fontId="16" fillId="0" borderId="0" xfId="0" applyNumberFormat="1" applyFont="1" applyFill="1" applyAlignment="1"/>
    <xf numFmtId="43" fontId="16" fillId="0" borderId="0" xfId="0" applyNumberFormat="1" applyFont="1" applyFill="1" applyAlignment="1">
      <alignment horizontal="left"/>
    </xf>
    <xf numFmtId="167" fontId="16" fillId="0" borderId="0" xfId="0" applyNumberFormat="1" applyFont="1" applyFill="1" applyAlignment="1">
      <alignment horizontal="left"/>
    </xf>
    <xf numFmtId="167" fontId="16" fillId="6" borderId="0" xfId="0" applyNumberFormat="1" applyFont="1" applyFill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Fill="1" applyAlignment="1">
      <alignment horizontal="right"/>
    </xf>
    <xf numFmtId="167" fontId="1" fillId="0" borderId="39" xfId="0" applyNumberFormat="1" applyFont="1" applyFill="1" applyBorder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Border="1" applyAlignment="1"/>
    <xf numFmtId="167" fontId="1" fillId="0" borderId="0" xfId="0" applyNumberFormat="1" applyFont="1" applyFill="1" applyBorder="1" applyAlignment="1"/>
    <xf numFmtId="167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43" fontId="1" fillId="0" borderId="0" xfId="0" applyNumberFormat="1" applyFont="1" applyFill="1" applyAlignment="1"/>
    <xf numFmtId="0" fontId="1" fillId="7" borderId="0" xfId="0" applyNumberFormat="1" applyFont="1" applyFill="1" applyAlignment="1"/>
    <xf numFmtId="0" fontId="1" fillId="0" borderId="0" xfId="0" applyNumberFormat="1" applyFont="1" applyFill="1" applyAlignment="1"/>
    <xf numFmtId="167" fontId="1" fillId="6" borderId="0" xfId="0" applyNumberFormat="1" applyFont="1" applyFill="1" applyAlignment="1"/>
    <xf numFmtId="0" fontId="1" fillId="6" borderId="0" xfId="0" applyNumberFormat="1" applyFont="1" applyFill="1" applyAlignment="1"/>
    <xf numFmtId="0" fontId="1" fillId="6" borderId="0" xfId="0" applyNumberFormat="1" applyFont="1" applyFill="1" applyAlignment="1">
      <alignment horizontal="left"/>
    </xf>
    <xf numFmtId="0" fontId="1" fillId="0" borderId="0" xfId="0" applyNumberFormat="1" applyFont="1" applyAlignment="1"/>
    <xf numFmtId="0" fontId="3" fillId="0" borderId="0" xfId="0" applyNumberFormat="1" applyFont="1" applyFill="1" applyAlignment="1">
      <alignment horizontal="right"/>
    </xf>
    <xf numFmtId="42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fill"/>
    </xf>
    <xf numFmtId="41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42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Alignment="1">
      <alignment horizontal="left"/>
    </xf>
    <xf numFmtId="166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42" fontId="2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fill"/>
    </xf>
    <xf numFmtId="41" fontId="2" fillId="0" borderId="0" xfId="0" applyNumberFormat="1" applyFont="1" applyFill="1" applyBorder="1" applyAlignment="1" applyProtection="1">
      <protection locked="0"/>
    </xf>
    <xf numFmtId="166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49" fontId="2" fillId="0" borderId="0" xfId="0" applyNumberFormat="1" applyFont="1" applyFill="1" applyAlignment="1"/>
    <xf numFmtId="0" fontId="3" fillId="0" borderId="0" xfId="0" applyNumberFormat="1" applyFont="1" applyFill="1" applyAlignment="1"/>
    <xf numFmtId="0" fontId="0" fillId="0" borderId="0" xfId="0" applyNumberFormat="1" applyFill="1" applyAlignment="1"/>
    <xf numFmtId="49" fontId="3" fillId="0" borderId="0" xfId="0" applyNumberFormat="1" applyFont="1" applyFill="1" applyAlignment="1"/>
    <xf numFmtId="0" fontId="2" fillId="0" borderId="1" xfId="0" applyNumberFormat="1" applyFont="1" applyFill="1" applyBorder="1" applyAlignment="1"/>
    <xf numFmtId="166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42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10" fontId="2" fillId="0" borderId="0" xfId="0" applyNumberFormat="1" applyFont="1" applyFill="1" applyAlignment="1"/>
    <xf numFmtId="167" fontId="2" fillId="0" borderId="0" xfId="0" applyNumberFormat="1" applyFont="1" applyFill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165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center" wrapText="1"/>
    </xf>
    <xf numFmtId="2" fontId="3" fillId="0" borderId="0" xfId="0" applyNumberFormat="1" applyFont="1" applyFill="1" applyAlignment="1" applyProtection="1">
      <alignment horizontal="center"/>
      <protection locked="0"/>
    </xf>
    <xf numFmtId="170" fontId="0" fillId="0" borderId="0" xfId="0" applyFill="1">
      <alignment horizontal="left" wrapText="1"/>
    </xf>
    <xf numFmtId="42" fontId="3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 applyProtection="1">
      <alignment horizontal="fill"/>
      <protection locked="0"/>
    </xf>
    <xf numFmtId="10" fontId="2" fillId="0" borderId="0" xfId="0" applyNumberFormat="1" applyFont="1" applyFill="1" applyAlignment="1" applyProtection="1">
      <protection locked="0"/>
    </xf>
    <xf numFmtId="9" fontId="2" fillId="0" borderId="0" xfId="0" applyNumberFormat="1" applyFont="1" applyFill="1" applyBorder="1" applyAlignment="1"/>
    <xf numFmtId="0" fontId="3" fillId="0" borderId="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3" fillId="0" borderId="6" xfId="0" applyNumberFormat="1" applyFont="1" applyFill="1" applyBorder="1" applyAlignment="1" applyProtection="1">
      <alignment horizontal="centerContinuous"/>
      <protection locked="0"/>
    </xf>
    <xf numFmtId="0" fontId="2" fillId="0" borderId="9" xfId="0" applyNumberFormat="1" applyFont="1" applyFill="1" applyBorder="1" applyAlignment="1"/>
    <xf numFmtId="0" fontId="3" fillId="0" borderId="6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3" fillId="0" borderId="4" xfId="0" applyNumberFormat="1" applyFont="1" applyFill="1" applyBorder="1" applyAlignment="1"/>
    <xf numFmtId="0" fontId="2" fillId="0" borderId="7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/>
    <xf numFmtId="37" fontId="14" fillId="0" borderId="0" xfId="0" applyNumberFormat="1" applyFont="1" applyFill="1" applyAlignment="1"/>
    <xf numFmtId="0" fontId="16" fillId="0" borderId="0" xfId="0" applyNumberFormat="1" applyFont="1" applyAlignment="1"/>
    <xf numFmtId="42" fontId="2" fillId="0" borderId="0" xfId="0" applyNumberFormat="1" applyFont="1" applyFill="1" applyBorder="1" applyAlignment="1"/>
    <xf numFmtId="0" fontId="3" fillId="0" borderId="11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41" fontId="2" fillId="0" borderId="11" xfId="0" applyNumberFormat="1" applyFont="1" applyFill="1" applyBorder="1" applyAlignment="1" applyProtection="1">
      <protection locked="0"/>
    </xf>
    <xf numFmtId="42" fontId="2" fillId="0" borderId="9" xfId="0" applyNumberFormat="1" applyFont="1" applyFill="1" applyBorder="1" applyAlignment="1">
      <alignment horizontal="right"/>
    </xf>
    <xf numFmtId="41" fontId="2" fillId="0" borderId="9" xfId="0" applyNumberFormat="1" applyFont="1" applyFill="1" applyBorder="1" applyAlignment="1"/>
    <xf numFmtId="166" fontId="2" fillId="0" borderId="9" xfId="0" applyNumberFormat="1" applyFont="1" applyFill="1" applyBorder="1" applyAlignment="1"/>
    <xf numFmtId="41" fontId="2" fillId="0" borderId="10" xfId="0" applyNumberFormat="1" applyFont="1" applyFill="1" applyBorder="1" applyAlignment="1"/>
    <xf numFmtId="0" fontId="0" fillId="0" borderId="0" xfId="0" applyNumberFormat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17" fillId="0" borderId="0" xfId="0" applyNumberFormat="1" applyFont="1" applyFill="1" applyAlignment="1">
      <alignment horizontal="centerContinuous"/>
    </xf>
    <xf numFmtId="0" fontId="2" fillId="0" borderId="9" xfId="0" applyNumberFormat="1" applyFont="1" applyFill="1" applyBorder="1" applyAlignment="1">
      <alignment horizontal="centerContinuous"/>
    </xf>
    <xf numFmtId="0" fontId="3" fillId="0" borderId="0" xfId="0" quotePrefix="1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center"/>
    </xf>
    <xf numFmtId="42" fontId="2" fillId="0" borderId="1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center"/>
    </xf>
    <xf numFmtId="10" fontId="3" fillId="0" borderId="10" xfId="0" applyNumberFormat="1" applyFont="1" applyFill="1" applyBorder="1" applyAlignment="1"/>
    <xf numFmtId="0" fontId="2" fillId="0" borderId="0" xfId="0" applyNumberFormat="1" applyFont="1" applyAlignment="1"/>
    <xf numFmtId="0" fontId="0" fillId="0" borderId="0" xfId="0" applyNumberFormat="1" applyFont="1" applyAlignment="1"/>
    <xf numFmtId="170" fontId="2" fillId="0" borderId="0" xfId="0" applyFont="1" applyFill="1" applyAlignment="1">
      <alignment horizontal="left"/>
    </xf>
    <xf numFmtId="42" fontId="2" fillId="0" borderId="0" xfId="0" applyNumberFormat="1" applyFont="1" applyAlignment="1"/>
    <xf numFmtId="9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Continuous"/>
      <protection locked="0"/>
    </xf>
    <xf numFmtId="15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protection locked="0"/>
    </xf>
    <xf numFmtId="164" fontId="2" fillId="0" borderId="0" xfId="0" applyNumberFormat="1" applyFont="1" applyFill="1" applyAlignment="1">
      <alignment horizontal="left"/>
    </xf>
    <xf numFmtId="41" fontId="2" fillId="0" borderId="0" xfId="0" applyNumberFormat="1" applyFont="1" applyAlignment="1"/>
    <xf numFmtId="41" fontId="2" fillId="0" borderId="0" xfId="0" applyNumberFormat="1" applyFont="1" applyFill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>
      <alignment horizontal="right"/>
    </xf>
    <xf numFmtId="42" fontId="2" fillId="0" borderId="0" xfId="0" applyNumberFormat="1" applyFont="1" applyFill="1" applyAlignment="1"/>
    <xf numFmtId="42" fontId="0" fillId="0" borderId="0" xfId="0" applyNumberFormat="1" applyFont="1" applyAlignment="1"/>
    <xf numFmtId="0" fontId="2" fillId="0" borderId="0" xfId="0" applyNumberFormat="1" applyFont="1" applyFill="1" applyAlignment="1">
      <alignment horizontal="left" indent="1"/>
    </xf>
    <xf numFmtId="0" fontId="3" fillId="0" borderId="0" xfId="0" applyNumberFormat="1" applyFont="1" applyFill="1" applyBorder="1" applyAlignment="1">
      <alignment horizontal="center"/>
    </xf>
    <xf numFmtId="170" fontId="0" fillId="0" borderId="0" xfId="0" applyFont="1" applyFill="1">
      <alignment horizontal="left" wrapText="1"/>
    </xf>
    <xf numFmtId="169" fontId="2" fillId="0" borderId="0" xfId="0" applyNumberFormat="1" applyFont="1" applyFill="1" applyAlignment="1" applyProtection="1">
      <alignment horizontal="left"/>
    </xf>
    <xf numFmtId="41" fontId="2" fillId="0" borderId="0" xfId="0" applyNumberFormat="1" applyFont="1" applyFill="1" applyAlignment="1" applyProtection="1">
      <alignment horizontal="right"/>
      <protection locked="0"/>
    </xf>
    <xf numFmtId="168" fontId="2" fillId="0" borderId="0" xfId="0" applyNumberFormat="1" applyFont="1" applyFill="1" applyAlignment="1"/>
    <xf numFmtId="0" fontId="8" fillId="0" borderId="0" xfId="0" applyNumberFormat="1" applyFont="1" applyFill="1" applyAlignment="1"/>
    <xf numFmtId="167" fontId="2" fillId="0" borderId="0" xfId="0" applyNumberFormat="1" applyFont="1" applyFill="1" applyAlignment="1"/>
    <xf numFmtId="41" fontId="2" fillId="0" borderId="13" xfId="0" applyNumberFormat="1" applyFont="1" applyFill="1" applyBorder="1" applyAlignment="1" applyProtection="1">
      <protection locked="0"/>
    </xf>
    <xf numFmtId="167" fontId="2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fill"/>
    </xf>
    <xf numFmtId="170" fontId="11" fillId="0" borderId="0" xfId="0" applyFont="1" applyFill="1" applyBorder="1" applyAlignment="1"/>
    <xf numFmtId="49" fontId="11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41" fontId="2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center"/>
      <protection locked="0"/>
    </xf>
    <xf numFmtId="41" fontId="2" fillId="0" borderId="14" xfId="0" applyNumberFormat="1" applyFont="1" applyFill="1" applyBorder="1" applyAlignment="1"/>
    <xf numFmtId="37" fontId="2" fillId="0" borderId="0" xfId="0" applyNumberFormat="1" applyFont="1" applyFill="1" applyBorder="1" applyAlignment="1"/>
    <xf numFmtId="9" fontId="2" fillId="0" borderId="0" xfId="0" applyNumberFormat="1" applyFont="1" applyFill="1" applyAlignment="1">
      <alignment horizontal="right"/>
    </xf>
    <xf numFmtId="41" fontId="2" fillId="0" borderId="15" xfId="0" applyNumberFormat="1" applyFont="1" applyFill="1" applyBorder="1" applyAlignment="1"/>
    <xf numFmtId="174" fontId="2" fillId="0" borderId="0" xfId="0" applyNumberFormat="1" applyFont="1" applyFill="1" applyAlignment="1"/>
    <xf numFmtId="170" fontId="2" fillId="0" borderId="0" xfId="0" applyFont="1" applyFill="1" applyAlignment="1"/>
    <xf numFmtId="42" fontId="2" fillId="0" borderId="16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9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9" fontId="2" fillId="0" borderId="0" xfId="0" applyNumberFormat="1" applyFont="1" applyFill="1" applyAlignment="1"/>
    <xf numFmtId="0" fontId="2" fillId="0" borderId="14" xfId="0" applyNumberFormat="1" applyFont="1" applyFill="1" applyBorder="1" applyAlignment="1"/>
    <xf numFmtId="168" fontId="2" fillId="0" borderId="0" xfId="0" applyNumberFormat="1" applyFont="1" applyFill="1" applyBorder="1" applyAlignment="1"/>
    <xf numFmtId="43" fontId="2" fillId="0" borderId="0" xfId="0" applyNumberFormat="1" applyFont="1" applyFill="1" applyAlignment="1"/>
    <xf numFmtId="0" fontId="2" fillId="0" borderId="15" xfId="0" applyNumberFormat="1" applyFont="1" applyFill="1" applyBorder="1" applyAlignment="1"/>
    <xf numFmtId="0" fontId="4" fillId="0" borderId="0" xfId="0" applyNumberFormat="1" applyFont="1" applyFill="1" applyAlignment="1"/>
    <xf numFmtId="170" fontId="2" fillId="0" borderId="0" xfId="0" applyFont="1" applyFill="1" applyAlignment="1">
      <alignment horizontal="left" wrapText="1"/>
    </xf>
    <xf numFmtId="1" fontId="2" fillId="0" borderId="0" xfId="0" quotePrefix="1" applyNumberFormat="1" applyFont="1" applyFill="1" applyAlignment="1">
      <alignment horizontal="left"/>
    </xf>
    <xf numFmtId="41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Alignment="1"/>
    <xf numFmtId="41" fontId="2" fillId="0" borderId="14" xfId="0" applyNumberFormat="1" applyFont="1" applyFill="1" applyBorder="1" applyAlignment="1" applyProtection="1">
      <protection locked="0"/>
    </xf>
    <xf numFmtId="170" fontId="2" fillId="0" borderId="0" xfId="0" applyFont="1" applyFill="1" applyAlignment="1">
      <alignment horizontal="left" indent="1"/>
    </xf>
    <xf numFmtId="170" fontId="2" fillId="0" borderId="0" xfId="0" applyFont="1" applyFill="1" applyBorder="1" applyAlignment="1" applyProtection="1">
      <alignment horizontal="left"/>
      <protection locked="0"/>
    </xf>
    <xf numFmtId="15" fontId="2" fillId="0" borderId="0" xfId="0" applyNumberFormat="1" applyFont="1" applyFill="1" applyAlignment="1"/>
    <xf numFmtId="41" fontId="2" fillId="0" borderId="0" xfId="0" applyNumberFormat="1" applyFont="1" applyFill="1" applyAlignment="1">
      <alignment horizontal="left" wrapText="1"/>
    </xf>
    <xf numFmtId="41" fontId="2" fillId="0" borderId="15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0" xfId="0" applyNumberFormat="1" applyFont="1" applyFill="1" applyAlignment="1" applyProtection="1">
      <alignment horizontal="right"/>
      <protection locked="0"/>
    </xf>
    <xf numFmtId="0" fontId="4" fillId="0" borderId="0" xfId="0" applyNumberFormat="1" applyFont="1" applyFill="1" applyBorder="1" applyAlignment="1">
      <alignment horizontal="center"/>
    </xf>
    <xf numFmtId="42" fontId="2" fillId="0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NumberFormat="1" applyFont="1" applyFill="1" applyBorder="1" applyAlignment="1"/>
    <xf numFmtId="0" fontId="3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14" xfId="0" applyNumberFormat="1" applyFont="1" applyFill="1" applyBorder="1" applyAlignment="1">
      <alignment horizontal="left"/>
    </xf>
    <xf numFmtId="0" fontId="3" fillId="0" borderId="14" xfId="0" applyNumberFormat="1" applyFont="1" applyFill="1" applyBorder="1" applyAlignment="1" applyProtection="1">
      <protection locked="0"/>
    </xf>
    <xf numFmtId="3" fontId="3" fillId="0" borderId="14" xfId="0" applyNumberFormat="1" applyFont="1" applyFill="1" applyBorder="1" applyAlignment="1">
      <alignment horizontal="center"/>
    </xf>
    <xf numFmtId="170" fontId="3" fillId="0" borderId="0" xfId="0" applyFont="1" applyFill="1" applyAlignment="1"/>
    <xf numFmtId="170" fontId="3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3" fontId="3" fillId="0" borderId="0" xfId="0" applyNumberFormat="1" applyFont="1" applyFill="1" applyAlignment="1"/>
    <xf numFmtId="3" fontId="19" fillId="0" borderId="0" xfId="0" applyNumberFormat="1" applyFont="1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 applyProtection="1">
      <alignment horizontal="centerContinuous"/>
      <protection locked="0"/>
    </xf>
    <xf numFmtId="0" fontId="0" fillId="0" borderId="0" xfId="0" applyNumberFormat="1" applyFill="1" applyAlignment="1">
      <alignment horizontal="center"/>
    </xf>
    <xf numFmtId="173" fontId="3" fillId="0" borderId="2" xfId="0" applyNumberFormat="1" applyFont="1" applyFill="1" applyBorder="1" applyAlignment="1">
      <alignment horizontal="center"/>
    </xf>
    <xf numFmtId="41" fontId="2" fillId="2" borderId="17" xfId="0" applyNumberFormat="1" applyFont="1" applyFill="1" applyBorder="1" applyAlignment="1"/>
    <xf numFmtId="0" fontId="2" fillId="2" borderId="17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left"/>
      <protection locked="0"/>
    </xf>
    <xf numFmtId="41" fontId="2" fillId="0" borderId="0" xfId="0" quotePrefix="1" applyNumberFormat="1" applyFont="1" applyFill="1" applyAlignment="1">
      <alignment horizontal="left"/>
    </xf>
    <xf numFmtId="41" fontId="2" fillId="0" borderId="0" xfId="0" applyNumberFormat="1" applyFont="1" applyFill="1" applyBorder="1" applyAlignment="1">
      <alignment horizontal="left" indent="1"/>
    </xf>
    <xf numFmtId="41" fontId="2" fillId="0" borderId="0" xfId="0" applyNumberFormat="1" applyFont="1" applyFill="1" applyBorder="1" applyAlignment="1" applyProtection="1">
      <alignment horizontal="left"/>
      <protection locked="0"/>
    </xf>
    <xf numFmtId="41" fontId="2" fillId="0" borderId="0" xfId="0" applyNumberFormat="1" applyFont="1" applyFill="1" applyAlignment="1">
      <alignment horizontal="left" indent="1"/>
    </xf>
    <xf numFmtId="41" fontId="2" fillId="0" borderId="14" xfId="0" applyNumberFormat="1" applyFont="1" applyFill="1" applyBorder="1" applyAlignment="1">
      <alignment horizontal="centerContinuous" vertical="center" wrapText="1"/>
    </xf>
    <xf numFmtId="0" fontId="2" fillId="0" borderId="14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/>
    <xf numFmtId="0" fontId="21" fillId="0" borderId="0" xfId="0" applyNumberFormat="1" applyFont="1" applyAlignment="1"/>
    <xf numFmtId="9" fontId="2" fillId="0" borderId="0" xfId="0" applyNumberFormat="1" applyFont="1" applyFill="1" applyBorder="1" applyAlignment="1">
      <alignment horizontal="right" wrapText="1"/>
    </xf>
    <xf numFmtId="42" fontId="2" fillId="0" borderId="3" xfId="0" applyNumberFormat="1" applyFont="1" applyFill="1" applyBorder="1" applyAlignment="1"/>
    <xf numFmtId="0" fontId="21" fillId="0" borderId="0" xfId="0" applyNumberFormat="1" applyFont="1" applyFill="1" applyAlignment="1"/>
    <xf numFmtId="0" fontId="2" fillId="0" borderId="14" xfId="0" applyNumberFormat="1" applyFont="1" applyFill="1" applyBorder="1" applyAlignment="1">
      <alignment horizontal="centerContinuous" vertical="center" wrapText="1"/>
    </xf>
    <xf numFmtId="167" fontId="0" fillId="0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37" fontId="2" fillId="0" borderId="19" xfId="0" applyNumberFormat="1" applyFont="1" applyFill="1" applyBorder="1" applyAlignment="1"/>
    <xf numFmtId="37" fontId="2" fillId="0" borderId="21" xfId="0" applyNumberFormat="1" applyFont="1" applyFill="1" applyBorder="1" applyAlignment="1"/>
    <xf numFmtId="41" fontId="2" fillId="0" borderId="21" xfId="0" applyNumberFormat="1" applyFont="1" applyFill="1" applyBorder="1" applyAlignment="1"/>
    <xf numFmtId="37" fontId="2" fillId="0" borderId="22" xfId="0" applyNumberFormat="1" applyFont="1" applyFill="1" applyBorder="1" applyAlignment="1"/>
    <xf numFmtId="37" fontId="2" fillId="0" borderId="22" xfId="0" applyNumberFormat="1" applyFont="1" applyFill="1" applyBorder="1" applyAlignment="1" applyProtection="1">
      <protection locked="0"/>
    </xf>
    <xf numFmtId="0" fontId="2" fillId="0" borderId="21" xfId="0" applyNumberFormat="1" applyFont="1" applyFill="1" applyBorder="1" applyAlignment="1"/>
    <xf numFmtId="0" fontId="2" fillId="0" borderId="22" xfId="0" applyNumberFormat="1" applyFont="1" applyFill="1" applyBorder="1" applyAlignment="1"/>
    <xf numFmtId="0" fontId="3" fillId="0" borderId="19" xfId="0" applyNumberFormat="1" applyFont="1" applyFill="1" applyBorder="1" applyAlignment="1">
      <alignment horizontal="center"/>
    </xf>
    <xf numFmtId="41" fontId="3" fillId="0" borderId="21" xfId="0" applyNumberFormat="1" applyFont="1" applyFill="1" applyBorder="1" applyAlignment="1">
      <alignment horizontal="center"/>
    </xf>
    <xf numFmtId="0" fontId="3" fillId="0" borderId="22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Continuous"/>
    </xf>
    <xf numFmtId="0" fontId="16" fillId="0" borderId="0" xfId="0" applyNumberFormat="1" applyFont="1" applyFill="1" applyAlignment="1"/>
    <xf numFmtId="0" fontId="0" fillId="0" borderId="0" xfId="0" applyNumberFormat="1" applyFill="1" applyBorder="1" applyAlignment="1"/>
    <xf numFmtId="0" fontId="2" fillId="0" borderId="0" xfId="0" applyNumberFormat="1" applyFont="1" applyFill="1" applyAlignment="1">
      <alignment horizontal="centerContinuous"/>
    </xf>
    <xf numFmtId="10" fontId="2" fillId="0" borderId="0" xfId="0" applyNumberFormat="1" applyFont="1" applyFill="1" applyBorder="1" applyAlignment="1"/>
    <xf numFmtId="10" fontId="2" fillId="0" borderId="15" xfId="0" applyNumberFormat="1" applyFont="1" applyFill="1" applyBorder="1" applyAlignment="1"/>
    <xf numFmtId="170" fontId="0" fillId="0" borderId="0" xfId="0">
      <alignment horizontal="left" wrapText="1"/>
    </xf>
    <xf numFmtId="167" fontId="0" fillId="0" borderId="0" xfId="0" applyNumberFormat="1" applyFont="1" applyAlignment="1"/>
    <xf numFmtId="168" fontId="2" fillId="3" borderId="17" xfId="0" applyNumberFormat="1" applyFont="1" applyFill="1" applyBorder="1" applyAlignment="1"/>
    <xf numFmtId="175" fontId="2" fillId="3" borderId="18" xfId="0" applyNumberFormat="1" applyFont="1" applyFill="1" applyBorder="1" applyAlignment="1"/>
    <xf numFmtId="0" fontId="2" fillId="0" borderId="0" xfId="0" applyNumberFormat="1" applyFont="1" applyFill="1" applyAlignment="1"/>
    <xf numFmtId="170" fontId="3" fillId="0" borderId="0" xfId="0" applyFont="1" applyFill="1" applyAlignment="1" applyProtection="1">
      <alignment horizontal="center"/>
      <protection locked="0"/>
    </xf>
    <xf numFmtId="170" fontId="3" fillId="0" borderId="14" xfId="0" applyFont="1" applyFill="1" applyBorder="1" applyAlignment="1" applyProtection="1">
      <alignment horizontal="center"/>
      <protection locked="0"/>
    </xf>
    <xf numFmtId="170" fontId="3" fillId="0" borderId="14" xfId="0" applyFont="1" applyFill="1" applyBorder="1" applyAlignment="1"/>
    <xf numFmtId="170" fontId="3" fillId="0" borderId="14" xfId="0" applyFont="1" applyFill="1" applyBorder="1" applyAlignment="1">
      <alignment horizontal="center"/>
    </xf>
    <xf numFmtId="170" fontId="0" fillId="0" borderId="0" xfId="0" applyAlignment="1"/>
    <xf numFmtId="1" fontId="2" fillId="0" borderId="0" xfId="0" applyNumberFormat="1" applyFont="1" applyFill="1" applyAlignment="1">
      <alignment horizontal="center"/>
    </xf>
    <xf numFmtId="172" fontId="2" fillId="0" borderId="0" xfId="0" applyNumberFormat="1" applyFont="1" applyFill="1" applyAlignment="1">
      <alignment horizontal="right"/>
    </xf>
    <xf numFmtId="170" fontId="2" fillId="0" borderId="0" xfId="0" quotePrefix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 indent="1"/>
    </xf>
    <xf numFmtId="171" fontId="2" fillId="0" borderId="0" xfId="0" applyNumberFormat="1" applyFont="1" applyFill="1" applyAlignment="1"/>
    <xf numFmtId="4" fontId="2" fillId="0" borderId="0" xfId="0" applyNumberFormat="1" applyFont="1" applyFill="1" applyAlignment="1"/>
    <xf numFmtId="170" fontId="3" fillId="0" borderId="0" xfId="0" applyFont="1" applyFill="1" applyBorder="1" applyAlignment="1" applyProtection="1">
      <alignment horizontal="left"/>
      <protection locked="0"/>
    </xf>
    <xf numFmtId="168" fontId="2" fillId="0" borderId="16" xfId="0" applyNumberFormat="1" applyFont="1" applyFill="1" applyBorder="1" applyAlignment="1"/>
    <xf numFmtId="42" fontId="2" fillId="0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>
      <alignment horizontal="right"/>
    </xf>
    <xf numFmtId="41" fontId="2" fillId="0" borderId="23" xfId="0" applyNumberFormat="1" applyFont="1" applyFill="1" applyBorder="1" applyAlignment="1"/>
    <xf numFmtId="9" fontId="2" fillId="0" borderId="0" xfId="0" applyNumberFormat="1" applyFont="1" applyFill="1" applyBorder="1" applyAlignment="1">
      <alignment horizontal="right"/>
    </xf>
    <xf numFmtId="41" fontId="2" fillId="0" borderId="23" xfId="0" applyNumberFormat="1" applyFont="1" applyFill="1" applyBorder="1" applyAlignment="1" applyProtection="1">
      <alignment horizontal="right"/>
      <protection locked="0"/>
    </xf>
    <xf numFmtId="0" fontId="23" fillId="0" borderId="0" xfId="0" applyNumberFormat="1" applyFont="1" applyFill="1" applyAlignment="1"/>
    <xf numFmtId="167" fontId="2" fillId="0" borderId="23" xfId="0" applyNumberFormat="1" applyFont="1" applyFill="1" applyBorder="1" applyAlignment="1"/>
    <xf numFmtId="170" fontId="2" fillId="0" borderId="0" xfId="0" applyNumberFormat="1" applyFont="1" applyFill="1" applyAlignment="1">
      <alignment horizontal="left" indent="1"/>
    </xf>
    <xf numFmtId="0" fontId="3" fillId="0" borderId="0" xfId="0" applyNumberFormat="1" applyFont="1" applyFill="1" applyAlignment="1"/>
    <xf numFmtId="0" fontId="2" fillId="0" borderId="0" xfId="0" applyNumberFormat="1" applyFont="1" applyFill="1" applyAlignment="1"/>
    <xf numFmtId="170" fontId="3" fillId="0" borderId="0" xfId="0" applyNumberFormat="1" applyFont="1" applyFill="1" applyAlignment="1">
      <alignment horizontal="right"/>
    </xf>
    <xf numFmtId="0" fontId="6" fillId="0" borderId="0" xfId="0" applyNumberFormat="1" applyFont="1" applyAlignment="1"/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23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70" fontId="2" fillId="0" borderId="0" xfId="0" applyNumberFormat="1" applyFont="1" applyFill="1" applyAlignment="1"/>
    <xf numFmtId="171" fontId="2" fillId="0" borderId="0" xfId="0" applyNumberFormat="1" applyFont="1" applyFill="1" applyAlignment="1"/>
    <xf numFmtId="170" fontId="2" fillId="0" borderId="23" xfId="0" applyNumberFormat="1" applyFont="1" applyFill="1" applyBorder="1" applyAlignment="1"/>
    <xf numFmtId="170" fontId="2" fillId="0" borderId="0" xfId="0" applyNumberFormat="1" applyFont="1" applyFill="1" applyBorder="1" applyAlignment="1"/>
    <xf numFmtId="170" fontId="2" fillId="0" borderId="24" xfId="0" applyNumberFormat="1" applyFont="1" applyFill="1" applyBorder="1" applyAlignment="1" applyProtection="1">
      <protection locked="0"/>
    </xf>
    <xf numFmtId="177" fontId="6" fillId="0" borderId="0" xfId="0" applyNumberFormat="1" applyFont="1" applyAlignment="1"/>
    <xf numFmtId="42" fontId="3" fillId="0" borderId="16" xfId="0" applyNumberFormat="1" applyFont="1" applyFill="1" applyBorder="1" applyAlignment="1"/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70" fontId="3" fillId="0" borderId="0" xfId="0" applyNumberFormat="1" applyFont="1" applyFill="1" applyAlignment="1">
      <alignment horizontal="right"/>
    </xf>
    <xf numFmtId="0" fontId="3" fillId="0" borderId="0" xfId="0" quotePrefix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Continuous"/>
    </xf>
    <xf numFmtId="170" fontId="0" fillId="0" borderId="0" xfId="0" applyFill="1" applyAlignment="1">
      <alignment horizontal="centerContinuous" wrapText="1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Alignment="1" applyProtection="1">
      <alignment horizontal="left" indent="2"/>
    </xf>
    <xf numFmtId="176" fontId="2" fillId="0" borderId="0" xfId="0" applyNumberFormat="1" applyFont="1" applyFill="1" applyAlignment="1"/>
    <xf numFmtId="0" fontId="2" fillId="0" borderId="26" xfId="0" applyNumberFormat="1" applyFont="1" applyFill="1" applyBorder="1" applyAlignment="1"/>
    <xf numFmtId="0" fontId="4" fillId="0" borderId="26" xfId="0" applyNumberFormat="1" applyFont="1" applyFill="1" applyBorder="1" applyAlignment="1">
      <alignment horizontal="left"/>
    </xf>
    <xf numFmtId="0" fontId="2" fillId="0" borderId="26" xfId="0" applyNumberFormat="1" applyFont="1" applyFill="1" applyBorder="1" applyAlignment="1">
      <alignment horizontal="left"/>
    </xf>
    <xf numFmtId="0" fontId="2" fillId="0" borderId="26" xfId="0" quotePrefix="1" applyNumberFormat="1" applyFont="1" applyFill="1" applyBorder="1" applyAlignment="1">
      <alignment horizontal="left"/>
    </xf>
    <xf numFmtId="0" fontId="3" fillId="0" borderId="28" xfId="0" applyNumberFormat="1" applyFont="1" applyFill="1" applyBorder="1" applyAlignment="1"/>
    <xf numFmtId="0" fontId="3" fillId="0" borderId="21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/>
    <xf numFmtId="0" fontId="2" fillId="0" borderId="19" xfId="0" applyNumberFormat="1" applyFont="1" applyFill="1" applyBorder="1" applyAlignment="1"/>
    <xf numFmtId="0" fontId="28" fillId="0" borderId="0" xfId="0" applyNumberFormat="1" applyFont="1" applyAlignment="1"/>
    <xf numFmtId="0" fontId="26" fillId="0" borderId="0" xfId="0" applyNumberFormat="1" applyFont="1" applyAlignment="1"/>
    <xf numFmtId="170" fontId="10" fillId="0" borderId="2" xfId="0" applyFont="1" applyFill="1" applyBorder="1" applyAlignment="1">
      <alignment horizontal="center"/>
    </xf>
    <xf numFmtId="170" fontId="10" fillId="0" borderId="0" xfId="0" applyFont="1" applyFill="1" applyBorder="1" applyAlignment="1">
      <alignment horizontal="center"/>
    </xf>
    <xf numFmtId="0" fontId="0" fillId="0" borderId="0" xfId="0" applyNumberFormat="1" applyFill="1" applyAlignment="1">
      <alignment horizontal="centerContinuous"/>
    </xf>
    <xf numFmtId="179" fontId="2" fillId="0" borderId="10" xfId="0" applyNumberFormat="1" applyFont="1" applyFill="1" applyBorder="1" applyAlignment="1" applyProtection="1">
      <protection locked="0"/>
    </xf>
    <xf numFmtId="168" fontId="2" fillId="0" borderId="21" xfId="0" applyNumberFormat="1" applyFont="1" applyFill="1" applyBorder="1" applyAlignment="1"/>
    <xf numFmtId="170" fontId="10" fillId="0" borderId="2" xfId="0" applyFont="1" applyFill="1" applyBorder="1" applyAlignment="1">
      <alignment horizontal="centerContinuous"/>
    </xf>
    <xf numFmtId="0" fontId="29" fillId="0" borderId="0" xfId="0" applyNumberFormat="1" applyFont="1" applyFill="1" applyAlignment="1">
      <alignment horizontal="centerContinuous"/>
    </xf>
    <xf numFmtId="0" fontId="29" fillId="0" borderId="0" xfId="0" applyNumberFormat="1" applyFont="1" applyFill="1" applyAlignment="1"/>
    <xf numFmtId="170" fontId="28" fillId="0" borderId="0" xfId="0" applyFont="1" applyFill="1">
      <alignment horizontal="left" wrapText="1"/>
    </xf>
    <xf numFmtId="168" fontId="2" fillId="0" borderId="0" xfId="0" applyNumberFormat="1" applyFont="1" applyFill="1" applyBorder="1" applyAlignment="1"/>
    <xf numFmtId="168" fontId="2" fillId="0" borderId="0" xfId="0" applyNumberFormat="1" applyFont="1" applyAlignment="1"/>
    <xf numFmtId="0" fontId="22" fillId="0" borderId="0" xfId="0" applyNumberFormat="1" applyFont="1" applyFill="1" applyAlignment="1">
      <alignment horizontal="left"/>
    </xf>
    <xf numFmtId="0" fontId="25" fillId="0" borderId="0" xfId="0" applyNumberFormat="1" applyFont="1" applyFill="1" applyBorder="1" applyAlignment="1"/>
    <xf numFmtId="168" fontId="2" fillId="0" borderId="0" xfId="0" applyNumberFormat="1" applyFont="1" applyFill="1" applyAlignment="1">
      <alignment horizontal="left" indent="1"/>
    </xf>
    <xf numFmtId="41" fontId="2" fillId="0" borderId="23" xfId="0" applyNumberFormat="1" applyFont="1" applyFill="1" applyBorder="1" applyAlignment="1">
      <alignment horizontal="left" indent="1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/>
    <xf numFmtId="0" fontId="6" fillId="0" borderId="0" xfId="0" applyNumberFormat="1" applyFont="1" applyFill="1" applyAlignment="1"/>
    <xf numFmtId="49" fontId="5" fillId="0" borderId="0" xfId="0" applyNumberFormat="1" applyFont="1" applyFill="1" applyAlignment="1"/>
    <xf numFmtId="3" fontId="2" fillId="0" borderId="0" xfId="0" applyNumberFormat="1" applyFont="1" applyFill="1" applyBorder="1" applyAlignment="1"/>
    <xf numFmtId="41" fontId="5" fillId="0" borderId="0" xfId="0" applyNumberFormat="1" applyFont="1" applyFill="1" applyAlignment="1"/>
    <xf numFmtId="42" fontId="2" fillId="0" borderId="16" xfId="0" applyNumberFormat="1" applyFont="1" applyFill="1" applyBorder="1" applyAlignment="1" applyProtection="1"/>
    <xf numFmtId="42" fontId="2" fillId="0" borderId="3" xfId="0" applyNumberFormat="1" applyFont="1" applyFill="1" applyBorder="1" applyAlignment="1" applyProtection="1"/>
    <xf numFmtId="3" fontId="8" fillId="0" borderId="0" xfId="0" applyNumberFormat="1" applyFont="1" applyFill="1" applyAlignment="1"/>
    <xf numFmtId="166" fontId="2" fillId="0" borderId="0" xfId="0" applyNumberFormat="1" applyFont="1" applyFill="1" applyBorder="1" applyAlignment="1">
      <alignment horizontal="right"/>
    </xf>
    <xf numFmtId="170" fontId="2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170" fontId="2" fillId="0" borderId="0" xfId="0" applyFont="1" applyFill="1" applyBorder="1" applyAlignment="1"/>
    <xf numFmtId="41" fontId="3" fillId="0" borderId="0" xfId="0" applyNumberFormat="1" applyFont="1" applyFill="1" applyAlignment="1"/>
    <xf numFmtId="176" fontId="2" fillId="0" borderId="0" xfId="0" applyNumberFormat="1" applyFont="1" applyFill="1" applyAlignment="1">
      <alignment horizontal="right"/>
    </xf>
    <xf numFmtId="42" fontId="3" fillId="0" borderId="0" xfId="0" applyNumberFormat="1" applyFont="1" applyFill="1" applyAlignment="1"/>
    <xf numFmtId="18" fontId="2" fillId="0" borderId="0" xfId="0" applyNumberFormat="1" applyFont="1" applyFill="1" applyBorder="1" applyAlignment="1">
      <alignment horizontal="centerContinuous"/>
    </xf>
    <xf numFmtId="3" fontId="9" fillId="0" borderId="0" xfId="0" applyNumberFormat="1" applyFont="1" applyFill="1" applyAlignment="1"/>
    <xf numFmtId="42" fontId="2" fillId="0" borderId="25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>
      <alignment horizontal="centerContinuous"/>
    </xf>
    <xf numFmtId="168" fontId="2" fillId="0" borderId="17" xfId="0" applyNumberFormat="1" applyFont="1" applyFill="1" applyBorder="1" applyAlignment="1">
      <alignment horizontal="left" wrapText="1"/>
    </xf>
    <xf numFmtId="41" fontId="2" fillId="0" borderId="23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>
      <alignment vertical="center"/>
    </xf>
    <xf numFmtId="42" fontId="2" fillId="0" borderId="23" xfId="0" applyNumberFormat="1" applyFont="1" applyFill="1" applyBorder="1" applyAlignment="1"/>
    <xf numFmtId="178" fontId="2" fillId="0" borderId="0" xfId="0" applyNumberFormat="1" applyFont="1" applyFill="1" applyAlignment="1"/>
    <xf numFmtId="37" fontId="2" fillId="0" borderId="0" xfId="0" applyNumberFormat="1" applyFont="1" applyFill="1" applyBorder="1" applyAlignment="1">
      <alignment vertical="center"/>
    </xf>
    <xf numFmtId="37" fontId="9" fillId="0" borderId="0" xfId="0" applyNumberFormat="1" applyFont="1" applyFill="1" applyAlignment="1"/>
    <xf numFmtId="41" fontId="2" fillId="0" borderId="23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/>
    <xf numFmtId="42" fontId="2" fillId="0" borderId="0" xfId="0" applyNumberFormat="1" applyFont="1" applyFill="1" applyAlignment="1">
      <alignment horizontal="right"/>
    </xf>
    <xf numFmtId="167" fontId="20" fillId="0" borderId="0" xfId="0" applyNumberFormat="1" applyFont="1" applyFill="1" applyAlignment="1"/>
    <xf numFmtId="0" fontId="9" fillId="0" borderId="0" xfId="0" applyNumberFormat="1" applyFont="1" applyFill="1" applyBorder="1" applyAlignment="1"/>
    <xf numFmtId="42" fontId="9" fillId="0" borderId="0" xfId="0" applyNumberFormat="1" applyFont="1" applyFill="1" applyAlignment="1"/>
    <xf numFmtId="170" fontId="2" fillId="0" borderId="0" xfId="0" quotePrefix="1" applyFont="1" applyFill="1" applyBorder="1" applyAlignment="1">
      <alignment horizontal="left"/>
    </xf>
    <xf numFmtId="167" fontId="2" fillId="0" borderId="25" xfId="0" applyNumberFormat="1" applyFont="1" applyFill="1" applyBorder="1" applyAlignment="1"/>
    <xf numFmtId="41" fontId="2" fillId="0" borderId="25" xfId="0" applyNumberFormat="1" applyFont="1" applyFill="1" applyBorder="1" applyAlignment="1"/>
    <xf numFmtId="167" fontId="2" fillId="0" borderId="0" xfId="0" applyNumberFormat="1" applyFont="1" applyFill="1" applyBorder="1" applyAlignment="1">
      <alignment horizontal="right"/>
    </xf>
    <xf numFmtId="37" fontId="2" fillId="0" borderId="25" xfId="0" applyNumberFormat="1" applyFont="1" applyFill="1" applyBorder="1" applyAlignment="1"/>
    <xf numFmtId="170" fontId="4" fillId="0" borderId="0" xfId="0" applyFont="1" applyFill="1" applyAlignment="1"/>
    <xf numFmtId="0" fontId="2" fillId="0" borderId="0" xfId="0" applyNumberFormat="1" applyFont="1" applyFill="1" applyAlignment="1">
      <alignment horizontal="left" indent="2"/>
    </xf>
    <xf numFmtId="168" fontId="2" fillId="0" borderId="0" xfId="0" applyNumberFormat="1" applyFont="1" applyFill="1" applyAlignment="1">
      <alignment horizontal="left" wrapText="1"/>
    </xf>
    <xf numFmtId="170" fontId="2" fillId="0" borderId="0" xfId="0" applyFont="1" applyFill="1" applyBorder="1">
      <alignment horizontal="left" wrapText="1"/>
    </xf>
    <xf numFmtId="168" fontId="2" fillId="0" borderId="16" xfId="0" applyNumberFormat="1" applyFont="1" applyFill="1" applyBorder="1" applyAlignment="1" applyProtection="1">
      <protection locked="0"/>
    </xf>
    <xf numFmtId="18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 indent="4"/>
    </xf>
    <xf numFmtId="0" fontId="4" fillId="0" borderId="0" xfId="0" applyNumberFormat="1" applyFont="1" applyFill="1" applyAlignment="1">
      <alignment horizontal="left"/>
    </xf>
    <xf numFmtId="37" fontId="2" fillId="0" borderId="23" xfId="0" applyNumberFormat="1" applyFont="1" applyFill="1" applyBorder="1" applyAlignment="1"/>
    <xf numFmtId="172" fontId="2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/>
    <xf numFmtId="170" fontId="2" fillId="0" borderId="0" xfId="0" applyFont="1" applyBorder="1" applyAlignment="1"/>
    <xf numFmtId="1" fontId="2" fillId="0" borderId="0" xfId="0" applyNumberFormat="1" applyFont="1" applyFill="1" applyBorder="1" applyAlignment="1">
      <alignment horizontal="center"/>
    </xf>
    <xf numFmtId="42" fontId="3" fillId="0" borderId="3" xfId="0" applyNumberFormat="1" applyFont="1" applyFill="1" applyBorder="1" applyAlignment="1"/>
    <xf numFmtId="3" fontId="29" fillId="0" borderId="0" xfId="0" applyNumberFormat="1" applyFont="1" applyFill="1" applyBorder="1" applyAlignment="1" applyProtection="1">
      <protection locked="0"/>
    </xf>
    <xf numFmtId="3" fontId="28" fillId="0" borderId="0" xfId="0" applyNumberFormat="1" applyFont="1" applyAlignment="1"/>
    <xf numFmtId="178" fontId="2" fillId="0" borderId="0" xfId="0" applyNumberFormat="1" applyFont="1" applyFill="1" applyBorder="1" applyAlignment="1"/>
    <xf numFmtId="41" fontId="2" fillId="0" borderId="25" xfId="0" applyNumberFormat="1" applyFont="1" applyFill="1" applyBorder="1" applyAlignment="1" applyProtection="1">
      <protection locked="0"/>
    </xf>
    <xf numFmtId="170" fontId="0" fillId="0" borderId="0" xfId="0" applyBorder="1" applyAlignment="1"/>
    <xf numFmtId="42" fontId="0" fillId="0" borderId="0" xfId="0" applyNumberFormat="1" applyBorder="1" applyAlignment="1"/>
    <xf numFmtId="42" fontId="2" fillId="0" borderId="0" xfId="0" applyNumberFormat="1" applyFont="1" applyBorder="1" applyAlignment="1"/>
    <xf numFmtId="176" fontId="2" fillId="0" borderId="0" xfId="0" applyNumberFormat="1" applyFont="1" applyFill="1" applyAlignment="1"/>
    <xf numFmtId="42" fontId="2" fillId="0" borderId="0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 applyProtection="1">
      <protection locked="0"/>
    </xf>
    <xf numFmtId="170" fontId="4" fillId="0" borderId="0" xfId="0" applyFont="1" applyFill="1" applyBorder="1" applyAlignment="1">
      <alignment horizontal="left"/>
    </xf>
    <xf numFmtId="0" fontId="2" fillId="0" borderId="25" xfId="0" applyNumberFormat="1" applyFont="1" applyFill="1" applyBorder="1" applyAlignment="1"/>
    <xf numFmtId="167" fontId="2" fillId="0" borderId="25" xfId="0" applyNumberFormat="1" applyFont="1" applyFill="1" applyBorder="1" applyAlignment="1">
      <alignment horizontal="right" wrapText="1"/>
    </xf>
    <xf numFmtId="170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 applyProtection="1">
      <protection locked="0"/>
    </xf>
    <xf numFmtId="0" fontId="2" fillId="0" borderId="0" xfId="0" quotePrefix="1" applyNumberFormat="1" applyFont="1" applyFill="1" applyAlignment="1"/>
    <xf numFmtId="3" fontId="2" fillId="0" borderId="23" xfId="0" applyNumberFormat="1" applyFont="1" applyFill="1" applyBorder="1" applyAlignment="1"/>
    <xf numFmtId="42" fontId="3" fillId="0" borderId="3" xfId="0" applyNumberFormat="1" applyFont="1" applyFill="1" applyBorder="1" applyAlignment="1" applyProtection="1">
      <protection locked="0"/>
    </xf>
    <xf numFmtId="170" fontId="3" fillId="0" borderId="0" xfId="0" applyFont="1" applyFill="1" applyAlignment="1">
      <alignment horizontal="right"/>
    </xf>
    <xf numFmtId="170" fontId="2" fillId="0" borderId="0" xfId="0" applyFont="1" applyBorder="1" applyAlignment="1">
      <alignment horizontal="left"/>
    </xf>
    <xf numFmtId="0" fontId="4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left" vertical="center" indent="2"/>
    </xf>
    <xf numFmtId="42" fontId="3" fillId="0" borderId="23" xfId="0" applyNumberFormat="1" applyFont="1" applyFill="1" applyBorder="1" applyAlignment="1"/>
    <xf numFmtId="166" fontId="2" fillId="0" borderId="0" xfId="0" applyNumberFormat="1" applyFont="1" applyFill="1" applyAlignment="1" applyProtection="1">
      <alignment horizontal="right"/>
      <protection locked="0"/>
    </xf>
    <xf numFmtId="41" fontId="31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left"/>
    </xf>
    <xf numFmtId="176" fontId="29" fillId="0" borderId="0" xfId="0" applyNumberFormat="1" applyFont="1" applyFill="1" applyAlignment="1"/>
    <xf numFmtId="0" fontId="29" fillId="0" borderId="0" xfId="0" applyNumberFormat="1" applyFont="1" applyFill="1" applyAlignment="1">
      <alignment horizontal="right"/>
    </xf>
    <xf numFmtId="41" fontId="2" fillId="0" borderId="16" xfId="0" applyNumberFormat="1" applyFont="1" applyFill="1" applyBorder="1" applyAlignment="1"/>
    <xf numFmtId="0" fontId="8" fillId="0" borderId="0" xfId="0" applyNumberFormat="1" applyFont="1" applyAlignment="1"/>
    <xf numFmtId="171" fontId="3" fillId="0" borderId="23" xfId="0" applyNumberFormat="1" applyFont="1" applyFill="1" applyBorder="1" applyAlignment="1"/>
    <xf numFmtId="170" fontId="3" fillId="0" borderId="3" xfId="0" applyNumberFormat="1" applyFont="1" applyFill="1" applyBorder="1" applyAlignment="1" applyProtection="1">
      <protection locked="0"/>
    </xf>
    <xf numFmtId="43" fontId="2" fillId="0" borderId="0" xfId="0" applyNumberFormat="1" applyFont="1" applyFill="1" applyBorder="1" applyAlignment="1" applyProtection="1">
      <protection locked="0"/>
    </xf>
    <xf numFmtId="170" fontId="2" fillId="0" borderId="0" xfId="0" applyFont="1" applyFill="1">
      <alignment horizontal="left" wrapText="1"/>
    </xf>
    <xf numFmtId="42" fontId="2" fillId="0" borderId="3" xfId="0" applyNumberFormat="1" applyFont="1" applyFill="1" applyBorder="1" applyAlignment="1" applyProtection="1">
      <protection locked="0"/>
    </xf>
    <xf numFmtId="170" fontId="2" fillId="0" borderId="23" xfId="0" applyNumberFormat="1" applyFont="1" applyFill="1" applyBorder="1" applyAlignment="1"/>
    <xf numFmtId="170" fontId="4" fillId="0" borderId="0" xfId="0" applyFont="1" applyFill="1" applyAlignment="1">
      <alignment horizontal="left"/>
    </xf>
    <xf numFmtId="170" fontId="12" fillId="0" borderId="0" xfId="0" applyFont="1" applyAlignment="1"/>
    <xf numFmtId="41" fontId="2" fillId="0" borderId="0" xfId="0" applyNumberFormat="1" applyFont="1" applyFill="1" applyAlignment="1">
      <alignment horizontal="right"/>
    </xf>
    <xf numFmtId="0" fontId="2" fillId="0" borderId="23" xfId="0" applyNumberFormat="1" applyFont="1" applyFill="1" applyBorder="1" applyAlignment="1"/>
    <xf numFmtId="170" fontId="10" fillId="0" borderId="0" xfId="0" applyFont="1" applyFill="1" applyAlignment="1"/>
    <xf numFmtId="4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vertical="center"/>
    </xf>
    <xf numFmtId="0" fontId="9" fillId="0" borderId="23" xfId="0" applyNumberFormat="1" applyFont="1" applyFill="1" applyBorder="1" applyAlignment="1"/>
    <xf numFmtId="170" fontId="9" fillId="0" borderId="0" xfId="0" applyFont="1" applyFill="1">
      <alignment horizontal="left" wrapText="1"/>
    </xf>
    <xf numFmtId="1" fontId="2" fillId="0" borderId="0" xfId="0" applyNumberFormat="1" applyFont="1" applyFill="1" applyAlignment="1"/>
    <xf numFmtId="170" fontId="2" fillId="0" borderId="0" xfId="0" applyNumberFormat="1" applyFont="1" applyFill="1" applyAlignment="1"/>
    <xf numFmtId="42" fontId="2" fillId="0" borderId="25" xfId="0" applyNumberFormat="1" applyFont="1" applyFill="1" applyBorder="1" applyAlignment="1" applyProtection="1">
      <protection locked="0"/>
    </xf>
    <xf numFmtId="170" fontId="2" fillId="0" borderId="0" xfId="0" applyFont="1" applyAlignment="1"/>
    <xf numFmtId="43" fontId="2" fillId="0" borderId="25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41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 applyProtection="1">
      <protection locked="0"/>
    </xf>
    <xf numFmtId="37" fontId="2" fillId="0" borderId="0" xfId="0" applyNumberFormat="1" applyFont="1" applyFill="1">
      <alignment horizontal="left" wrapText="1"/>
    </xf>
    <xf numFmtId="42" fontId="2" fillId="0" borderId="23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>
      <alignment wrapText="1"/>
    </xf>
    <xf numFmtId="170" fontId="2" fillId="0" borderId="0" xfId="0" applyFont="1" applyFill="1" applyBorder="1" applyAlignment="1">
      <alignment horizontal="left" wrapText="1"/>
    </xf>
    <xf numFmtId="41" fontId="2" fillId="0" borderId="0" xfId="0" applyNumberFormat="1" applyFont="1" applyFill="1" applyAlignment="1">
      <alignment horizontal="fill"/>
    </xf>
    <xf numFmtId="37" fontId="2" fillId="0" borderId="0" xfId="0" applyNumberFormat="1" applyFont="1" applyFill="1" applyAlignment="1">
      <alignment horizontal="right"/>
    </xf>
    <xf numFmtId="170" fontId="0" fillId="0" borderId="0" xfId="0" applyFill="1" applyAlignment="1"/>
    <xf numFmtId="0" fontId="2" fillId="0" borderId="0" xfId="0" quotePrefix="1" applyNumberFormat="1" applyFont="1" applyFill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171" fontId="2" fillId="0" borderId="0" xfId="0" applyNumberFormat="1" applyFont="1" applyFill="1" applyBorder="1" applyAlignment="1"/>
    <xf numFmtId="170" fontId="2" fillId="0" borderId="0" xfId="0" applyFont="1" applyFill="1" applyBorder="1" applyAlignment="1">
      <alignment horizontal="right"/>
    </xf>
    <xf numFmtId="170" fontId="2" fillId="0" borderId="0" xfId="0" applyFont="1" applyFill="1" applyAlignment="1">
      <alignment horizontal="left" indent="2"/>
    </xf>
    <xf numFmtId="49" fontId="2" fillId="0" borderId="0" xfId="0" applyNumberFormat="1" applyFont="1" applyFill="1" applyBorder="1" applyAlignment="1">
      <alignment horizontal="left"/>
    </xf>
    <xf numFmtId="42" fontId="2" fillId="0" borderId="25" xfId="0" applyNumberFormat="1" applyFont="1" applyFill="1" applyBorder="1">
      <alignment horizontal="left" wrapText="1"/>
    </xf>
    <xf numFmtId="42" fontId="2" fillId="0" borderId="0" xfId="0" applyNumberFormat="1" applyFont="1" applyFill="1">
      <alignment horizontal="left" wrapText="1"/>
    </xf>
    <xf numFmtId="170" fontId="2" fillId="0" borderId="0" xfId="0" applyFont="1" applyFill="1" applyAlignment="1">
      <alignment vertical="center"/>
    </xf>
    <xf numFmtId="17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Alignment="1">
      <alignment horizontal="center"/>
    </xf>
    <xf numFmtId="41" fontId="2" fillId="0" borderId="25" xfId="0" applyNumberFormat="1" applyFont="1" applyFill="1" applyBorder="1" applyAlignment="1">
      <alignment horizontal="right"/>
    </xf>
    <xf numFmtId="42" fontId="2" fillId="0" borderId="25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wrapText="1"/>
    </xf>
    <xf numFmtId="41" fontId="2" fillId="0" borderId="25" xfId="0" applyNumberFormat="1" applyFont="1" applyFill="1" applyBorder="1" applyAlignment="1">
      <alignment horizontal="center"/>
    </xf>
    <xf numFmtId="41" fontId="2" fillId="0" borderId="25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protection locked="0"/>
    </xf>
    <xf numFmtId="181" fontId="31" fillId="0" borderId="0" xfId="0" quotePrefix="1" applyNumberFormat="1" applyFont="1" applyFill="1" applyAlignment="1">
      <alignment horizontal="left"/>
    </xf>
    <xf numFmtId="10" fontId="2" fillId="0" borderId="23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0" xfId="0" applyNumberFormat="1" applyFont="1" applyFill="1" applyAlignment="1">
      <alignment wrapText="1"/>
    </xf>
    <xf numFmtId="166" fontId="2" fillId="0" borderId="23" xfId="0" applyNumberFormat="1" applyFont="1" applyFill="1" applyBorder="1" applyAlignment="1" applyProtection="1">
      <alignment horizontal="right"/>
      <protection locked="0"/>
    </xf>
    <xf numFmtId="10" fontId="32" fillId="0" borderId="0" xfId="0" quotePrefix="1" applyNumberFormat="1" applyFont="1" applyFill="1" applyAlignment="1">
      <alignment horizontal="left"/>
    </xf>
    <xf numFmtId="37" fontId="4" fillId="0" borderId="0" xfId="0" applyNumberFormat="1" applyFont="1" applyFill="1" applyBorder="1" applyAlignment="1">
      <alignment horizontal="center"/>
    </xf>
    <xf numFmtId="0" fontId="4" fillId="0" borderId="0" xfId="0" quotePrefix="1" applyNumberFormat="1" applyFont="1" applyFill="1" applyAlignment="1">
      <alignment horizontal="center"/>
    </xf>
    <xf numFmtId="0" fontId="3" fillId="0" borderId="23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 applyProtection="1">
      <alignment horizontal="left"/>
      <protection locked="0"/>
    </xf>
    <xf numFmtId="170" fontId="0" fillId="0" borderId="23" xfId="0" applyBorder="1" applyAlignment="1"/>
    <xf numFmtId="170" fontId="2" fillId="0" borderId="23" xfId="0" applyFont="1" applyFill="1" applyBorder="1" applyAlignment="1">
      <alignment horizontal="left"/>
    </xf>
    <xf numFmtId="42" fontId="31" fillId="0" borderId="0" xfId="0" applyNumberFormat="1" applyFont="1" applyFill="1" applyAlignment="1">
      <alignment horizontal="right"/>
    </xf>
    <xf numFmtId="37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Alignment="1">
      <alignment horizontal="center"/>
    </xf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0" fontId="33" fillId="0" borderId="0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/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quotePrefix="1" applyNumberFormat="1" applyFont="1" applyFill="1" applyBorder="1" applyAlignment="1" applyProtection="1">
      <alignment horizontal="center"/>
      <protection locked="0"/>
    </xf>
    <xf numFmtId="166" fontId="3" fillId="0" borderId="23" xfId="0" applyNumberFormat="1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170" fontId="3" fillId="0" borderId="23" xfId="0" applyFont="1" applyFill="1" applyBorder="1" applyAlignment="1">
      <alignment horizontal="center"/>
    </xf>
    <xf numFmtId="170" fontId="3" fillId="0" borderId="23" xfId="0" applyFont="1" applyFill="1" applyBorder="1" applyAlignment="1"/>
    <xf numFmtId="2" fontId="3" fillId="0" borderId="23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left"/>
    </xf>
    <xf numFmtId="3" fontId="3" fillId="0" borderId="23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fill"/>
    </xf>
    <xf numFmtId="0" fontId="3" fillId="0" borderId="0" xfId="0" quotePrefix="1" applyNumberFormat="1" applyFont="1" applyFill="1" applyAlignment="1">
      <alignment horizontal="fill"/>
    </xf>
    <xf numFmtId="10" fontId="3" fillId="0" borderId="0" xfId="0" applyNumberFormat="1" applyFont="1" applyFill="1" applyAlignment="1">
      <alignment horizontal="center"/>
    </xf>
    <xf numFmtId="170" fontId="13" fillId="0" borderId="0" xfId="0" applyFont="1" applyFill="1" applyAlignment="1">
      <alignment horizontal="center"/>
    </xf>
    <xf numFmtId="170" fontId="3" fillId="0" borderId="0" xfId="0" applyFont="1" applyAlignment="1">
      <alignment horizontal="center"/>
    </xf>
    <xf numFmtId="166" fontId="3" fillId="0" borderId="0" xfId="0" applyNumberFormat="1" applyFont="1" applyFill="1" applyAlignment="1"/>
    <xf numFmtId="0" fontId="20" fillId="0" borderId="0" xfId="0" applyNumberFormat="1" applyFont="1" applyFill="1" applyAlignment="1" applyProtection="1">
      <alignment horizontal="center"/>
      <protection locked="0"/>
    </xf>
    <xf numFmtId="166" fontId="20" fillId="0" borderId="0" xfId="0" applyNumberFormat="1" applyFont="1" applyFill="1" applyAlignment="1"/>
    <xf numFmtId="44" fontId="3" fillId="0" borderId="0" xfId="0" applyNumberFormat="1" applyFont="1" applyFill="1" applyAlignment="1"/>
    <xf numFmtId="0" fontId="34" fillId="0" borderId="0" xfId="0" applyNumberFormat="1" applyFont="1" applyFill="1" applyAlignment="1"/>
    <xf numFmtId="49" fontId="3" fillId="0" borderId="0" xfId="0" applyNumberFormat="1" applyFont="1" applyFill="1" applyAlignment="1">
      <alignment horizontal="left"/>
    </xf>
    <xf numFmtId="43" fontId="3" fillId="0" borderId="0" xfId="0" applyNumberFormat="1" applyFont="1" applyFill="1" applyAlignment="1">
      <alignment horizontal="centerContinuous"/>
    </xf>
    <xf numFmtId="2" fontId="3" fillId="0" borderId="0" xfId="0" applyNumberFormat="1" applyFont="1" applyFill="1" applyAlignment="1">
      <alignment horizontal="centerContinuous"/>
    </xf>
    <xf numFmtId="43" fontId="3" fillId="0" borderId="0" xfId="0" applyNumberFormat="1" applyFont="1" applyFill="1" applyAlignment="1"/>
    <xf numFmtId="43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left"/>
    </xf>
    <xf numFmtId="2" fontId="3" fillId="0" borderId="0" xfId="0" applyNumberFormat="1" applyFont="1" applyFill="1" applyAlignment="1">
      <alignment horizontal="left"/>
    </xf>
    <xf numFmtId="182" fontId="3" fillId="0" borderId="0" xfId="0" applyNumberFormat="1" applyFont="1" applyFill="1" applyAlignment="1"/>
    <xf numFmtId="0" fontId="34" fillId="0" borderId="0" xfId="0" applyNumberFormat="1" applyFont="1" applyFill="1" applyAlignment="1">
      <alignment horizontal="centerContinuous"/>
    </xf>
    <xf numFmtId="166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 vertical="center"/>
    </xf>
    <xf numFmtId="15" fontId="20" fillId="0" borderId="0" xfId="0" applyNumberFormat="1" applyFont="1" applyFill="1" applyAlignment="1">
      <alignment horizontal="centerContinuous"/>
    </xf>
    <xf numFmtId="166" fontId="20" fillId="0" borderId="0" xfId="0" applyNumberFormat="1" applyFont="1" applyFill="1" applyAlignment="1">
      <alignment horizontal="centerContinuous"/>
    </xf>
    <xf numFmtId="0" fontId="35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>
      <alignment horizontal="centerContinuous" vertical="center"/>
    </xf>
    <xf numFmtId="3" fontId="20" fillId="0" borderId="0" xfId="0" applyNumberFormat="1" applyFont="1" applyFill="1" applyAlignment="1">
      <alignment horizontal="centerContinuous"/>
    </xf>
    <xf numFmtId="15" fontId="36" fillId="0" borderId="0" xfId="0" applyNumberFormat="1" applyFont="1" applyFill="1" applyAlignment="1">
      <alignment horizontal="centerContinuous"/>
    </xf>
    <xf numFmtId="42" fontId="20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 vertical="center"/>
      <protection locked="0"/>
    </xf>
    <xf numFmtId="15" fontId="22" fillId="0" borderId="0" xfId="0" applyNumberFormat="1" applyFont="1" applyFill="1" applyAlignment="1">
      <alignment horizontal="centerContinuous"/>
    </xf>
    <xf numFmtId="0" fontId="3" fillId="0" borderId="2" xfId="0" quotePrefix="1" applyNumberFormat="1" applyFont="1" applyFill="1" applyBorder="1" applyAlignment="1">
      <alignment horizontal="center"/>
    </xf>
    <xf numFmtId="183" fontId="3" fillId="0" borderId="2" xfId="0" applyNumberFormat="1" applyFont="1" applyFill="1" applyBorder="1" applyAlignment="1"/>
    <xf numFmtId="0" fontId="3" fillId="0" borderId="32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0" fontId="3" fillId="4" borderId="28" xfId="0" applyNumberFormat="1" applyFont="1" applyFill="1" applyBorder="1" applyAlignment="1">
      <alignment horizontal="center"/>
    </xf>
    <xf numFmtId="0" fontId="3" fillId="4" borderId="21" xfId="0" applyNumberFormat="1" applyFont="1" applyFill="1" applyBorder="1" applyAlignment="1">
      <alignment horizontal="center"/>
    </xf>
    <xf numFmtId="0" fontId="3" fillId="4" borderId="19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/>
    <xf numFmtId="42" fontId="2" fillId="4" borderId="21" xfId="0" applyNumberFormat="1" applyFont="1" applyFill="1" applyBorder="1" applyAlignment="1"/>
    <xf numFmtId="41" fontId="2" fillId="4" borderId="21" xfId="0" applyNumberFormat="1" applyFont="1" applyFill="1" applyBorder="1" applyAlignment="1"/>
    <xf numFmtId="41" fontId="2" fillId="4" borderId="19" xfId="0" applyNumberFormat="1" applyFont="1" applyFill="1" applyBorder="1" applyAlignment="1"/>
    <xf numFmtId="41" fontId="2" fillId="4" borderId="28" xfId="0" applyNumberFormat="1" applyFont="1" applyFill="1" applyBorder="1" applyAlignment="1" applyProtection="1">
      <protection locked="0"/>
    </xf>
    <xf numFmtId="41" fontId="2" fillId="4" borderId="21" xfId="0" applyNumberFormat="1" applyFont="1" applyFill="1" applyBorder="1" applyAlignment="1" applyProtection="1">
      <protection locked="0"/>
    </xf>
    <xf numFmtId="41" fontId="2" fillId="4" borderId="19" xfId="0" applyNumberFormat="1" applyFont="1" applyFill="1" applyBorder="1" applyAlignment="1" applyProtection="1">
      <protection locked="0"/>
    </xf>
    <xf numFmtId="41" fontId="2" fillId="4" borderId="28" xfId="0" applyNumberFormat="1" applyFont="1" applyFill="1" applyBorder="1" applyAlignment="1"/>
    <xf numFmtId="42" fontId="2" fillId="4" borderId="21" xfId="0" applyNumberFormat="1" applyFont="1" applyFill="1" applyBorder="1" applyAlignment="1" applyProtection="1">
      <protection locked="0"/>
    </xf>
    <xf numFmtId="42" fontId="2" fillId="4" borderId="21" xfId="0" applyNumberFormat="1" applyFont="1" applyFill="1" applyBorder="1" applyAlignment="1">
      <alignment horizontal="left"/>
    </xf>
    <xf numFmtId="10" fontId="2" fillId="4" borderId="21" xfId="0" applyNumberFormat="1" applyFont="1" applyFill="1" applyBorder="1" applyAlignment="1"/>
    <xf numFmtId="43" fontId="0" fillId="0" borderId="0" xfId="0" applyNumberFormat="1" applyFont="1" applyFill="1" applyAlignment="1"/>
    <xf numFmtId="0" fontId="2" fillId="0" borderId="32" xfId="0" applyNumberFormat="1" applyFont="1" applyFill="1" applyBorder="1" applyAlignment="1"/>
    <xf numFmtId="0" fontId="3" fillId="0" borderId="34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42" fontId="2" fillId="0" borderId="32" xfId="0" applyNumberFormat="1" applyFont="1" applyFill="1" applyBorder="1" applyAlignment="1"/>
    <xf numFmtId="42" fontId="2" fillId="0" borderId="26" xfId="0" applyNumberFormat="1" applyFont="1" applyFill="1" applyBorder="1" applyAlignment="1"/>
    <xf numFmtId="41" fontId="2" fillId="0" borderId="32" xfId="0" applyNumberFormat="1" applyFont="1" applyFill="1" applyBorder="1" applyAlignment="1"/>
    <xf numFmtId="41" fontId="2" fillId="0" borderId="26" xfId="0" applyNumberFormat="1" applyFont="1" applyFill="1" applyBorder="1" applyAlignment="1"/>
    <xf numFmtId="41" fontId="2" fillId="0" borderId="33" xfId="0" applyNumberFormat="1" applyFont="1" applyFill="1" applyBorder="1" applyAlignment="1"/>
    <xf numFmtId="41" fontId="2" fillId="0" borderId="27" xfId="0" applyNumberFormat="1" applyFont="1" applyFill="1" applyBorder="1" applyAlignment="1"/>
    <xf numFmtId="41" fontId="2" fillId="0" borderId="34" xfId="0" applyNumberFormat="1" applyFont="1" applyFill="1" applyBorder="1" applyAlignment="1" applyProtection="1">
      <protection locked="0"/>
    </xf>
    <xf numFmtId="41" fontId="2" fillId="0" borderId="36" xfId="0" applyNumberFormat="1" applyFont="1" applyFill="1" applyBorder="1" applyAlignment="1" applyProtection="1">
      <protection locked="0"/>
    </xf>
    <xf numFmtId="41" fontId="2" fillId="0" borderId="34" xfId="0" applyNumberFormat="1" applyFont="1" applyFill="1" applyBorder="1" applyAlignment="1"/>
    <xf numFmtId="41" fontId="2" fillId="0" borderId="36" xfId="0" applyNumberFormat="1" applyFont="1" applyFill="1" applyBorder="1" applyAlignment="1"/>
    <xf numFmtId="42" fontId="2" fillId="0" borderId="32" xfId="0" applyNumberFormat="1" applyFont="1" applyFill="1" applyBorder="1" applyAlignment="1" applyProtection="1">
      <protection locked="0"/>
    </xf>
    <xf numFmtId="42" fontId="2" fillId="0" borderId="26" xfId="0" applyNumberFormat="1" applyFont="1" applyFill="1" applyBorder="1" applyAlignment="1" applyProtection="1">
      <protection locked="0"/>
    </xf>
    <xf numFmtId="42" fontId="2" fillId="0" borderId="32" xfId="0" applyNumberFormat="1" applyFont="1" applyFill="1" applyBorder="1" applyAlignment="1">
      <alignment horizontal="left"/>
    </xf>
    <xf numFmtId="42" fontId="2" fillId="0" borderId="26" xfId="0" applyNumberFormat="1" applyFont="1" applyFill="1" applyBorder="1" applyAlignment="1">
      <alignment horizontal="left"/>
    </xf>
    <xf numFmtId="10" fontId="2" fillId="0" borderId="32" xfId="0" applyNumberFormat="1" applyFont="1" applyFill="1" applyBorder="1" applyAlignment="1"/>
    <xf numFmtId="41" fontId="2" fillId="0" borderId="26" xfId="0" applyNumberFormat="1" applyFont="1" applyFill="1" applyBorder="1" applyAlignment="1" applyProtection="1">
      <protection locked="0"/>
    </xf>
    <xf numFmtId="41" fontId="2" fillId="0" borderId="27" xfId="0" applyNumberFormat="1" applyFont="1" applyFill="1" applyBorder="1" applyAlignment="1" applyProtection="1">
      <protection locked="0"/>
    </xf>
    <xf numFmtId="41" fontId="2" fillId="3" borderId="0" xfId="0" applyNumberFormat="1" applyFont="1" applyFill="1" applyAlignment="1"/>
    <xf numFmtId="170" fontId="2" fillId="0" borderId="0" xfId="0" applyFont="1" applyFill="1" applyAlignment="1">
      <alignment vertical="top"/>
    </xf>
    <xf numFmtId="168" fontId="2" fillId="0" borderId="35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 applyAlignment="1" applyProtection="1">
      <protection locked="0"/>
    </xf>
    <xf numFmtId="170" fontId="0" fillId="0" borderId="35" xfId="0" applyFill="1" applyBorder="1" applyAlignment="1"/>
    <xf numFmtId="0" fontId="3" fillId="0" borderId="0" xfId="0" applyNumberFormat="1" applyFont="1" applyFill="1" applyAlignment="1">
      <alignment horizontal="center"/>
    </xf>
    <xf numFmtId="170" fontId="20" fillId="0" borderId="0" xfId="0" applyFont="1" applyFill="1" applyAlignment="1">
      <alignment horizontal="centerContinuous"/>
    </xf>
    <xf numFmtId="170" fontId="3" fillId="0" borderId="0" xfId="0" applyFont="1" applyFill="1" applyAlignment="1">
      <alignment horizontal="centerContinuous"/>
    </xf>
    <xf numFmtId="170" fontId="3" fillId="0" borderId="0" xfId="0" applyFont="1" applyFill="1" applyAlignment="1" applyProtection="1">
      <alignment horizontal="centerContinuous"/>
      <protection locked="0"/>
    </xf>
    <xf numFmtId="170" fontId="2" fillId="0" borderId="0" xfId="0" applyFont="1" applyFill="1" applyBorder="1" applyAlignment="1">
      <alignment horizontal="left" indent="1"/>
    </xf>
    <xf numFmtId="168" fontId="2" fillId="0" borderId="35" xfId="0" applyNumberFormat="1" applyFont="1" applyFill="1" applyBorder="1" applyAlignment="1"/>
    <xf numFmtId="170" fontId="2" fillId="0" borderId="0" xfId="0" applyFont="1" applyAlignment="1">
      <alignment horizontal="left"/>
    </xf>
    <xf numFmtId="170" fontId="2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10" fontId="37" fillId="5" borderId="0" xfId="0" applyNumberFormat="1" applyFont="1" applyFill="1" applyBorder="1" applyAlignment="1">
      <alignment horizontal="right" wrapText="1"/>
    </xf>
    <xf numFmtId="10" fontId="37" fillId="5" borderId="15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/>
    <xf numFmtId="41" fontId="2" fillId="0" borderId="23" xfId="0" applyNumberFormat="1" applyFont="1" applyBorder="1" applyAlignment="1"/>
    <xf numFmtId="41" fontId="0" fillId="0" borderId="0" xfId="0" applyNumberFormat="1" applyFont="1" applyBorder="1" applyAlignment="1"/>
    <xf numFmtId="41" fontId="2" fillId="0" borderId="35" xfId="0" applyNumberFormat="1" applyFont="1" applyFill="1" applyBorder="1" applyAlignment="1" applyProtection="1">
      <protection locked="0"/>
    </xf>
    <xf numFmtId="41" fontId="2" fillId="0" borderId="35" xfId="0" applyNumberFormat="1" applyFont="1" applyFill="1" applyBorder="1" applyAlignment="1"/>
    <xf numFmtId="42" fontId="2" fillId="0" borderId="0" xfId="0" applyNumberFormat="1" applyFont="1" applyFill="1" applyBorder="1" applyAlignment="1">
      <alignment horizontal="left"/>
    </xf>
    <xf numFmtId="42" fontId="0" fillId="0" borderId="0" xfId="0" applyNumberFormat="1" applyFont="1" applyBorder="1" applyAlignment="1"/>
    <xf numFmtId="42" fontId="7" fillId="0" borderId="37" xfId="0" applyNumberFormat="1" applyFont="1" applyFill="1" applyBorder="1" applyAlignment="1" applyProtection="1"/>
    <xf numFmtId="42" fontId="7" fillId="0" borderId="16" xfId="0" applyNumberFormat="1" applyFont="1" applyFill="1" applyBorder="1" applyAlignment="1" applyProtection="1"/>
    <xf numFmtId="42" fontId="7" fillId="4" borderId="20" xfId="0" applyNumberFormat="1" applyFont="1" applyFill="1" applyBorder="1" applyAlignment="1" applyProtection="1"/>
    <xf numFmtId="41" fontId="38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42" fontId="2" fillId="0" borderId="16" xfId="0" applyNumberFormat="1" applyFont="1" applyFill="1" applyBorder="1" applyAlignment="1" applyProtection="1">
      <protection locked="0"/>
    </xf>
    <xf numFmtId="41" fontId="2" fillId="0" borderId="15" xfId="0" applyNumberFormat="1" applyFont="1" applyFill="1" applyBorder="1" applyAlignment="1" applyProtection="1">
      <protection locked="0"/>
    </xf>
    <xf numFmtId="168" fontId="2" fillId="0" borderId="15" xfId="0" applyNumberFormat="1" applyFont="1" applyFill="1" applyBorder="1" applyAlignment="1"/>
    <xf numFmtId="42" fontId="2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11" fillId="0" borderId="0" xfId="0" applyNumberFormat="1" applyFont="1" applyAlignment="1">
      <alignment horizontal="center"/>
    </xf>
    <xf numFmtId="166" fontId="11" fillId="0" borderId="0" xfId="0" applyNumberFormat="1" applyFont="1" applyFill="1" applyAlignment="1" applyProtection="1">
      <alignment horizontal="right"/>
      <protection locked="0"/>
    </xf>
    <xf numFmtId="3" fontId="2" fillId="0" borderId="0" xfId="0" applyNumberFormat="1" applyFont="1" applyFill="1" applyAlignment="1">
      <alignment horizontal="right"/>
    </xf>
    <xf numFmtId="166" fontId="2" fillId="0" borderId="35" xfId="0" applyNumberFormat="1" applyFont="1" applyFill="1" applyBorder="1" applyAlignment="1" applyProtection="1">
      <alignment horizontal="right"/>
      <protection locked="0"/>
    </xf>
    <xf numFmtId="170" fontId="2" fillId="0" borderId="0" xfId="0" applyFont="1" applyFill="1" applyAlignment="1">
      <alignment horizontal="right"/>
    </xf>
    <xf numFmtId="42" fontId="2" fillId="0" borderId="16" xfId="0" applyNumberFormat="1" applyFont="1" applyBorder="1" applyAlignment="1"/>
    <xf numFmtId="173" fontId="3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protection locked="0"/>
    </xf>
    <xf numFmtId="17" fontId="3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 applyProtection="1">
      <protection locked="0"/>
    </xf>
    <xf numFmtId="42" fontId="40" fillId="0" borderId="3" xfId="0" applyNumberFormat="1" applyFont="1" applyFill="1" applyBorder="1" applyAlignment="1"/>
    <xf numFmtId="166" fontId="2" fillId="0" borderId="35" xfId="0" applyNumberFormat="1" applyFont="1" applyFill="1" applyBorder="1" applyAlignment="1" applyProtection="1">
      <protection locked="0"/>
    </xf>
    <xf numFmtId="0" fontId="0" fillId="0" borderId="35" xfId="0" applyNumberFormat="1" applyFont="1" applyBorder="1" applyAlignment="1"/>
    <xf numFmtId="42" fontId="2" fillId="0" borderId="38" xfId="0" applyNumberFormat="1" applyFont="1" applyFill="1" applyBorder="1" applyAlignment="1"/>
    <xf numFmtId="41" fontId="2" fillId="0" borderId="4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170" fontId="10" fillId="0" borderId="30" xfId="0" applyFont="1" applyFill="1" applyBorder="1" applyAlignment="1">
      <alignment horizontal="centerContinuous"/>
    </xf>
    <xf numFmtId="0" fontId="3" fillId="0" borderId="4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/>
    <xf numFmtId="0" fontId="3" fillId="0" borderId="40" xfId="0" applyNumberFormat="1" applyFont="1" applyBorder="1" applyAlignment="1"/>
    <xf numFmtId="0" fontId="3" fillId="0" borderId="40" xfId="0" applyNumberFormat="1" applyFont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42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Border="1" applyAlignment="1" applyProtection="1">
      <protection locked="0"/>
    </xf>
    <xf numFmtId="170" fontId="4" fillId="0" borderId="0" xfId="0" applyNumberFormat="1" applyFont="1" applyAlignment="1">
      <alignment horizontal="left"/>
    </xf>
    <xf numFmtId="170" fontId="2" fillId="0" borderId="0" xfId="0" applyNumberFormat="1" applyFont="1" applyFill="1" applyAlignment="1">
      <alignment horizontal="left" wrapText="1"/>
    </xf>
    <xf numFmtId="168" fontId="2" fillId="0" borderId="0" xfId="0" applyNumberFormat="1" applyFont="1" applyFill="1" applyAlignment="1"/>
    <xf numFmtId="42" fontId="2" fillId="0" borderId="39" xfId="0" applyNumberFormat="1" applyFont="1" applyFill="1" applyBorder="1" applyAlignment="1"/>
    <xf numFmtId="170" fontId="4" fillId="0" borderId="0" xfId="0" applyNumberFormat="1" applyFont="1" applyFill="1" applyAlignment="1">
      <alignment horizontal="left"/>
    </xf>
    <xf numFmtId="41" fontId="6" fillId="0" borderId="0" xfId="0" applyNumberFormat="1" applyFont="1" applyFill="1" applyBorder="1" applyAlignment="1">
      <alignment horizontal="left" wrapText="1"/>
    </xf>
    <xf numFmtId="170" fontId="2" fillId="0" borderId="0" xfId="0" applyNumberFormat="1" applyFont="1" applyAlignment="1"/>
    <xf numFmtId="167" fontId="2" fillId="0" borderId="35" xfId="0" applyNumberFormat="1" applyFont="1" applyFill="1" applyBorder="1" applyAlignment="1">
      <alignment horizontal="left" wrapText="1"/>
    </xf>
    <xf numFmtId="170" fontId="2" fillId="0" borderId="0" xfId="0" applyNumberFormat="1" applyFont="1" applyAlignment="1">
      <alignment horizontal="left"/>
    </xf>
    <xf numFmtId="42" fontId="2" fillId="0" borderId="0" xfId="0" applyNumberFormat="1" applyFont="1" applyFill="1" applyBorder="1" applyAlignment="1">
      <alignment horizontal="left" wrapText="1"/>
    </xf>
    <xf numFmtId="9" fontId="2" fillId="0" borderId="0" xfId="0" applyNumberFormat="1" applyFont="1" applyAlignment="1"/>
    <xf numFmtId="37" fontId="2" fillId="0" borderId="0" xfId="0" applyNumberFormat="1" applyFont="1" applyAlignment="1"/>
    <xf numFmtId="176" fontId="2" fillId="0" borderId="0" xfId="0" applyNumberFormat="1" applyFont="1" applyAlignment="1"/>
    <xf numFmtId="42" fontId="2" fillId="0" borderId="35" xfId="0" applyNumberFormat="1" applyFont="1" applyBorder="1" applyAlignment="1" applyProtection="1">
      <protection locked="0"/>
    </xf>
    <xf numFmtId="166" fontId="2" fillId="0" borderId="0" xfId="0" applyNumberFormat="1" applyFont="1" applyBorder="1" applyAlignment="1" applyProtection="1">
      <protection locked="0"/>
    </xf>
    <xf numFmtId="166" fontId="2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right"/>
      <protection locked="0"/>
    </xf>
    <xf numFmtId="167" fontId="2" fillId="0" borderId="35" xfId="0" applyNumberFormat="1" applyFont="1" applyFill="1" applyBorder="1" applyAlignment="1"/>
    <xf numFmtId="166" fontId="2" fillId="0" borderId="0" xfId="0" applyNumberFormat="1" applyFont="1" applyAlignment="1" applyProtection="1">
      <protection locked="0"/>
    </xf>
    <xf numFmtId="170" fontId="3" fillId="0" borderId="0" xfId="0" applyFont="1" applyFill="1" applyAlignment="1">
      <alignment horizontal="left" wrapText="1"/>
    </xf>
    <xf numFmtId="170" fontId="3" fillId="0" borderId="40" xfId="0" applyFont="1" applyFill="1" applyBorder="1" applyAlignment="1">
      <alignment horizontal="center"/>
    </xf>
    <xf numFmtId="170" fontId="3" fillId="0" borderId="40" xfId="0" applyFont="1" applyFill="1" applyBorder="1" applyAlignment="1">
      <alignment horizontal="left" wrapText="1"/>
    </xf>
    <xf numFmtId="168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2" fillId="0" borderId="40" xfId="0" applyNumberFormat="1" applyFont="1" applyFill="1" applyBorder="1" applyAlignment="1"/>
    <xf numFmtId="167" fontId="2" fillId="0" borderId="0" xfId="0" applyNumberFormat="1" applyFont="1" applyFill="1" applyBorder="1" applyAlignment="1">
      <alignment horizontal="left" wrapText="1"/>
    </xf>
    <xf numFmtId="167" fontId="41" fillId="0" borderId="0" xfId="0" applyNumberFormat="1" applyFont="1" applyFill="1" applyBorder="1" applyAlignment="1">
      <alignment horizontal="centerContinuous"/>
    </xf>
    <xf numFmtId="167" fontId="2" fillId="0" borderId="0" xfId="0" applyNumberFormat="1" applyFont="1" applyFill="1" applyBorder="1" applyAlignment="1">
      <alignment horizontal="centerContinuous"/>
    </xf>
    <xf numFmtId="167" fontId="38" fillId="0" borderId="0" xfId="0" applyNumberFormat="1" applyFont="1" applyFill="1" applyBorder="1" applyAlignment="1">
      <alignment horizontal="centerContinuous"/>
    </xf>
    <xf numFmtId="167" fontId="2" fillId="0" borderId="35" xfId="0" applyNumberFormat="1" applyFont="1" applyFill="1" applyBorder="1" applyAlignment="1">
      <alignment horizontal="left" wrapText="1"/>
    </xf>
    <xf numFmtId="9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9" fontId="2" fillId="0" borderId="0" xfId="0" applyNumberFormat="1" applyFont="1" applyFill="1" applyAlignment="1">
      <alignment horizontal="center"/>
    </xf>
    <xf numFmtId="37" fontId="2" fillId="0" borderId="40" xfId="0" applyNumberFormat="1" applyFont="1" applyFill="1" applyBorder="1" applyAlignment="1"/>
    <xf numFmtId="170" fontId="2" fillId="0" borderId="0" xfId="0" quotePrefix="1" applyNumberFormat="1" applyFont="1" applyFill="1" applyAlignment="1">
      <alignment horizontal="left"/>
    </xf>
    <xf numFmtId="184" fontId="0" fillId="0" borderId="0" xfId="0" applyNumberFormat="1" applyFont="1" applyFill="1" applyAlignment="1"/>
    <xf numFmtId="0" fontId="39" fillId="0" borderId="0" xfId="0" applyNumberFormat="1" applyFont="1" applyFill="1" applyAlignment="1"/>
    <xf numFmtId="167" fontId="2" fillId="0" borderId="21" xfId="0" applyNumberFormat="1" applyFont="1" applyFill="1" applyBorder="1" applyAlignment="1" applyProtection="1">
      <protection locked="0"/>
    </xf>
    <xf numFmtId="170" fontId="3" fillId="0" borderId="2" xfId="0" applyFont="1" applyFill="1" applyBorder="1" applyAlignment="1">
      <alignment horizontal="center" vertical="center"/>
    </xf>
    <xf numFmtId="44" fontId="0" fillId="0" borderId="0" xfId="0" applyNumberFormat="1" applyAlignment="1"/>
    <xf numFmtId="0" fontId="20" fillId="0" borderId="0" xfId="0" applyNumberFormat="1" applyFont="1" applyFill="1" applyBorder="1" applyAlignment="1" applyProtection="1">
      <alignment horizontal="centerContinuous"/>
      <protection locked="0"/>
    </xf>
    <xf numFmtId="43" fontId="0" fillId="0" borderId="0" xfId="0" applyNumberFormat="1" applyAlignment="1"/>
    <xf numFmtId="41" fontId="16" fillId="0" borderId="0" xfId="0" applyNumberFormat="1" applyFont="1" applyFill="1" applyBorder="1" applyAlignment="1"/>
    <xf numFmtId="37" fontId="2" fillId="0" borderId="15" xfId="0" applyNumberFormat="1" applyFont="1" applyFill="1" applyBorder="1" applyAlignment="1"/>
    <xf numFmtId="0" fontId="16" fillId="0" borderId="0" xfId="0" applyNumberFormat="1" applyFont="1" applyAlignment="1">
      <alignment horizontal="center"/>
    </xf>
    <xf numFmtId="0" fontId="42" fillId="0" borderId="0" xfId="0" applyNumberFormat="1" applyFont="1" applyAlignment="1"/>
    <xf numFmtId="0" fontId="42" fillId="0" borderId="0" xfId="0" applyNumberFormat="1" applyFont="1" applyAlignment="1">
      <alignment horizontal="center"/>
    </xf>
    <xf numFmtId="0" fontId="42" fillId="0" borderId="40" xfId="0" applyNumberFormat="1" applyFont="1" applyBorder="1" applyAlignment="1">
      <alignment horizontal="center"/>
    </xf>
    <xf numFmtId="42" fontId="16" fillId="0" borderId="0" xfId="0" applyNumberFormat="1" applyFont="1" applyAlignment="1"/>
    <xf numFmtId="10" fontId="16" fillId="0" borderId="0" xfId="0" applyNumberFormat="1" applyFont="1" applyAlignment="1"/>
    <xf numFmtId="0" fontId="16" fillId="0" borderId="35" xfId="0" applyNumberFormat="1" applyFont="1" applyBorder="1" applyAlignment="1"/>
    <xf numFmtId="41" fontId="16" fillId="0" borderId="0" xfId="0" applyNumberFormat="1" applyFont="1" applyAlignment="1"/>
    <xf numFmtId="42" fontId="16" fillId="0" borderId="0" xfId="0" applyNumberFormat="1" applyFont="1" applyAlignment="1">
      <alignment horizontal="right"/>
    </xf>
    <xf numFmtId="182" fontId="16" fillId="0" borderId="0" xfId="0" applyNumberFormat="1" applyFont="1" applyAlignment="1"/>
    <xf numFmtId="182" fontId="16" fillId="0" borderId="35" xfId="0" applyNumberFormat="1" applyFont="1" applyBorder="1" applyAlignment="1"/>
    <xf numFmtId="42" fontId="16" fillId="0" borderId="3" xfId="0" applyNumberFormat="1" applyFont="1" applyBorder="1" applyAlignment="1"/>
    <xf numFmtId="41" fontId="16" fillId="0" borderId="35" xfId="0" applyNumberFormat="1" applyFont="1" applyBorder="1" applyAlignment="1"/>
    <xf numFmtId="41" fontId="16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left" indent="1"/>
    </xf>
    <xf numFmtId="170" fontId="3" fillId="0" borderId="29" xfId="0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6" fillId="0" borderId="0" xfId="0" applyNumberFormat="1" applyFont="1" applyAlignment="1"/>
    <xf numFmtId="10" fontId="2" fillId="0" borderId="0" xfId="0" applyNumberFormat="1" applyFont="1" applyFill="1" applyBorder="1" applyAlignment="1">
      <alignment horizontal="right"/>
    </xf>
    <xf numFmtId="170" fontId="3" fillId="0" borderId="2" xfId="0" applyFont="1" applyFill="1" applyBorder="1" applyAlignment="1">
      <alignment horizontal="centerContinuous"/>
    </xf>
    <xf numFmtId="170" fontId="29" fillId="0" borderId="0" xfId="0" applyFont="1" applyFill="1">
      <alignment horizontal="left" wrapText="1"/>
    </xf>
    <xf numFmtId="41" fontId="2" fillId="0" borderId="35" xfId="0" applyNumberFormat="1" applyFont="1" applyFill="1" applyBorder="1" applyAlignment="1" applyProtection="1">
      <alignment horizontal="right"/>
      <protection locked="0"/>
    </xf>
    <xf numFmtId="0" fontId="43" fillId="0" borderId="0" xfId="0" applyNumberFormat="1" applyFont="1" applyAlignment="1"/>
    <xf numFmtId="10" fontId="15" fillId="0" borderId="39" xfId="0" applyNumberFormat="1" applyFont="1" applyBorder="1" applyAlignment="1"/>
    <xf numFmtId="167" fontId="15" fillId="0" borderId="39" xfId="0" applyNumberFormat="1" applyFont="1" applyFill="1" applyBorder="1" applyAlignment="1"/>
    <xf numFmtId="0" fontId="15" fillId="0" borderId="0" xfId="0" applyNumberFormat="1" applyFont="1" applyAlignment="1">
      <alignment horizontal="left"/>
    </xf>
    <xf numFmtId="0" fontId="15" fillId="0" borderId="0" xfId="0" applyNumberFormat="1" applyFont="1" applyFill="1" applyAlignment="1"/>
    <xf numFmtId="167" fontId="44" fillId="0" borderId="0" xfId="0" applyNumberFormat="1" applyFont="1" applyFill="1" applyAlignment="1"/>
    <xf numFmtId="0" fontId="43" fillId="0" borderId="0" xfId="0" applyNumberFormat="1" applyFont="1" applyFill="1" applyAlignment="1"/>
    <xf numFmtId="8" fontId="15" fillId="0" borderId="0" xfId="0" applyNumberFormat="1" applyFont="1" applyFill="1" applyBorder="1" applyAlignment="1"/>
    <xf numFmtId="167" fontId="15" fillId="0" borderId="0" xfId="0" applyNumberFormat="1" applyFont="1" applyFill="1" applyBorder="1" applyAlignment="1"/>
    <xf numFmtId="167" fontId="15" fillId="0" borderId="39" xfId="0" applyNumberFormat="1" applyFont="1" applyBorder="1" applyAlignment="1"/>
    <xf numFmtId="0" fontId="15" fillId="0" borderId="39" xfId="0" applyNumberFormat="1" applyFont="1" applyFill="1" applyBorder="1" applyAlignment="1"/>
    <xf numFmtId="0" fontId="16" fillId="0" borderId="0" xfId="0" applyNumberFormat="1" applyFont="1" applyFill="1" applyAlignment="1"/>
    <xf numFmtId="167" fontId="16" fillId="0" borderId="0" xfId="0" applyNumberFormat="1" applyFont="1" applyFill="1" applyAlignment="1"/>
    <xf numFmtId="167" fontId="16" fillId="0" borderId="0" xfId="0" applyNumberFormat="1" applyFont="1" applyFill="1" applyBorder="1" applyAlignment="1"/>
    <xf numFmtId="167" fontId="16" fillId="6" borderId="0" xfId="0" applyNumberFormat="1" applyFont="1" applyFill="1" applyBorder="1" applyAlignment="1"/>
    <xf numFmtId="0" fontId="16" fillId="6" borderId="0" xfId="0" applyNumberFormat="1" applyFont="1" applyFill="1" applyAlignment="1"/>
    <xf numFmtId="0" fontId="16" fillId="6" borderId="0" xfId="0" applyNumberFormat="1" applyFont="1" applyFill="1" applyAlignment="1">
      <alignment horizontal="left"/>
    </xf>
    <xf numFmtId="167" fontId="15" fillId="0" borderId="0" xfId="0" applyNumberFormat="1" applyFont="1" applyFill="1" applyAlignment="1">
      <alignment horizontal="center"/>
    </xf>
    <xf numFmtId="0" fontId="15" fillId="0" borderId="40" xfId="0" applyNumberFormat="1" applyFont="1" applyFill="1" applyBorder="1" applyAlignment="1">
      <alignment horizontal="center"/>
    </xf>
    <xf numFmtId="0" fontId="15" fillId="0" borderId="40" xfId="0" applyNumberFormat="1" applyFont="1" applyBorder="1" applyAlignment="1">
      <alignment horizontal="center"/>
    </xf>
    <xf numFmtId="0" fontId="15" fillId="0" borderId="40" xfId="0" applyNumberFormat="1" applyFont="1" applyBorder="1" applyAlignment="1"/>
    <xf numFmtId="0" fontId="15" fillId="0" borderId="40" xfId="0" applyNumberFormat="1" applyFont="1" applyBorder="1" applyAlignment="1">
      <alignment horizontal="left"/>
    </xf>
    <xf numFmtId="167" fontId="15" fillId="0" borderId="0" xfId="0" applyNumberFormat="1" applyFont="1" applyFill="1" applyAlignment="1"/>
    <xf numFmtId="0" fontId="15" fillId="0" borderId="0" xfId="0" applyNumberFormat="1" applyFont="1" applyAlignment="1"/>
    <xf numFmtId="41" fontId="28" fillId="0" borderId="0" xfId="0" applyNumberFormat="1" applyFont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6" fontId="3" fillId="0" borderId="40" xfId="0" applyNumberFormat="1" applyFont="1" applyFill="1" applyBorder="1" applyAlignment="1">
      <alignment horizontal="center"/>
    </xf>
    <xf numFmtId="0" fontId="3" fillId="0" borderId="4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/>
    <xf numFmtId="167" fontId="2" fillId="0" borderId="0" xfId="0" applyNumberFormat="1" applyFont="1" applyFill="1" applyBorder="1" applyAlignment="1" applyProtection="1">
      <alignment horizontal="right"/>
      <protection locked="0"/>
    </xf>
    <xf numFmtId="170" fontId="0" fillId="0" borderId="0" xfId="0" applyFill="1" applyBorder="1" applyAlignment="1"/>
    <xf numFmtId="0" fontId="3" fillId="0" borderId="40" xfId="0" applyNumberFormat="1" applyFont="1" applyFill="1" applyBorder="1" applyAlignment="1" applyProtection="1">
      <alignment horizontal="centerContinuous"/>
      <protection locked="0"/>
    </xf>
    <xf numFmtId="17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Continuous"/>
    </xf>
    <xf numFmtId="170" fontId="11" fillId="0" borderId="0" xfId="0" applyFont="1" applyFill="1" applyBorder="1" applyAlignment="1">
      <alignment horizontal="centerContinuous"/>
    </xf>
    <xf numFmtId="0" fontId="11" fillId="0" borderId="0" xfId="0" applyNumberFormat="1" applyFont="1" applyFill="1" applyAlignment="1">
      <alignment horizontal="centerContinuous"/>
    </xf>
    <xf numFmtId="0" fontId="0" fillId="0" borderId="0" xfId="0" applyNumberFormat="1" applyAlignment="1">
      <alignment horizontal="centerContinuous"/>
    </xf>
    <xf numFmtId="0" fontId="2" fillId="0" borderId="19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left"/>
    </xf>
    <xf numFmtId="4" fontId="2" fillId="0" borderId="19" xfId="0" applyNumberFormat="1" applyFont="1" applyFill="1" applyBorder="1" applyAlignment="1"/>
    <xf numFmtId="42" fontId="2" fillId="0" borderId="41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41" fontId="2" fillId="0" borderId="42" xfId="0" applyNumberFormat="1" applyFont="1" applyFill="1" applyBorder="1" applyAlignment="1"/>
    <xf numFmtId="165" fontId="2" fillId="0" borderId="9" xfId="0" applyNumberFormat="1" applyFont="1" applyFill="1" applyBorder="1" applyAlignment="1" applyProtection="1">
      <protection locked="0"/>
    </xf>
    <xf numFmtId="0" fontId="2" fillId="0" borderId="43" xfId="0" applyNumberFormat="1" applyFont="1" applyFill="1" applyBorder="1" applyAlignment="1"/>
    <xf numFmtId="41" fontId="11" fillId="0" borderId="44" xfId="0" applyNumberFormat="1" applyFont="1" applyFill="1" applyBorder="1" applyAlignment="1"/>
    <xf numFmtId="0" fontId="6" fillId="0" borderId="0" xfId="0" applyNumberFormat="1" applyFont="1" applyAlignment="1">
      <alignment horizontal="centerContinuous"/>
    </xf>
    <xf numFmtId="0" fontId="20" fillId="0" borderId="0" xfId="0" applyNumberFormat="1" applyFont="1" applyAlignment="1">
      <alignment horizontal="centerContinuous"/>
    </xf>
    <xf numFmtId="167" fontId="2" fillId="0" borderId="0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Alignment="1">
      <alignment horizontal="right"/>
    </xf>
    <xf numFmtId="168" fontId="2" fillId="0" borderId="39" xfId="0" applyNumberFormat="1" applyFont="1" applyFill="1" applyBorder="1" applyAlignment="1"/>
    <xf numFmtId="0" fontId="2" fillId="0" borderId="0" xfId="0" quotePrefix="1" applyNumberFormat="1" applyFont="1" applyAlignment="1">
      <alignment horizontal="center" wrapText="1"/>
    </xf>
    <xf numFmtId="170" fontId="22" fillId="0" borderId="0" xfId="0" applyFont="1">
      <alignment horizontal="left" wrapText="1"/>
    </xf>
    <xf numFmtId="170" fontId="2" fillId="0" borderId="0" xfId="0" applyFont="1">
      <alignment horizontal="left" wrapText="1"/>
    </xf>
    <xf numFmtId="170" fontId="2" fillId="0" borderId="0" xfId="0" applyFont="1" applyAlignment="1">
      <alignment horizontal="left" indent="2"/>
    </xf>
    <xf numFmtId="42" fontId="2" fillId="0" borderId="0" xfId="0" applyNumberFormat="1" applyFont="1">
      <alignment horizontal="left" wrapText="1"/>
    </xf>
    <xf numFmtId="41" fontId="2" fillId="0" borderId="23" xfId="0" applyNumberFormat="1" applyFont="1" applyBorder="1">
      <alignment horizontal="left" wrapText="1"/>
    </xf>
    <xf numFmtId="41" fontId="2" fillId="0" borderId="0" xfId="0" applyNumberFormat="1" applyFont="1">
      <alignment horizontal="left" wrapText="1"/>
    </xf>
    <xf numFmtId="42" fontId="2" fillId="0" borderId="39" xfId="0" applyNumberFormat="1" applyFont="1" applyBorder="1">
      <alignment horizontal="left" wrapText="1"/>
    </xf>
    <xf numFmtId="0" fontId="2" fillId="0" borderId="31" xfId="0" applyNumberFormat="1" applyFont="1" applyFill="1" applyBorder="1" applyAlignment="1">
      <alignment horizontal="center"/>
    </xf>
    <xf numFmtId="170" fontId="2" fillId="0" borderId="0" xfId="0" applyFont="1" applyFill="1" applyBorder="1" applyAlignment="1">
      <alignment horizontal="left" indent="2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9" xfId="0" applyNumberFormat="1" applyFont="1" applyFill="1" applyBorder="1" applyAlignment="1" applyProtection="1">
      <alignment horizontal="center"/>
      <protection locked="0"/>
    </xf>
    <xf numFmtId="0" fontId="20" fillId="0" borderId="6" xfId="0" applyNumberFormat="1" applyFont="1" applyFill="1" applyBorder="1" applyAlignment="1" applyProtection="1">
      <alignment horizontal="center"/>
      <protection locked="0"/>
    </xf>
    <xf numFmtId="0" fontId="20" fillId="0" borderId="0" xfId="0" applyNumberFormat="1" applyFont="1" applyFill="1" applyBorder="1" applyAlignment="1" applyProtection="1">
      <alignment horizontal="center"/>
      <protection locked="0"/>
    </xf>
    <xf numFmtId="0" fontId="20" fillId="0" borderId="9" xfId="0" applyNumberFormat="1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170" fontId="10" fillId="0" borderId="29" xfId="0" applyFont="1" applyFill="1" applyBorder="1" applyAlignment="1">
      <alignment horizontal="center" vertical="center"/>
    </xf>
    <xf numFmtId="170" fontId="10" fillId="0" borderId="30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20" fillId="0" borderId="0" xfId="0" applyNumberFormat="1" applyFont="1" applyAlignment="1">
      <alignment horizontal="center"/>
    </xf>
    <xf numFmtId="0" fontId="20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34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2FB77"/>
      <color rgb="FF00CCFF"/>
      <color rgb="FF0000FF"/>
      <color rgb="FFCC99FF"/>
      <color rgb="FFFF66FF"/>
      <color rgb="FFFFCC00"/>
      <color rgb="FFCCFF33"/>
      <color rgb="FFFF0000"/>
      <color rgb="FF00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33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59" Type="http://schemas.openxmlformats.org/officeDocument/2006/relationships/customXml" Target="../customXml/item3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Rate-Spread-Design-TYJun18ERF-11-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2E-RevenueTaxReformAdj-TYJun18ERF-11-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8E-10.08G-PaytProcessing-TYJun18ERF-11-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0E-PowerCosts-TYJun18ERF-11-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3E-WhiteRiver-TYJun18ERF-11-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7E-10.07G-Environmental-TYJun18ERF-11-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4E-HydroTGrant-TYJun18ERF-11-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RemoveNonERF-TYJun18ERF-11-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0E-RevExp-TYJun18CBR-11-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1E-FedTax-TYJun18CBR-11-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5E-BadDebts-TYJun18CBR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1E-4.02G-CostofCapital-TYJun18ERF-11-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6E-6.16G-Incentive-TYJun18CBR-11-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7E-6.17G-ExciseTaxFilingFee-TYJun18CBR-11-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8E-6.18G-DnOInsurance-TYJun18CBR-11-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9E-6.19G-IntCustDeposits-TYJun18CBR-11-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0E-6.20G-Pension-TYJun18CBR-11-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1E-6.21G-InjDamages-TYJun18CBR-11-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6E-Montana-Tax-TYJun18CBR-11-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3E-PassThru-TYJune18CBR-11-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2E-6.22G-Misc-TYJun18CBR-11-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4E-StormNorm-TYJun18CBR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8E-6.08G-ConvFctr-TYJun18CBR-11-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5E-Pwr-Costs-TYJun18CBR-11-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Weather-Normalization-CBR18Coeff-TYJun18ERF-11-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7E-WildHorse-TYJun18CBR-11-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4E-6.14G-RateCaseExp-TYJun18CBR-11-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2E-6.02G-CostofCapital-TYJune18CBR-11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5E-5.06E-6.05G-6.06G-RB-WC-TYJun18CBR-11-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2E-Reg-Assets-and-Lab-TYJun18ERF-11-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3E-9.03E-8.03G-10.03-Depreciation-TYJun18EOP-ERF-11-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6E-DefGainsLosses-TYJun18ERF-11-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9E-StormAmortAnnualization-TYJun18ERF-11-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1E-Montana-Tax-TYJun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(JAP4)-Tariff Summary"/>
      <sheetName val="(JAP4)-Light Tariff Summary"/>
      <sheetName val="Rate Spread-Design====&gt;"/>
      <sheetName val="(JAP4) Rate Spread"/>
      <sheetName val="(JAP4) Rate Des Summary"/>
      <sheetName val="(JAP4) Proposed ERF Rev"/>
      <sheetName val="(JAP4) Res RD"/>
      <sheetName val="(JAP4) SecVolt RD"/>
      <sheetName val="(JAP4) PriVolt RD"/>
      <sheetName val="(JAP4) CAMP RD"/>
      <sheetName val="(JAP4) HighVolt RD"/>
      <sheetName val="(JAP4) TRANSP RD"/>
      <sheetName val="(JAP4) LIGHT Sum"/>
      <sheetName val="(JAP4) LIGHT RD"/>
    </sheetNames>
    <sheetDataSet>
      <sheetData sheetId="0"/>
      <sheetData sheetId="1"/>
      <sheetData sheetId="2"/>
      <sheetData sheetId="3"/>
      <sheetData sheetId="4">
        <row r="32">
          <cell r="M32">
            <v>3069.0069235267192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F Revenues Lead Sheet"/>
      <sheetName val="Annualize  FPC"/>
      <sheetName val="Decoupling Accts 17GRC"/>
      <sheetName val="456.1"/>
      <sheetName val="Summary of A-1 &amp; Total Revenue"/>
      <sheetName val="Annualize VC rev component"/>
      <sheetName val="456 &amp; 447"/>
      <sheetName val="A-1 UE-180284"/>
    </sheetNames>
    <sheetDataSet>
      <sheetData sheetId="0">
        <row r="13">
          <cell r="C13"/>
          <cell r="D13">
            <v>7814835.3599999994</v>
          </cell>
        </row>
        <row r="14">
          <cell r="C14">
            <v>2058080273.92558</v>
          </cell>
          <cell r="D14">
            <v>2018224923.141161</v>
          </cell>
        </row>
        <row r="15">
          <cell r="C15">
            <v>343685.04</v>
          </cell>
          <cell r="D15">
            <v>329856</v>
          </cell>
        </row>
        <row r="17">
          <cell r="D17">
            <v>-7313211.1809644364</v>
          </cell>
        </row>
        <row r="21">
          <cell r="C21">
            <v>7814835.3599999994</v>
          </cell>
          <cell r="D21"/>
        </row>
        <row r="22">
          <cell r="C22">
            <v>-6288479.8899999997</v>
          </cell>
          <cell r="D22"/>
        </row>
        <row r="23">
          <cell r="C23">
            <v>-24054569</v>
          </cell>
          <cell r="D23"/>
        </row>
        <row r="28">
          <cell r="C28">
            <v>8.0199999999999994E-3</v>
          </cell>
        </row>
        <row r="29">
          <cell r="C29">
            <v>2E-3</v>
          </cell>
        </row>
        <row r="32">
          <cell r="C32">
            <v>3.8422999999999999E-2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ERF ===&gt;"/>
      <sheetName val="Annualize Costs"/>
      <sheetName val="Test Year Info ===&gt;"/>
      <sheetName val="Test Year Dfrl Amort"/>
      <sheetName val="Actual Costs"/>
      <sheetName val="From 180282&amp;3 ===&gt;"/>
      <sheetName val="Deferral in 180282&amp;3"/>
      <sheetName val="Estimate used in 180282&amp;3"/>
    </sheetNames>
    <sheetDataSet>
      <sheetData sheetId="0">
        <row r="12">
          <cell r="C12">
            <v>1339630.0189698064</v>
          </cell>
          <cell r="D12">
            <v>2483233.9330930109</v>
          </cell>
        </row>
        <row r="13">
          <cell r="C13">
            <v>443295</v>
          </cell>
          <cell r="D13">
            <v>828677.01230520185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nnualized Var  Power Costs"/>
      <sheetName val="Test Yr vs As Filed Amort E"/>
      <sheetName val="ERF Prod Factor"/>
      <sheetName val="UE-180282 GRC Orig"/>
      <sheetName val="Summary Normal Monthly kWh"/>
      <sheetName val="F2016 Delivered Load"/>
      <sheetName val="Tax and Benefits"/>
      <sheetName val="Brkr Fee, MO Tax, Centrlia, EIM"/>
    </sheetNames>
    <sheetDataSet>
      <sheetData sheetId="0">
        <row r="9">
          <cell r="C9">
            <v>191271195.98000002</v>
          </cell>
          <cell r="D9">
            <v>208443243.26519346</v>
          </cell>
        </row>
        <row r="10">
          <cell r="C10">
            <v>495385652.22025484</v>
          </cell>
          <cell r="D10">
            <v>434843424.46961474</v>
          </cell>
        </row>
        <row r="11">
          <cell r="C11">
            <v>5425112.4013887458</v>
          </cell>
          <cell r="D11">
            <v>10526739.627419444</v>
          </cell>
        </row>
        <row r="12">
          <cell r="C12">
            <v>116538099.3</v>
          </cell>
          <cell r="D12">
            <v>110806488.07763225</v>
          </cell>
        </row>
        <row r="13">
          <cell r="C13">
            <v>-116721927.84999999</v>
          </cell>
          <cell r="D13">
            <v>-61442897.548596002</v>
          </cell>
        </row>
        <row r="14">
          <cell r="C14">
            <v>-9134513.7999999989</v>
          </cell>
          <cell r="D14">
            <v>-13961272.227181885</v>
          </cell>
        </row>
        <row r="17">
          <cell r="C17">
            <v>10766859.979999999</v>
          </cell>
          <cell r="D17">
            <v>13264558.913095752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TY Amortiz"/>
      <sheetName val="AttachH pg1 Accntng Instrctn"/>
      <sheetName val="2017 6ME amortization SAP"/>
      <sheetName val="2018 6ME amortization SAP"/>
      <sheetName val="SAP Support"/>
    </sheetNames>
    <sheetDataSet>
      <sheetData sheetId="0">
        <row r="11">
          <cell r="C11">
            <v>16251326.550000001</v>
          </cell>
          <cell r="D11">
            <v>13872914.570218705</v>
          </cell>
        </row>
        <row r="12">
          <cell r="C12">
            <v>-6143001.4299999997</v>
          </cell>
          <cell r="D12">
            <v>-5643534.9142459277</v>
          </cell>
        </row>
        <row r="16">
          <cell r="C16">
            <v>4175228.57</v>
          </cell>
          <cell r="D16">
            <v>6553640.5497812955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 Lead"/>
      <sheetName val="G Lead"/>
      <sheetName val="ELEC TY Amort "/>
      <sheetName val="Elec 2017 GRC Settl Tax Ref"/>
      <sheetName val="GAS TY Amort"/>
      <sheetName val="Gas 2017 GRC Settl Tax Ref"/>
    </sheetNames>
    <sheetDataSet>
      <sheetData sheetId="0">
        <row r="17">
          <cell r="C17">
            <v>9689352.1799999997</v>
          </cell>
        </row>
        <row r="22">
          <cell r="C22">
            <v>-2570427.2394430283</v>
          </cell>
        </row>
        <row r="27">
          <cell r="D27">
            <v>761648.42999999993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Orders"/>
    </sheetNames>
    <sheetDataSet>
      <sheetData sheetId="0">
        <row r="12">
          <cell r="C12">
            <v>-1525274</v>
          </cell>
          <cell r="D12">
            <v>0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 June 2018 "/>
      <sheetName val="Sales &amp; Revenue Adj."/>
      <sheetName val="Summary 2016 PCORC Rev Req"/>
      <sheetName val="TY Sales"/>
      <sheetName val="Restating Print Macros"/>
      <sheetName val="Module13"/>
      <sheetName val="Module14"/>
      <sheetName val="Module15"/>
      <sheetName val="Module1"/>
      <sheetName val="555-557"/>
      <sheetName val="2017 GRC Exh.A-1"/>
      <sheetName val="TY Other Rev"/>
      <sheetName val="TY Other TAX"/>
      <sheetName val="FIT for Annulization"/>
      <sheetName val="ERF Revenues Lead Sheet"/>
      <sheetName val="support A-1=&gt;"/>
      <sheetName val="Dec 2016 PCs Update"/>
      <sheetName val="SEF-3 p 6"/>
      <sheetName val="Sch B 2018"/>
    </sheetNames>
    <sheetDataSet>
      <sheetData sheetId="0">
        <row r="12">
          <cell r="M12">
            <v>724521412.41610312</v>
          </cell>
        </row>
        <row r="13">
          <cell r="M13">
            <v>0</v>
          </cell>
        </row>
        <row r="14">
          <cell r="M14">
            <v>61442897.548596002</v>
          </cell>
        </row>
        <row r="15">
          <cell r="M15">
            <v>13961272.227181884</v>
          </cell>
        </row>
        <row r="21">
          <cell r="M21">
            <v>208443243.26519346</v>
          </cell>
        </row>
        <row r="22">
          <cell r="M22">
            <v>434843424.46961474</v>
          </cell>
        </row>
        <row r="23">
          <cell r="M23">
            <v>110806488.07763225</v>
          </cell>
        </row>
        <row r="24">
          <cell r="M24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5810661.7275771461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1449042.8248322064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29197002.106144242</v>
          </cell>
        </row>
        <row r="40">
          <cell r="M40">
            <v>1968901.1413862524</v>
          </cell>
        </row>
        <row r="41">
          <cell r="M4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 PTC Lia 12ME 6-2018"/>
      <sheetName val="Treas Grnt  Amort 12ME 6-2018"/>
      <sheetName val="SOE 12ME 6-2018"/>
      <sheetName val="Rev Sharing 12ME 6-2018 Elec"/>
    </sheetNames>
    <sheetDataSet>
      <sheetData sheetId="0">
        <row r="14">
          <cell r="D14">
            <v>6166656.5310000004</v>
          </cell>
        </row>
        <row r="15">
          <cell r="D15">
            <v>-1638991.08</v>
          </cell>
        </row>
        <row r="16">
          <cell r="D16">
            <v>48152729.398000002</v>
          </cell>
        </row>
        <row r="33">
          <cell r="D33">
            <v>34578086.299999997</v>
          </cell>
        </row>
        <row r="35">
          <cell r="D35">
            <v>51208247.939999998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CBR"/>
    </sheetNames>
    <sheetDataSet>
      <sheetData sheetId="0">
        <row r="12">
          <cell r="D12">
            <v>480933819.96180284</v>
          </cell>
        </row>
        <row r="17">
          <cell r="D17">
            <v>8191520.1240549684</v>
          </cell>
        </row>
        <row r="23">
          <cell r="C23">
            <v>61778949.609999999</v>
          </cell>
        </row>
        <row r="24">
          <cell r="C24">
            <v>602312497.13999903</v>
          </cell>
        </row>
        <row r="25">
          <cell r="C25">
            <v>-517275075.02999997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SOE 12ME 02-2018"/>
      <sheetName val="SOE 12ME 2-2017"/>
      <sheetName val="SOE 12ME 2-2016"/>
      <sheetName val="SOE 12ME 2-2015"/>
      <sheetName val="SOE 12ME 2-2014"/>
    </sheetNames>
    <sheetDataSet>
      <sheetData sheetId="0">
        <row r="14">
          <cell r="C14">
            <v>16933464.380000003</v>
          </cell>
          <cell r="D14">
            <v>2168129073.75</v>
          </cell>
          <cell r="E14">
            <v>61281977.329999998</v>
          </cell>
          <cell r="F14">
            <v>22000392.900000002</v>
          </cell>
          <cell r="G14">
            <v>352692.47999999998</v>
          </cell>
        </row>
        <row r="15">
          <cell r="C15">
            <v>16371341.030000001</v>
          </cell>
          <cell r="D15">
            <v>2258980887.98</v>
          </cell>
          <cell r="E15">
            <v>52655030.960000001</v>
          </cell>
          <cell r="F15">
            <v>18382111.43</v>
          </cell>
          <cell r="G15">
            <v>335399.09000000003</v>
          </cell>
        </row>
        <row r="16">
          <cell r="C16">
            <v>19105884.939999998</v>
          </cell>
          <cell r="D16">
            <v>2441423797.6500001</v>
          </cell>
          <cell r="E16">
            <v>53588426.789999999</v>
          </cell>
          <cell r="F16">
            <v>127369400.78999999</v>
          </cell>
          <cell r="G16">
            <v>346779.57</v>
          </cell>
        </row>
        <row r="20">
          <cell r="D20">
            <v>2372309109.4699993</v>
          </cell>
          <cell r="E20">
            <v>116721927.84999999</v>
          </cell>
          <cell r="F20">
            <v>15770153.8199999</v>
          </cell>
          <cell r="G20">
            <v>342919.04</v>
          </cell>
          <cell r="H20">
            <v>2239474108.7599998</v>
          </cell>
        </row>
        <row r="27">
          <cell r="H27">
            <v>17630570.899999999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F COC Pg2"/>
      <sheetName val="Pg 2 Cost of Total Debt"/>
      <sheetName val="Pg 3 STD Int &amp; Fees-Details"/>
      <sheetName val="Pg 4 $250M Jr Sub Int Exp"/>
      <sheetName val="Pg 5 Reacquired Debt"/>
    </sheetNames>
    <sheetDataSet>
      <sheetData sheetId="0">
        <row r="21">
          <cell r="D21">
            <v>0.51500000000000001</v>
          </cell>
          <cell r="F21">
            <v>2.8799999999999999E-2</v>
          </cell>
        </row>
        <row r="22">
          <cell r="D22">
            <v>0.48499999999999999</v>
          </cell>
          <cell r="E22">
            <v>9.5000000000000001E-2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4 Yr Avg"/>
      <sheetName val="Incent &amp; Related PR Tax - TY"/>
      <sheetName val="Report 2018"/>
      <sheetName val="Manual Clearing"/>
      <sheetName val="PR Taxes"/>
      <sheetName val="PR Tax Rates"/>
      <sheetName val="Correction"/>
      <sheetName val="Detail"/>
    </sheetNames>
    <sheetDataSet>
      <sheetData sheetId="0">
        <row r="12">
          <cell r="C12">
            <v>10160385.628067544</v>
          </cell>
          <cell r="D12">
            <v>8158371.5248022452</v>
          </cell>
          <cell r="G12">
            <v>-31485.941259909945</v>
          </cell>
        </row>
        <row r="13">
          <cell r="G13">
            <v>-498851.37094650435</v>
          </cell>
        </row>
        <row r="14">
          <cell r="C14">
            <v>859897.73516162252</v>
          </cell>
          <cell r="D14">
            <v>690462.49360899627</v>
          </cell>
          <cell r="G14">
            <v>-1471676.7910588842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"/>
      <sheetName val="True-up current period"/>
      <sheetName val="True-up prior period"/>
      <sheetName val="TY Filing Fee"/>
      <sheetName val="E Filing Fee Restated"/>
      <sheetName val="G Filing Fee Restated"/>
      <sheetName val="Order Group 456"/>
    </sheetNames>
    <sheetDataSet>
      <sheetData sheetId="0">
        <row r="12">
          <cell r="C12">
            <v>87921192.234495014</v>
          </cell>
          <cell r="D12">
            <v>87944272.187950015</v>
          </cell>
        </row>
        <row r="13">
          <cell r="C13">
            <v>4448881.7799999993</v>
          </cell>
          <cell r="D13">
            <v>4588723.5443399996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"/>
      <sheetName val=" Gas"/>
      <sheetName val="Main wp"/>
      <sheetName val="CE Allocation"/>
      <sheetName val="Director's Fees"/>
      <sheetName val="invoices"/>
    </sheetNames>
    <sheetDataSet>
      <sheetData sheetId="0">
        <row r="12">
          <cell r="C12">
            <v>87399.788213822103</v>
          </cell>
          <cell r="D12">
            <v>80082.420818800587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AP 12ME 6-2018 "/>
      <sheetName val="E&amp;G Split"/>
      <sheetName val="Jul. 17"/>
      <sheetName val="Aug. 17"/>
      <sheetName val="Sept. 17"/>
      <sheetName val="Oct. 17"/>
      <sheetName val="Nov. 17"/>
      <sheetName val="Dec. 17"/>
      <sheetName val="Jan. 18"/>
      <sheetName val="Feb. 18"/>
      <sheetName val="Mar. 18"/>
      <sheetName val="Apr.18"/>
      <sheetName val="May.18"/>
      <sheetName val="Jun.18"/>
    </sheetNames>
    <sheetDataSet>
      <sheetData sheetId="0">
        <row r="11">
          <cell r="D11">
            <v>395844.34257240192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Test Year"/>
      <sheetName val="Qualified - Restated"/>
      <sheetName val="Restated 4Y Average"/>
      <sheetName val="Cash Contrib"/>
    </sheetNames>
    <sheetDataSet>
      <sheetData sheetId="0">
        <row r="14">
          <cell r="C14">
            <v>3935659.5920573566</v>
          </cell>
          <cell r="D14">
            <v>6953536.0105129313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&amp;Dam Ordrs 12ME 6-2018 "/>
      <sheetName val="ZO12 Inj &amp; Dam 12ME 6-2017"/>
      <sheetName val="CC Pmts 6ME 12-2016"/>
      <sheetName val="ZO12 Inj&amp;Dam Ordrs 12ME 6-2016"/>
      <sheetName val="Alloc Method 6-2017"/>
      <sheetName val="Alloc Method 6-2016"/>
      <sheetName val="Sheet1"/>
    </sheetNames>
    <sheetDataSet>
      <sheetData sheetId="0">
        <row r="13">
          <cell r="C13">
            <v>450000</v>
          </cell>
          <cell r="D13">
            <v>202500</v>
          </cell>
        </row>
        <row r="14">
          <cell r="C14">
            <v>1548621.6112537242</v>
          </cell>
          <cell r="D14">
            <v>813467.74207254779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nthly"/>
      <sheetName val="Actual Generation"/>
      <sheetName val="SAP 12MOE June 2018"/>
      <sheetName val="Montana Energy Tax"/>
    </sheetNames>
    <sheetDataSet>
      <sheetData sheetId="0">
        <row r="12">
          <cell r="E12">
            <v>4454548000</v>
          </cell>
        </row>
        <row r="21">
          <cell r="E21">
            <v>1575476.2000000002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OE 12ME 6-2018"/>
      <sheetName val="ZO12 Sch142 12ME 6-2018 "/>
      <sheetName val="SOGE Green Pwr 12ME 6-2018"/>
      <sheetName val="ZO12 Exp orders 12ME 6-2018"/>
      <sheetName val="ZRW_Z851 Green Pwr 12ME 6-2018"/>
    </sheetNames>
    <sheetDataSet>
      <sheetData sheetId="0">
        <row r="12">
          <cell r="E12">
            <v>111832553.308</v>
          </cell>
        </row>
        <row r="13">
          <cell r="E13">
            <v>63438655.561999999</v>
          </cell>
        </row>
        <row r="14">
          <cell r="E14">
            <v>87174177.019999996</v>
          </cell>
        </row>
        <row r="15">
          <cell r="E15">
            <v>18155037.385000002</v>
          </cell>
        </row>
        <row r="16">
          <cell r="E16">
            <v>-81100443.699000001</v>
          </cell>
        </row>
        <row r="17">
          <cell r="E17">
            <v>-334257.24800000002</v>
          </cell>
        </row>
        <row r="18">
          <cell r="E18">
            <v>278269.58</v>
          </cell>
        </row>
        <row r="19">
          <cell r="E19">
            <v>29396312.68541979</v>
          </cell>
        </row>
        <row r="20">
          <cell r="E20">
            <v>-27972267.109999999</v>
          </cell>
        </row>
        <row r="21">
          <cell r="E21">
            <v>4314632.99</v>
          </cell>
        </row>
        <row r="22">
          <cell r="E22">
            <v>-418667.41</v>
          </cell>
        </row>
        <row r="23">
          <cell r="E23">
            <v>807.76</v>
          </cell>
        </row>
        <row r="33">
          <cell r="E33">
            <v>-106701547.08</v>
          </cell>
        </row>
        <row r="34">
          <cell r="E34">
            <v>-60527271.019999996</v>
          </cell>
        </row>
        <row r="35">
          <cell r="E35">
            <v>-83747985.879999995</v>
          </cell>
        </row>
        <row r="36">
          <cell r="E36">
            <v>-17326786.41</v>
          </cell>
        </row>
        <row r="37">
          <cell r="E37">
            <v>77400560.560000002</v>
          </cell>
        </row>
        <row r="38">
          <cell r="E38">
            <v>42465.649999999994</v>
          </cell>
        </row>
        <row r="39">
          <cell r="E39">
            <v>-2413218.2599999998</v>
          </cell>
        </row>
        <row r="40">
          <cell r="E40">
            <v>-1136873.3799999999</v>
          </cell>
        </row>
        <row r="41">
          <cell r="E41">
            <v>-28773.07</v>
          </cell>
        </row>
        <row r="42">
          <cell r="E42">
            <v>-8061.88</v>
          </cell>
        </row>
        <row r="43">
          <cell r="E43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AP 62100150"/>
      <sheetName val="92306147"/>
    </sheetNames>
    <sheetDataSet>
      <sheetData sheetId="0">
        <row r="13">
          <cell r="C13">
            <v>3200</v>
          </cell>
        </row>
        <row r="14">
          <cell r="C14">
            <v>455.23747499999996</v>
          </cell>
        </row>
      </sheetData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m Lead"/>
      <sheetName val="Storm O&amp;M 6YE 6 -2018"/>
    </sheetNames>
    <sheetDataSet>
      <sheetData sheetId="0">
        <row r="17">
          <cell r="C17">
            <v>58223.1</v>
          </cell>
          <cell r="D17">
            <v>2060628.4999999995</v>
          </cell>
        </row>
        <row r="18">
          <cell r="C18">
            <v>484042.58</v>
          </cell>
          <cell r="D18">
            <v>15744729.020000001</v>
          </cell>
        </row>
        <row r="19">
          <cell r="C19">
            <v>528945.57999999996</v>
          </cell>
          <cell r="D19">
            <v>5636306.4900000002</v>
          </cell>
        </row>
        <row r="20">
          <cell r="C20">
            <v>696860.77</v>
          </cell>
          <cell r="D20">
            <v>17310397.59</v>
          </cell>
        </row>
        <row r="21">
          <cell r="C21">
            <v>407421.01</v>
          </cell>
          <cell r="D21">
            <v>8774385.2300000004</v>
          </cell>
        </row>
        <row r="22">
          <cell r="C22">
            <v>279731.89999999997</v>
          </cell>
          <cell r="D22">
            <v>5765723.3599999994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8.0199999999999994E-3</v>
          </cell>
        </row>
        <row r="15">
          <cell r="E15">
            <v>2E-3</v>
          </cell>
        </row>
        <row r="16">
          <cell r="D16">
            <v>3.8733999999999998E-2</v>
          </cell>
        </row>
        <row r="21">
          <cell r="D21">
            <v>0.27999999999999997</v>
          </cell>
        </row>
      </sheetData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Reconciliations"/>
      <sheetName val="Summary Normlz'd x Month"/>
      <sheetName val="benefits"/>
      <sheetName val="GAAP-only fuel valuation"/>
      <sheetName val="Fixed Cost Deferral=&gt;"/>
      <sheetName val="Summary FPC Deferral"/>
      <sheetName val="FPC Deferral"/>
      <sheetName val="Staff Calc w weather norm"/>
      <sheetName val="Staff Calc UE-180280"/>
      <sheetName val="Load Temp Adj Dec 17CBR"/>
      <sheetName val="Adj PC for Temp Norm=&gt;"/>
      <sheetName val="Summary Normalization"/>
      <sheetName val="Load Impact to Cost &amp; Rev"/>
      <sheetName val="Load Temp Adj"/>
      <sheetName val="2018 Hydro"/>
      <sheetName val="2018 Wind"/>
      <sheetName val="Wind Integration Costs"/>
      <sheetName val="Price"/>
      <sheetName val="PCA Calc=&gt;"/>
      <sheetName val="CBR Jun 18 Sch B"/>
      <sheetName val="Sched B 2017"/>
      <sheetName val="Sched B 2018"/>
    </sheetNames>
    <sheetDataSet>
      <sheetData sheetId="0">
        <row r="14">
          <cell r="C14">
            <v>192974971.49000001</v>
          </cell>
          <cell r="D14">
            <v>191271195.98000002</v>
          </cell>
          <cell r="E14">
            <v>-1703775.51</v>
          </cell>
        </row>
        <row r="15">
          <cell r="C15">
            <v>491827524.63999999</v>
          </cell>
          <cell r="D15">
            <v>495385652.22025484</v>
          </cell>
          <cell r="E15">
            <v>3558127.5802548788</v>
          </cell>
        </row>
        <row r="16">
          <cell r="C16">
            <v>7530614.2799999891</v>
          </cell>
          <cell r="D16">
            <v>7869816.6026486559</v>
          </cell>
          <cell r="E16">
            <v>339202.3226486668</v>
          </cell>
        </row>
        <row r="17">
          <cell r="C17">
            <v>116538099.3</v>
          </cell>
          <cell r="D17">
            <v>116538099.3</v>
          </cell>
          <cell r="E17"/>
        </row>
        <row r="18">
          <cell r="C18">
            <v>-116721927.84999999</v>
          </cell>
          <cell r="D18">
            <v>-116721927.84999999</v>
          </cell>
          <cell r="E18"/>
        </row>
        <row r="19">
          <cell r="C19">
            <v>-9134513.7999999989</v>
          </cell>
          <cell r="D19">
            <v>-9134513.7999999989</v>
          </cell>
          <cell r="E19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"/>
      <sheetName val="Sales &amp; Revenue Adj."/>
      <sheetName val="Temp Adj. by Schedule"/>
      <sheetName val="Normalized Total Usage"/>
      <sheetName val="Actual Total Usage"/>
      <sheetName val="SAP BW Actual Usage"/>
      <sheetName val="System Model "/>
      <sheetName val="TABLE-HDD"/>
    </sheetNames>
    <sheetDataSet>
      <sheetData sheetId="0">
        <row r="12">
          <cell r="C12">
            <v>1674840812</v>
          </cell>
          <cell r="D12">
            <v>1664895712.9958138</v>
          </cell>
        </row>
        <row r="13">
          <cell r="C13">
            <v>1762350614</v>
          </cell>
          <cell r="D13">
            <v>1706028678.2529953</v>
          </cell>
        </row>
        <row r="14">
          <cell r="C14">
            <v>1614649543</v>
          </cell>
          <cell r="D14">
            <v>1598552638.8488054</v>
          </cell>
        </row>
        <row r="15">
          <cell r="C15">
            <v>1788067702</v>
          </cell>
          <cell r="D15">
            <v>1786848284.08025</v>
          </cell>
        </row>
        <row r="16">
          <cell r="C16">
            <v>2006678704</v>
          </cell>
          <cell r="D16">
            <v>2028588920.6755638</v>
          </cell>
        </row>
        <row r="17">
          <cell r="C17">
            <v>2389752569</v>
          </cell>
          <cell r="D17">
            <v>2364363529.0372953</v>
          </cell>
        </row>
        <row r="18">
          <cell r="C18">
            <v>2215266167</v>
          </cell>
          <cell r="D18">
            <v>2305584065.4216886</v>
          </cell>
        </row>
        <row r="19">
          <cell r="C19">
            <v>2064898700</v>
          </cell>
          <cell r="D19">
            <v>2007991930.630203</v>
          </cell>
        </row>
        <row r="20">
          <cell r="C20">
            <v>2062414077</v>
          </cell>
          <cell r="D20">
            <v>2068533333.0722306</v>
          </cell>
        </row>
        <row r="21">
          <cell r="C21">
            <v>1768077599</v>
          </cell>
          <cell r="D21">
            <v>1779404185.600157</v>
          </cell>
        </row>
        <row r="22">
          <cell r="C22">
            <v>1593061438</v>
          </cell>
          <cell r="D22">
            <v>1611520006.8019745</v>
          </cell>
        </row>
        <row r="23">
          <cell r="C23">
            <v>1565951960</v>
          </cell>
          <cell r="D23">
            <v>1559953299.7715843</v>
          </cell>
        </row>
        <row r="26">
          <cell r="E26">
            <v>-855.29145687678829</v>
          </cell>
          <cell r="F26">
            <v>-1267807</v>
          </cell>
        </row>
        <row r="27">
          <cell r="E27">
            <v>-5449847.9603477279</v>
          </cell>
          <cell r="F27">
            <v>-454912</v>
          </cell>
        </row>
        <row r="28">
          <cell r="E28">
            <v>-7162081.5665613385</v>
          </cell>
          <cell r="F28">
            <v>-497113</v>
          </cell>
        </row>
        <row r="29">
          <cell r="E29">
            <v>-5569549.819963485</v>
          </cell>
          <cell r="F29">
            <v>-354984</v>
          </cell>
        </row>
        <row r="30">
          <cell r="E30">
            <v>-403837.91482737212</v>
          </cell>
          <cell r="F30">
            <v>-24405</v>
          </cell>
        </row>
        <row r="31">
          <cell r="E31">
            <v>-2089863.5634308262</v>
          </cell>
          <cell r="F31">
            <v>-126784</v>
          </cell>
        </row>
        <row r="32">
          <cell r="E32">
            <v>-1733687.0572225826</v>
          </cell>
          <cell r="F32">
            <v>-113543</v>
          </cell>
        </row>
        <row r="33">
          <cell r="E33">
            <v>461100.14024450601</v>
          </cell>
          <cell r="F33">
            <v>3803</v>
          </cell>
        </row>
        <row r="34">
          <cell r="E34">
            <v>21773.578241899635</v>
          </cell>
          <cell r="F34">
            <v>766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June 2018 PP Report"/>
      <sheetName val="WH Deferred Tax Dec 2017"/>
      <sheetName val="DFITAMA"/>
    </sheetNames>
    <sheetDataSet>
      <sheetData sheetId="0">
        <row r="15">
          <cell r="D15">
            <v>4539303</v>
          </cell>
        </row>
        <row r="16">
          <cell r="D16">
            <v>-1910783</v>
          </cell>
        </row>
        <row r="17">
          <cell r="D17">
            <v>-872518.60875000001</v>
          </cell>
        </row>
        <row r="21">
          <cell r="D21">
            <v>200943</v>
          </cell>
        </row>
      </sheetData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"/>
      <sheetName val="GRC"/>
      <sheetName val="PCORC"/>
    </sheetNames>
    <sheetDataSet>
      <sheetData sheetId="0">
        <row r="16">
          <cell r="D16">
            <v>1097000</v>
          </cell>
        </row>
        <row r="19">
          <cell r="D19">
            <v>705267.11716999998</v>
          </cell>
        </row>
        <row r="23">
          <cell r="D23">
            <v>273000</v>
          </cell>
        </row>
        <row r="26">
          <cell r="D26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11">
          <cell r="B11">
            <v>2239474108.7599998</v>
          </cell>
        </row>
        <row r="12">
          <cell r="B12">
            <v>342919.04</v>
          </cell>
        </row>
        <row r="13">
          <cell r="B13">
            <v>116721927.84999999</v>
          </cell>
        </row>
        <row r="14">
          <cell r="B14">
            <v>15770153.8199999</v>
          </cell>
        </row>
        <row r="20">
          <cell r="B20">
            <v>192974971.49000001</v>
          </cell>
        </row>
        <row r="21">
          <cell r="B21">
            <v>499358138.91999996</v>
          </cell>
        </row>
        <row r="22">
          <cell r="B22">
            <v>116538099.3</v>
          </cell>
        </row>
        <row r="23">
          <cell r="B23">
            <v>-77400560.560000002</v>
          </cell>
        </row>
        <row r="26">
          <cell r="B26">
            <v>125620030.10999976</v>
          </cell>
        </row>
        <row r="27">
          <cell r="B27">
            <v>21791677.05999998</v>
          </cell>
        </row>
        <row r="28">
          <cell r="B28">
            <v>79064740.699999675</v>
          </cell>
        </row>
        <row r="29">
          <cell r="B29">
            <v>52024798.43</v>
          </cell>
        </row>
        <row r="30">
          <cell r="B30">
            <v>21813620.449999992</v>
          </cell>
        </row>
        <row r="31">
          <cell r="B31">
            <v>106701547.08</v>
          </cell>
        </row>
        <row r="32">
          <cell r="B32">
            <v>123469095.73999998</v>
          </cell>
        </row>
        <row r="33">
          <cell r="B33">
            <v>316187695.34999996</v>
          </cell>
        </row>
        <row r="34">
          <cell r="B34">
            <v>63634800.319999993</v>
          </cell>
        </row>
        <row r="35">
          <cell r="B35">
            <v>28310947.7099999</v>
          </cell>
        </row>
        <row r="36">
          <cell r="B36">
            <v>-77871386.200000018</v>
          </cell>
        </row>
        <row r="37">
          <cell r="B37">
            <v>-237759.90000001015</v>
          </cell>
        </row>
        <row r="38">
          <cell r="B38">
            <v>242620498.299999</v>
          </cell>
        </row>
        <row r="39">
          <cell r="B39">
            <v>61778949.609999999</v>
          </cell>
        </row>
        <row r="40">
          <cell r="B40">
            <v>85037422.109999061</v>
          </cell>
        </row>
      </sheetData>
      <sheetData sheetId="1"/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R COC Pg1"/>
      <sheetName val="Pg 2 CapStructure"/>
      <sheetName val="Pg 3 STD Cost Rate"/>
      <sheetName val="Pg 4 STD OS &amp; Comm Fees"/>
      <sheetName val="Pg 5 STD Amort"/>
      <sheetName val="Pg 6 LTD Cost "/>
      <sheetName val="Pg 7 Reacquired Debt"/>
    </sheetNames>
    <sheetDataSet>
      <sheetData sheetId="0">
        <row r="26">
          <cell r="F26">
            <v>2.8899999999999999E-2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B EOP"/>
      <sheetName val="GRB EOP"/>
      <sheetName val="ERB AMA"/>
      <sheetName val="GRB AMA"/>
      <sheetName val="2017 GRC Summary Format"/>
      <sheetName val="2017 GRC WC Det Format"/>
      <sheetName val="3.04 &amp; 4.04 Lead"/>
      <sheetName val="Recons---&gt;"/>
      <sheetName val="BS and CWC Recon, p1"/>
      <sheetName val="BS and CWC Recon, p2"/>
      <sheetName val="PPXLSaveData0"/>
      <sheetName val="PPXLFunctions"/>
      <sheetName val="PPXLOpen"/>
    </sheetNames>
    <sheetDataSet>
      <sheetData sheetId="0"/>
      <sheetData sheetId="1"/>
      <sheetData sheetId="2">
        <row r="92">
          <cell r="D92">
            <v>10364897707.224737</v>
          </cell>
          <cell r="J92">
            <v>10536572995.599039</v>
          </cell>
        </row>
        <row r="93">
          <cell r="D93">
            <v>-4091031740.6961212</v>
          </cell>
          <cell r="J93">
            <v>-4242567547.0849099</v>
          </cell>
        </row>
        <row r="94">
          <cell r="D94">
            <v>257055280.59625006</v>
          </cell>
          <cell r="J94">
            <v>285772854.99000001</v>
          </cell>
        </row>
        <row r="95">
          <cell r="D95">
            <v>-1436108670.41483</v>
          </cell>
          <cell r="J95">
            <v>-1443108585.6831751</v>
          </cell>
        </row>
        <row r="96">
          <cell r="D96">
            <v>183434144.27723971</v>
          </cell>
          <cell r="J96">
            <v>101620137.7580017</v>
          </cell>
        </row>
        <row r="97">
          <cell r="D97">
            <v>-104708916.6904054</v>
          </cell>
          <cell r="J97">
            <v>-102537014.50428501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Electron Deferral"/>
      <sheetName val="T-Grant Snoq Deferral"/>
      <sheetName val="T-Grant Baker Deferral"/>
      <sheetName val="LSR Prepaid Principal"/>
      <sheetName val="Colstrip 1&amp;2 Prepaid"/>
      <sheetName val="Chelan PUD"/>
      <sheetName val="LSR Prepaid BPA interest"/>
      <sheetName val="LSR Prepaid carrying charges "/>
      <sheetName val="BNP"/>
      <sheetName val="Ferndale"/>
      <sheetName val="Snoq"/>
      <sheetName val="Mint Farm Def"/>
      <sheetName val="Baker"/>
      <sheetName val="BEP 2006 GRC"/>
      <sheetName val="FB Energy"/>
      <sheetName val="LSR Deferral 4yrs"/>
      <sheetName val="LSR Prepaid Bill Credits"/>
      <sheetName val="$89M Chelan PUD"/>
      <sheetName val="$18.5M Chelan"/>
      <sheetName val="FERC PART 12 STUDY (Baker)"/>
      <sheetName val="BPA Statement"/>
    </sheetNames>
    <sheetDataSet>
      <sheetData sheetId="0"/>
      <sheetData sheetId="1"/>
      <sheetData sheetId="2"/>
      <sheetData sheetId="3">
        <row r="14">
          <cell r="C14">
            <v>0</v>
          </cell>
          <cell r="D14">
            <v>0</v>
          </cell>
        </row>
        <row r="15">
          <cell r="C15">
            <v>-57518.44</v>
          </cell>
          <cell r="D15">
            <v>-61821.173175928787</v>
          </cell>
        </row>
        <row r="16">
          <cell r="C16">
            <v>-78852.239999999991</v>
          </cell>
          <cell r="D16">
            <v>-84750.798948222815</v>
          </cell>
        </row>
        <row r="17">
          <cell r="C17">
            <v>12348155.889999999</v>
          </cell>
          <cell r="D17">
            <v>12348156.650861852</v>
          </cell>
        </row>
        <row r="18">
          <cell r="C18">
            <v>82012096.74000001</v>
          </cell>
          <cell r="D18">
            <v>82012095.988068312</v>
          </cell>
        </row>
        <row r="19">
          <cell r="C19">
            <v>18500000</v>
          </cell>
          <cell r="D19">
            <v>18500000</v>
          </cell>
        </row>
        <row r="20">
          <cell r="C20">
            <v>749999.69</v>
          </cell>
          <cell r="D20">
            <v>750000.00000000524</v>
          </cell>
        </row>
        <row r="21">
          <cell r="C21">
            <v>0</v>
          </cell>
          <cell r="D21">
            <v>0</v>
          </cell>
        </row>
        <row r="22">
          <cell r="C22">
            <v>61189384.369999997</v>
          </cell>
          <cell r="D22">
            <v>61188737.604696095</v>
          </cell>
        </row>
        <row r="23">
          <cell r="C23">
            <v>8418581.6999999993</v>
          </cell>
          <cell r="D23">
            <v>8418581.8744743615</v>
          </cell>
        </row>
        <row r="24">
          <cell r="C24">
            <v>0</v>
          </cell>
          <cell r="D24">
            <v>0.16838636322063394</v>
          </cell>
        </row>
        <row r="25">
          <cell r="C25">
            <v>98747.76</v>
          </cell>
          <cell r="D25">
            <v>106146.39948313065</v>
          </cell>
        </row>
        <row r="26">
          <cell r="C26">
            <v>-564327.78</v>
          </cell>
          <cell r="D26">
            <v>-113841.76161088841</v>
          </cell>
        </row>
        <row r="27">
          <cell r="C27">
            <v>3601267.0599999996</v>
          </cell>
          <cell r="D27">
            <v>3601269.9318297999</v>
          </cell>
        </row>
        <row r="28">
          <cell r="C28">
            <v>-70409.37</v>
          </cell>
          <cell r="D28">
            <v>-75670.737778508177</v>
          </cell>
        </row>
        <row r="29">
          <cell r="C29">
            <v>-243209.5</v>
          </cell>
          <cell r="D29">
            <v>-261400.28314181394</v>
          </cell>
        </row>
        <row r="30">
          <cell r="C30">
            <v>1121457.6000000001</v>
          </cell>
          <cell r="D30">
            <v>840875.57063333876</v>
          </cell>
        </row>
        <row r="31">
          <cell r="C31"/>
          <cell r="D31"/>
        </row>
        <row r="39">
          <cell r="C39">
            <v>2885052</v>
          </cell>
          <cell r="D39">
            <v>2885052</v>
          </cell>
        </row>
        <row r="42">
          <cell r="C42">
            <v>0</v>
          </cell>
          <cell r="D42">
            <v>0</v>
          </cell>
        </row>
        <row r="44">
          <cell r="C44">
            <v>687420</v>
          </cell>
          <cell r="D44">
            <v>687420</v>
          </cell>
        </row>
        <row r="45">
          <cell r="C45">
            <v>0</v>
          </cell>
          <cell r="D45">
            <v>0</v>
          </cell>
        </row>
        <row r="46">
          <cell r="C46">
            <v>673351.60905598255</v>
          </cell>
          <cell r="D46">
            <v>561126.34087998548</v>
          </cell>
        </row>
        <row r="47">
          <cell r="C47">
            <v>2644123.3835876156</v>
          </cell>
          <cell r="D47">
            <v>2203436.1529896799</v>
          </cell>
        </row>
        <row r="48">
          <cell r="C48">
            <v>4520422.508572978</v>
          </cell>
          <cell r="D48">
            <v>4520422.508572978</v>
          </cell>
        </row>
        <row r="49">
          <cell r="C49">
            <v>-480025.82555530063</v>
          </cell>
          <cell r="D49">
            <v>-400021.52129608387</v>
          </cell>
        </row>
        <row r="50">
          <cell r="C50">
            <v>-1658222.0604590874</v>
          </cell>
          <cell r="D50">
            <v>-1381851.7170492394</v>
          </cell>
        </row>
        <row r="51">
          <cell r="C51">
            <v>3761008.8218181822</v>
          </cell>
          <cell r="D51">
            <v>3786307.8400000003</v>
          </cell>
        </row>
        <row r="64">
          <cell r="C64">
            <v>-346065.93985135731</v>
          </cell>
        </row>
        <row r="65">
          <cell r="C65">
            <v>489071.72524289537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P Electric Deprec  Lead "/>
      <sheetName val="Annualize Elec  Deprec Lead "/>
      <sheetName val="EOP Gas Deprec Lead "/>
      <sheetName val="Annualize Gas Deprec Lead "/>
      <sheetName val="Treatment Legend"/>
      <sheetName val="Restated Depr"/>
      <sheetName val="DFIT Adjustment"/>
      <sheetName val="Accretion"/>
      <sheetName val="Trans Depr Group"/>
      <sheetName val="EOP Elec DFIT Depr Restatement"/>
      <sheetName val="Annualize Elec DFIT Depr "/>
      <sheetName val="EOP Gas DFIT Depr Restatement "/>
      <sheetName val="Annualized Gas DFIT Depr"/>
    </sheetNames>
    <sheetDataSet>
      <sheetData sheetId="0">
        <row r="12">
          <cell r="C12">
            <v>305571692.36999911</v>
          </cell>
          <cell r="D12">
            <v>317207735.60082692</v>
          </cell>
        </row>
        <row r="13">
          <cell r="C13">
            <v>50078232.88159997</v>
          </cell>
          <cell r="D13">
            <v>60332863.093426585</v>
          </cell>
        </row>
        <row r="15">
          <cell r="C15">
            <v>7848312.3899999997</v>
          </cell>
          <cell r="D15">
            <v>7285723.6800000062</v>
          </cell>
        </row>
        <row r="16">
          <cell r="C16">
            <v>4466525.3599999994</v>
          </cell>
          <cell r="D16">
            <v>3562844.0399999996</v>
          </cell>
        </row>
        <row r="26">
          <cell r="E26">
            <v>5718832.9555432405</v>
          </cell>
        </row>
        <row r="27">
          <cell r="E27">
            <v>2899616.1127499994</v>
          </cell>
        </row>
      </sheetData>
      <sheetData sheetId="1">
        <row r="12">
          <cell r="C12">
            <v>317207735.60082692</v>
          </cell>
          <cell r="D12">
            <v>344503496.58404869</v>
          </cell>
        </row>
        <row r="13">
          <cell r="C13">
            <v>60332863.093426585</v>
          </cell>
          <cell r="D13">
            <v>58845445.733728148</v>
          </cell>
        </row>
        <row r="15">
          <cell r="C15">
            <v>7285723.6800000062</v>
          </cell>
          <cell r="D15">
            <v>7285723.6800000062</v>
          </cell>
        </row>
        <row r="16">
          <cell r="C16">
            <v>3562844.0399999996</v>
          </cell>
          <cell r="D16">
            <v>3562844.0399999996</v>
          </cell>
        </row>
        <row r="26">
          <cell r="E26">
            <v>5419752.1609399002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2017 GRC Tax Reform"/>
      <sheetName val="Charged to IS Elec"/>
    </sheetNames>
    <sheetDataSet>
      <sheetData sheetId="0">
        <row r="14">
          <cell r="C14">
            <v>-2266166.8500000029</v>
          </cell>
        </row>
        <row r="15">
          <cell r="C15">
            <v>-25063.219999999623</v>
          </cell>
        </row>
        <row r="20">
          <cell r="C20">
            <v>-641255.50999999989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2017 GRC Settmnt Tax Ref"/>
      <sheetName val="Test Year Amort"/>
    </sheetNames>
    <sheetDataSet>
      <sheetData sheetId="0">
        <row r="16">
          <cell r="B16" t="str">
            <v>DEFERRED BALANCES FOR STORM 4 YEAR AMORTIZATION</v>
          </cell>
        </row>
        <row r="18">
          <cell r="C18">
            <v>50185.88</v>
          </cell>
        </row>
        <row r="19">
          <cell r="C19">
            <v>18185672.66</v>
          </cell>
        </row>
        <row r="20">
          <cell r="C20">
            <v>24157767.119999997</v>
          </cell>
        </row>
        <row r="21">
          <cell r="C21">
            <v>10437020.220000001</v>
          </cell>
        </row>
        <row r="22">
          <cell r="C22">
            <v>12215518.98</v>
          </cell>
        </row>
        <row r="27">
          <cell r="C27">
            <v>54368273.069999993</v>
          </cell>
        </row>
        <row r="31">
          <cell r="D31">
            <v>20744219.140000001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Monthly"/>
      <sheetName val="Rate Year Generation"/>
      <sheetName val="Montana Energy Tax"/>
      <sheetName val="17GRC Settlement  Colstrip RY"/>
    </sheetNames>
    <sheetDataSet>
      <sheetData sheetId="0">
        <row r="12">
          <cell r="E12">
            <v>3967053655.125</v>
          </cell>
        </row>
        <row r="13">
          <cell r="E13">
            <v>0.05</v>
          </cell>
        </row>
        <row r="14">
          <cell r="E14">
            <v>1.4999999999999999E-4</v>
          </cell>
        </row>
        <row r="17">
          <cell r="E17">
            <v>2.0000000000000001E-4</v>
          </cell>
        </row>
        <row r="21">
          <cell r="E21">
            <v>1525682.69</v>
          </cell>
        </row>
        <row r="24">
          <cell r="E24">
            <v>31577.485055134377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2"/>
  <sheetViews>
    <sheetView tabSelected="1" workbookViewId="0">
      <selection activeCell="C19" sqref="C19"/>
    </sheetView>
  </sheetViews>
  <sheetFormatPr defaultRowHeight="12.75" x14ac:dyDescent="0.2"/>
  <cols>
    <col min="1" max="1" width="5.85546875" style="28" customWidth="1"/>
    <col min="2" max="2" width="58.5703125" style="28" customWidth="1"/>
    <col min="3" max="3" width="25.85546875" style="28" customWidth="1"/>
    <col min="4" max="4" width="14.28515625" style="94" customWidth="1"/>
    <col min="5" max="5" width="26" bestFit="1" customWidth="1"/>
    <col min="6" max="6" width="14.28515625" customWidth="1"/>
    <col min="7" max="7" width="10.42578125" customWidth="1"/>
    <col min="8" max="8" width="12.42578125" customWidth="1"/>
    <col min="10" max="10" width="6.140625" customWidth="1"/>
    <col min="11" max="11" width="52.140625" customWidth="1"/>
    <col min="12" max="13" width="12" customWidth="1"/>
    <col min="14" max="14" width="11.140625" customWidth="1"/>
  </cols>
  <sheetData>
    <row r="1" spans="1:7" s="52" customFormat="1" ht="13.5" thickBot="1" x14ac:dyDescent="0.25">
      <c r="A1" s="49"/>
      <c r="B1" s="49"/>
      <c r="C1" s="49"/>
      <c r="D1" s="49"/>
      <c r="E1" s="94"/>
      <c r="F1" s="49"/>
      <c r="G1" s="49"/>
    </row>
    <row r="2" spans="1:7" ht="27.75" customHeight="1" thickBot="1" x14ac:dyDescent="0.25">
      <c r="A2" s="80"/>
      <c r="B2" s="82"/>
      <c r="C2" s="650" t="s">
        <v>690</v>
      </c>
      <c r="E2" s="94"/>
    </row>
    <row r="3" spans="1:7" s="94" customFormat="1" ht="15.75" customHeight="1" x14ac:dyDescent="0.2">
      <c r="A3" s="72"/>
      <c r="B3" s="49"/>
      <c r="C3" s="75"/>
    </row>
    <row r="4" spans="1:7" ht="14.25" customHeight="1" x14ac:dyDescent="0.2">
      <c r="A4" s="749" t="s">
        <v>57</v>
      </c>
      <c r="B4" s="750"/>
      <c r="C4" s="751"/>
    </row>
    <row r="5" spans="1:7" ht="14.25" customHeight="1" x14ac:dyDescent="0.2">
      <c r="A5" s="752" t="s">
        <v>93</v>
      </c>
      <c r="B5" s="753"/>
      <c r="C5" s="754"/>
    </row>
    <row r="6" spans="1:7" ht="14.25" customHeight="1" x14ac:dyDescent="0.2">
      <c r="A6" s="755" t="str">
        <f>_TestYear</f>
        <v>FOR THE TWELVE MONTHS ENDED JUNE 30, 2018</v>
      </c>
      <c r="B6" s="756"/>
      <c r="C6" s="757"/>
    </row>
    <row r="7" spans="1:7" ht="14.25" customHeight="1" x14ac:dyDescent="0.2">
      <c r="A7" s="755"/>
      <c r="B7" s="756"/>
      <c r="C7" s="757"/>
    </row>
    <row r="8" spans="1:7" ht="14.25" customHeight="1" x14ac:dyDescent="0.2">
      <c r="A8" s="74"/>
      <c r="B8" s="62"/>
      <c r="C8" s="97"/>
    </row>
    <row r="9" spans="1:7" ht="14.25" customHeight="1" x14ac:dyDescent="0.2">
      <c r="A9" s="73"/>
      <c r="B9" s="49"/>
      <c r="C9" s="75"/>
    </row>
    <row r="10" spans="1:7" ht="14.25" customHeight="1" x14ac:dyDescent="0.2">
      <c r="A10" s="76" t="s">
        <v>32</v>
      </c>
      <c r="B10" s="49"/>
      <c r="C10" s="87"/>
    </row>
    <row r="11" spans="1:7" ht="14.25" customHeight="1" x14ac:dyDescent="0.2">
      <c r="A11" s="77" t="s">
        <v>34</v>
      </c>
      <c r="B11" s="86" t="s">
        <v>35</v>
      </c>
      <c r="C11" s="88" t="s">
        <v>83</v>
      </c>
    </row>
    <row r="12" spans="1:7" ht="14.25" customHeight="1" x14ac:dyDescent="0.2">
      <c r="A12" s="73"/>
      <c r="B12" s="49"/>
      <c r="C12" s="75"/>
    </row>
    <row r="13" spans="1:7" ht="14.25" customHeight="1" x14ac:dyDescent="0.2">
      <c r="A13" s="78">
        <v>1</v>
      </c>
      <c r="B13" s="49" t="s">
        <v>48</v>
      </c>
      <c r="C13" s="90">
        <f>'ERF Main Summary'!K57</f>
        <v>5101822355.5890903</v>
      </c>
    </row>
    <row r="14" spans="1:7" ht="14.25" customHeight="1" x14ac:dyDescent="0.2">
      <c r="A14" s="78">
        <v>2</v>
      </c>
      <c r="B14" s="44" t="s">
        <v>29</v>
      </c>
      <c r="C14" s="102">
        <f>'ERF ROR'!E17</f>
        <v>7.4899999999999994E-2</v>
      </c>
    </row>
    <row r="15" spans="1:7" ht="14.25" customHeight="1" x14ac:dyDescent="0.2">
      <c r="A15" s="78">
        <v>3</v>
      </c>
      <c r="B15" s="44"/>
      <c r="C15" s="75"/>
    </row>
    <row r="16" spans="1:7" ht="14.25" customHeight="1" x14ac:dyDescent="0.2">
      <c r="A16" s="78">
        <v>4</v>
      </c>
      <c r="B16" s="49" t="s">
        <v>65</v>
      </c>
      <c r="C16" s="91">
        <f>C13*C14</f>
        <v>382126494.43362284</v>
      </c>
    </row>
    <row r="17" spans="1:9" ht="14.25" customHeight="1" x14ac:dyDescent="0.2">
      <c r="A17" s="78">
        <v>5</v>
      </c>
      <c r="B17" s="49"/>
      <c r="C17" s="92"/>
    </row>
    <row r="18" spans="1:9" ht="14.25" customHeight="1" x14ac:dyDescent="0.2">
      <c r="A18" s="78">
        <v>6</v>
      </c>
      <c r="B18" s="44" t="s">
        <v>92</v>
      </c>
      <c r="C18" s="93">
        <f>'ERF Main Summary'!K44</f>
        <v>367953661.77969241</v>
      </c>
    </row>
    <row r="19" spans="1:9" ht="14.25" customHeight="1" x14ac:dyDescent="0.2">
      <c r="A19" s="78">
        <v>7</v>
      </c>
      <c r="B19" s="44" t="s">
        <v>66</v>
      </c>
      <c r="C19" s="91">
        <f>+C16-C18</f>
        <v>14172832.653930426</v>
      </c>
    </row>
    <row r="20" spans="1:9" ht="14.25" customHeight="1" x14ac:dyDescent="0.2">
      <c r="A20" s="78">
        <v>8</v>
      </c>
      <c r="B20" s="49"/>
      <c r="C20" s="92"/>
    </row>
    <row r="21" spans="1:9" ht="14.25" customHeight="1" x14ac:dyDescent="0.2">
      <c r="A21" s="78">
        <v>9</v>
      </c>
      <c r="B21" s="49" t="s">
        <v>31</v>
      </c>
      <c r="C21" s="292">
        <f>+'E ERF Conv Factr'!E21</f>
        <v>0.75173000000000001</v>
      </c>
    </row>
    <row r="22" spans="1:9" ht="14.25" customHeight="1" x14ac:dyDescent="0.2">
      <c r="A22" s="78">
        <v>10</v>
      </c>
      <c r="B22" s="49" t="s">
        <v>691</v>
      </c>
      <c r="C22" s="91">
        <f>ROUND(+C19/C21,0)</f>
        <v>18853621</v>
      </c>
    </row>
    <row r="23" spans="1:9" x14ac:dyDescent="0.2">
      <c r="A23" s="78">
        <v>11</v>
      </c>
      <c r="B23" s="44" t="s">
        <v>6</v>
      </c>
      <c r="C23" s="91">
        <f>'[1](JAP4) Rate Spread'!$M$32</f>
        <v>3069.0069235267192</v>
      </c>
    </row>
    <row r="24" spans="1:9" s="94" customFormat="1" x14ac:dyDescent="0.2">
      <c r="A24" s="78">
        <v>12</v>
      </c>
      <c r="B24" s="608"/>
      <c r="C24" s="730"/>
      <c r="E24"/>
      <c r="F24"/>
      <c r="G24"/>
    </row>
    <row r="25" spans="1:9" ht="13.5" thickBot="1" x14ac:dyDescent="0.25">
      <c r="A25" s="78">
        <v>13</v>
      </c>
      <c r="B25" s="49" t="s">
        <v>692</v>
      </c>
      <c r="C25" s="725">
        <f>+C22-C24-C23</f>
        <v>18850551.993076473</v>
      </c>
      <c r="D25" s="79"/>
      <c r="G25" s="79"/>
      <c r="H25" s="79"/>
      <c r="I25" s="79"/>
    </row>
    <row r="26" spans="1:9" ht="13.5" thickTop="1" x14ac:dyDescent="0.2">
      <c r="A26" s="78"/>
      <c r="B26" s="49"/>
      <c r="C26" s="731"/>
      <c r="D26" s="79"/>
      <c r="G26" s="79"/>
      <c r="H26" s="79"/>
      <c r="I26" s="79"/>
    </row>
    <row r="27" spans="1:9" ht="14.25" thickBot="1" x14ac:dyDescent="0.3">
      <c r="A27" s="81"/>
      <c r="B27" s="732"/>
      <c r="C27" s="733"/>
      <c r="D27" s="79"/>
      <c r="E27" s="79"/>
      <c r="F27" s="79"/>
      <c r="G27" s="79"/>
      <c r="H27" s="79"/>
      <c r="I27" s="79"/>
    </row>
    <row r="28" spans="1:9" x14ac:dyDescent="0.2">
      <c r="A28" s="37"/>
      <c r="B28" s="44"/>
      <c r="C28" s="642"/>
    </row>
    <row r="29" spans="1:9" x14ac:dyDescent="0.2">
      <c r="A29" s="37"/>
      <c r="B29" s="44"/>
      <c r="C29" s="85"/>
    </row>
    <row r="30" spans="1:9" x14ac:dyDescent="0.2">
      <c r="A30" s="37"/>
      <c r="B30" s="49"/>
      <c r="C30" s="49"/>
    </row>
    <row r="31" spans="1:9" x14ac:dyDescent="0.2">
      <c r="A31" s="37"/>
      <c r="B31" s="49"/>
      <c r="C31" s="49"/>
    </row>
    <row r="32" spans="1:9" x14ac:dyDescent="0.2">
      <c r="A32" s="37"/>
    </row>
  </sheetData>
  <mergeCells count="4">
    <mergeCell ref="A4:C4"/>
    <mergeCell ref="A5:C5"/>
    <mergeCell ref="A6:C6"/>
    <mergeCell ref="A7:C7"/>
  </mergeCells>
  <conditionalFormatting sqref="F1:G1 A1:C1">
    <cfRule type="cellIs" dxfId="33" priority="4" stopIfTrue="1" operator="notEqual">
      <formula>0</formula>
    </cfRule>
  </conditionalFormatting>
  <conditionalFormatting sqref="D1">
    <cfRule type="cellIs" dxfId="32" priority="1" stopIfTrue="1" operator="notEqual">
      <formula>0</formula>
    </cfRule>
  </conditionalFormatting>
  <printOptions horizontalCentered="1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W85"/>
  <sheetViews>
    <sheetView zoomScale="88" zoomScaleNormal="88" workbookViewId="0">
      <pane xSplit="4" ySplit="8" topLeftCell="E37" activePane="bottomRight" state="frozen"/>
      <selection activeCell="E44" sqref="E44"/>
      <selection pane="topRight" activeCell="E44" sqref="E44"/>
      <selection pane="bottomLeft" activeCell="E44" sqref="E44"/>
      <selection pane="bottomRight" sqref="A1:I56"/>
    </sheetView>
  </sheetViews>
  <sheetFormatPr defaultColWidth="10.7109375" defaultRowHeight="12.75" x14ac:dyDescent="0.2"/>
  <cols>
    <col min="1" max="1" width="6" style="50" customWidth="1"/>
    <col min="2" max="2" width="52.7109375" style="226" customWidth="1"/>
    <col min="3" max="3" width="0.7109375" style="226" customWidth="1"/>
    <col min="4" max="5" width="20" style="226" customWidth="1"/>
    <col min="6" max="6" width="22.7109375" style="226" customWidth="1"/>
    <col min="7" max="7" width="20" style="226" customWidth="1"/>
    <col min="8" max="8" width="20" style="606" customWidth="1"/>
    <col min="9" max="9" width="21" style="226" customWidth="1"/>
    <col min="10" max="10" width="2.85546875" style="226" customWidth="1"/>
    <col min="11" max="11" width="10.7109375" style="67"/>
    <col min="12" max="12" width="15.42578125" style="67" bestFit="1" customWidth="1"/>
    <col min="13" max="16384" width="10.7109375" style="226"/>
  </cols>
  <sheetData>
    <row r="1" spans="1:23" ht="20.25" customHeight="1" thickBot="1" x14ac:dyDescent="0.25">
      <c r="A1" s="51"/>
      <c r="B1" s="219"/>
      <c r="C1" s="219"/>
      <c r="D1" s="219"/>
      <c r="E1" s="219"/>
      <c r="F1" s="219"/>
      <c r="G1" s="219"/>
      <c r="H1" s="219"/>
      <c r="I1" s="294" t="s">
        <v>683</v>
      </c>
    </row>
    <row r="2" spans="1:23" ht="15" customHeight="1" x14ac:dyDescent="0.2">
      <c r="A2" s="184" t="s">
        <v>57</v>
      </c>
      <c r="B2" s="295"/>
      <c r="C2" s="295"/>
      <c r="D2" s="295"/>
      <c r="E2" s="295"/>
      <c r="F2" s="295"/>
      <c r="G2" s="295"/>
      <c r="H2" s="295"/>
      <c r="I2" s="295"/>
    </row>
    <row r="3" spans="1:23" s="296" customFormat="1" ht="15" customHeight="1" x14ac:dyDescent="0.2">
      <c r="A3" s="252" t="s">
        <v>682</v>
      </c>
      <c r="B3" s="219"/>
      <c r="C3" s="219"/>
      <c r="D3" s="219"/>
      <c r="E3" s="219"/>
      <c r="F3" s="219"/>
      <c r="G3" s="219"/>
      <c r="H3" s="219"/>
      <c r="I3" s="295"/>
      <c r="K3" s="297"/>
      <c r="L3" s="297"/>
    </row>
    <row r="4" spans="1:23" ht="15" customHeight="1" x14ac:dyDescent="0.25">
      <c r="A4" s="718" t="s">
        <v>378</v>
      </c>
      <c r="B4" s="719"/>
      <c r="C4" s="720"/>
      <c r="D4" s="721"/>
      <c r="E4" s="721"/>
      <c r="F4" s="721"/>
      <c r="G4" s="721"/>
      <c r="H4" s="721"/>
      <c r="I4" s="720"/>
    </row>
    <row r="5" spans="1:23" s="61" customFormat="1" ht="15" customHeight="1" x14ac:dyDescent="0.25">
      <c r="J5" s="128"/>
      <c r="K5" s="67"/>
      <c r="L5" s="67"/>
    </row>
    <row r="6" spans="1:23" ht="15" customHeight="1" x14ac:dyDescent="0.2">
      <c r="A6" s="53"/>
      <c r="B6" s="51"/>
      <c r="C6" s="51"/>
      <c r="D6" s="574" t="s">
        <v>406</v>
      </c>
      <c r="E6" s="599" t="s">
        <v>48</v>
      </c>
      <c r="F6" s="599" t="s">
        <v>59</v>
      </c>
      <c r="G6" s="599" t="s">
        <v>445</v>
      </c>
      <c r="H6" s="717" t="s">
        <v>39</v>
      </c>
      <c r="I6" s="574" t="s">
        <v>403</v>
      </c>
      <c r="J6" s="51"/>
    </row>
    <row r="7" spans="1:23" ht="15" customHeight="1" x14ac:dyDescent="0.2">
      <c r="A7" s="45" t="s">
        <v>32</v>
      </c>
      <c r="B7" s="51"/>
      <c r="C7" s="51"/>
      <c r="D7" s="574" t="s">
        <v>42</v>
      </c>
      <c r="E7" s="599" t="s">
        <v>440</v>
      </c>
      <c r="F7" s="599" t="s">
        <v>441</v>
      </c>
      <c r="G7" s="599" t="s">
        <v>446</v>
      </c>
      <c r="H7" s="717" t="s">
        <v>51</v>
      </c>
      <c r="I7" s="574" t="s">
        <v>42</v>
      </c>
      <c r="J7" s="574"/>
    </row>
    <row r="8" spans="1:23" ht="15" customHeight="1" x14ac:dyDescent="0.2">
      <c r="A8" s="45" t="s">
        <v>34</v>
      </c>
      <c r="B8" s="51"/>
      <c r="C8" s="51"/>
      <c r="D8" s="574" t="s">
        <v>43</v>
      </c>
      <c r="E8" s="66" t="s">
        <v>666</v>
      </c>
      <c r="F8" s="66" t="s">
        <v>664</v>
      </c>
      <c r="G8" s="66" t="s">
        <v>665</v>
      </c>
      <c r="H8" s="66"/>
      <c r="I8" s="573" t="s">
        <v>43</v>
      </c>
      <c r="J8" s="574"/>
    </row>
    <row r="9" spans="1:23" ht="15" customHeight="1" x14ac:dyDescent="0.2">
      <c r="A9" s="46" t="s">
        <v>95</v>
      </c>
      <c r="B9" s="32"/>
      <c r="C9" s="32"/>
      <c r="D9" s="69"/>
      <c r="E9" s="32"/>
      <c r="F9" s="32"/>
      <c r="G9" s="32"/>
      <c r="H9" s="32"/>
      <c r="I9" s="32"/>
      <c r="J9" s="32" t="s">
        <v>30</v>
      </c>
    </row>
    <row r="10" spans="1:23" ht="15" customHeight="1" x14ac:dyDescent="0.2">
      <c r="A10" s="29">
        <v>1</v>
      </c>
      <c r="B10" s="145" t="s">
        <v>47</v>
      </c>
      <c r="C10" s="145"/>
      <c r="D10" s="39"/>
      <c r="E10" s="48"/>
      <c r="F10" s="48"/>
      <c r="G10" s="48"/>
      <c r="H10" s="48"/>
      <c r="I10" s="48"/>
      <c r="K10" s="120"/>
      <c r="L10" s="120"/>
    </row>
    <row r="11" spans="1:23" ht="15" customHeight="1" x14ac:dyDescent="0.2">
      <c r="A11" s="29">
        <f t="shared" ref="A11:A56" si="0">A10+1</f>
        <v>2</v>
      </c>
      <c r="B11" s="145" t="s">
        <v>5</v>
      </c>
      <c r="C11" s="145"/>
      <c r="D11" s="41">
        <f>'ERF Main Summary'!E12</f>
        <v>2058080273.92558</v>
      </c>
      <c r="E11" s="41"/>
      <c r="F11" s="41"/>
      <c r="G11" s="41"/>
      <c r="H11" s="41">
        <f>SUM(E11:G11)</f>
        <v>0</v>
      </c>
      <c r="I11" s="41">
        <f>H11+D11</f>
        <v>2058080273.92558</v>
      </c>
      <c r="K11" s="120"/>
      <c r="L11" s="120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</row>
    <row r="12" spans="1:23" ht="15" customHeight="1" x14ac:dyDescent="0.2">
      <c r="A12" s="29">
        <f t="shared" si="0"/>
        <v>3</v>
      </c>
      <c r="B12" s="145" t="s">
        <v>94</v>
      </c>
      <c r="C12" s="145"/>
      <c r="D12" s="40">
        <f>'ERF Main Summary'!E13</f>
        <v>343685.04</v>
      </c>
      <c r="E12" s="40"/>
      <c r="F12" s="40"/>
      <c r="G12" s="40"/>
      <c r="H12" s="40">
        <f>SUM(E12:G12)</f>
        <v>0</v>
      </c>
      <c r="I12" s="40">
        <f>H12+D12</f>
        <v>343685.04</v>
      </c>
      <c r="K12" s="120"/>
      <c r="L12" s="120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</row>
    <row r="13" spans="1:23" ht="15" customHeight="1" x14ac:dyDescent="0.2">
      <c r="A13" s="29">
        <f t="shared" si="0"/>
        <v>4</v>
      </c>
      <c r="B13" s="145" t="s">
        <v>7</v>
      </c>
      <c r="C13" s="145"/>
      <c r="D13" s="40">
        <f>'ERF Main Summary'!E14</f>
        <v>116721927.84999999</v>
      </c>
      <c r="E13" s="40"/>
      <c r="F13" s="40"/>
      <c r="G13" s="40"/>
      <c r="H13" s="40">
        <f>SUM(E13:G13)</f>
        <v>0</v>
      </c>
      <c r="I13" s="40">
        <f>H13+D13</f>
        <v>116721927.84999999</v>
      </c>
      <c r="J13" s="40"/>
      <c r="K13" s="120"/>
      <c r="L13" s="120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</row>
    <row r="14" spans="1:23" ht="15" customHeight="1" x14ac:dyDescent="0.2">
      <c r="A14" s="29">
        <f t="shared" si="0"/>
        <v>5</v>
      </c>
      <c r="B14" s="145" t="s">
        <v>8</v>
      </c>
      <c r="C14" s="145"/>
      <c r="D14" s="40">
        <f>'ERF Main Summary'!E15</f>
        <v>42243827.679999903</v>
      </c>
      <c r="E14" s="47"/>
      <c r="F14" s="47"/>
      <c r="G14" s="47"/>
      <c r="H14" s="609">
        <f>SUM(E14:G14)</f>
        <v>0</v>
      </c>
      <c r="I14" s="40">
        <f>H14+D14</f>
        <v>42243827.679999903</v>
      </c>
      <c r="J14" s="40"/>
      <c r="K14" s="120"/>
      <c r="L14" s="120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</row>
    <row r="15" spans="1:23" ht="15" customHeight="1" x14ac:dyDescent="0.2">
      <c r="A15" s="29">
        <f t="shared" si="0"/>
        <v>6</v>
      </c>
      <c r="B15" s="145" t="s">
        <v>9</v>
      </c>
      <c r="C15" s="145"/>
      <c r="D15" s="577">
        <f t="shared" ref="D15:H15" si="1">SUM(D11:D14)</f>
        <v>2217389714.4955797</v>
      </c>
      <c r="E15" s="577">
        <f>SUM(E11:E14)</f>
        <v>0</v>
      </c>
      <c r="F15" s="577">
        <f t="shared" si="1"/>
        <v>0</v>
      </c>
      <c r="G15" s="577">
        <f t="shared" si="1"/>
        <v>0</v>
      </c>
      <c r="H15" s="577">
        <f t="shared" si="1"/>
        <v>0</v>
      </c>
      <c r="I15" s="577">
        <f>H15+D15</f>
        <v>2217389714.4955797</v>
      </c>
      <c r="J15" s="47"/>
      <c r="K15" s="120"/>
      <c r="L15" s="120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</row>
    <row r="16" spans="1:23" ht="15" customHeight="1" x14ac:dyDescent="0.2">
      <c r="A16" s="29">
        <f t="shared" si="0"/>
        <v>7</v>
      </c>
      <c r="D16" s="40"/>
      <c r="E16" s="39" t="s">
        <v>30</v>
      </c>
      <c r="F16" s="39" t="s">
        <v>30</v>
      </c>
      <c r="G16" s="39"/>
      <c r="H16" s="39"/>
      <c r="I16" s="39"/>
      <c r="J16" s="47"/>
      <c r="K16" s="120"/>
      <c r="L16" s="120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</row>
    <row r="17" spans="1:23" ht="15" customHeight="1" x14ac:dyDescent="0.2">
      <c r="A17" s="29">
        <f t="shared" si="0"/>
        <v>8</v>
      </c>
      <c r="B17" s="145" t="s">
        <v>10</v>
      </c>
      <c r="C17" s="145"/>
      <c r="D17" s="40"/>
      <c r="E17" s="39"/>
      <c r="F17" s="39"/>
      <c r="G17" s="39"/>
      <c r="H17" s="39"/>
      <c r="I17" s="39"/>
      <c r="J17" s="39"/>
      <c r="K17" s="120"/>
      <c r="L17" s="120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</row>
    <row r="18" spans="1:23" ht="15" customHeight="1" x14ac:dyDescent="0.2">
      <c r="A18" s="29">
        <f t="shared" si="0"/>
        <v>9</v>
      </c>
      <c r="D18" s="113"/>
      <c r="J18" s="39"/>
      <c r="K18" s="120"/>
      <c r="L18" s="120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</row>
    <row r="19" spans="1:23" ht="15" customHeight="1" x14ac:dyDescent="0.2">
      <c r="A19" s="29">
        <f t="shared" si="0"/>
        <v>10</v>
      </c>
      <c r="B19" s="145" t="s">
        <v>11</v>
      </c>
      <c r="C19" s="145"/>
      <c r="D19" s="40"/>
      <c r="E19" s="39"/>
      <c r="F19" s="39"/>
      <c r="G19" s="39"/>
      <c r="H19" s="39"/>
      <c r="I19" s="39"/>
      <c r="K19" s="120"/>
      <c r="L19" s="120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" customHeight="1" x14ac:dyDescent="0.2">
      <c r="A20" s="29">
        <f t="shared" si="0"/>
        <v>11</v>
      </c>
      <c r="B20" s="145" t="s">
        <v>12</v>
      </c>
      <c r="C20" s="145"/>
      <c r="D20" s="40">
        <f>'ERF Main Summary'!E21</f>
        <v>191271195.98000002</v>
      </c>
      <c r="E20" s="40"/>
      <c r="F20" s="40"/>
      <c r="G20" s="40"/>
      <c r="H20" s="40">
        <f>SUM(E20:G20)</f>
        <v>0</v>
      </c>
      <c r="I20" s="40">
        <f>H20+D20</f>
        <v>191271195.98000002</v>
      </c>
      <c r="J20" s="39"/>
      <c r="K20" s="120"/>
      <c r="L20" s="120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</row>
    <row r="21" spans="1:23" ht="15" customHeight="1" x14ac:dyDescent="0.2">
      <c r="A21" s="29">
        <f t="shared" si="0"/>
        <v>12</v>
      </c>
      <c r="B21" s="145" t="s">
        <v>13</v>
      </c>
      <c r="C21" s="145"/>
      <c r="D21" s="40">
        <f>'ERF Main Summary'!E22</f>
        <v>500810764.6216436</v>
      </c>
      <c r="E21" s="40"/>
      <c r="F21" s="40"/>
      <c r="G21" s="40"/>
      <c r="H21" s="40">
        <f>SUM(E21:G21)</f>
        <v>0</v>
      </c>
      <c r="I21" s="40">
        <f>H21+D21</f>
        <v>500810764.6216436</v>
      </c>
      <c r="J21" s="41"/>
      <c r="K21" s="120"/>
      <c r="L21" s="120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</row>
    <row r="22" spans="1:23" ht="15" customHeight="1" x14ac:dyDescent="0.2">
      <c r="A22" s="29">
        <f t="shared" si="0"/>
        <v>13</v>
      </c>
      <c r="B22" s="145" t="s">
        <v>14</v>
      </c>
      <c r="C22" s="145"/>
      <c r="D22" s="40">
        <f>'ERF Main Summary'!E23</f>
        <v>116538099.3</v>
      </c>
      <c r="E22" s="40"/>
      <c r="F22" s="40"/>
      <c r="G22" s="40"/>
      <c r="H22" s="40">
        <f>SUM(E22:G22)</f>
        <v>0</v>
      </c>
      <c r="I22" s="40">
        <f>H22+D22</f>
        <v>116538099.3</v>
      </c>
      <c r="J22" s="40"/>
      <c r="K22" s="120"/>
      <c r="L22" s="120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</row>
    <row r="23" spans="1:23" ht="15" customHeight="1" x14ac:dyDescent="0.2">
      <c r="A23" s="29">
        <f t="shared" si="0"/>
        <v>14</v>
      </c>
      <c r="B23" s="226" t="s">
        <v>50</v>
      </c>
      <c r="D23" s="330">
        <f>'ERF Main Summary'!E24</f>
        <v>0</v>
      </c>
      <c r="E23" s="330"/>
      <c r="F23" s="330"/>
      <c r="G23" s="330"/>
      <c r="H23" s="330">
        <f>SUM(E23:G23)</f>
        <v>0</v>
      </c>
      <c r="I23" s="40">
        <f>H23+D23</f>
        <v>0</v>
      </c>
      <c r="J23" s="40"/>
      <c r="K23" s="120"/>
      <c r="L23" s="120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</row>
    <row r="24" spans="1:23" ht="15" customHeight="1" x14ac:dyDescent="0.2">
      <c r="A24" s="29">
        <f t="shared" si="0"/>
        <v>15</v>
      </c>
      <c r="B24" s="145" t="s">
        <v>16</v>
      </c>
      <c r="C24" s="145"/>
      <c r="D24" s="577">
        <f t="shared" ref="D24:H24" si="2">SUM(D20:D23)</f>
        <v>808620059.90164351</v>
      </c>
      <c r="E24" s="577">
        <f>SUM(E20:E23)</f>
        <v>0</v>
      </c>
      <c r="F24" s="577">
        <f t="shared" si="2"/>
        <v>0</v>
      </c>
      <c r="G24" s="577">
        <f t="shared" si="2"/>
        <v>0</v>
      </c>
      <c r="H24" s="577">
        <f t="shared" si="2"/>
        <v>0</v>
      </c>
      <c r="I24" s="577">
        <f>H24+D24</f>
        <v>808620059.90164351</v>
      </c>
      <c r="J24" s="47"/>
      <c r="K24" s="120"/>
      <c r="L24" s="120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</row>
    <row r="25" spans="1:23" ht="15" customHeight="1" x14ac:dyDescent="0.2">
      <c r="A25" s="29">
        <f t="shared" si="0"/>
        <v>16</v>
      </c>
      <c r="B25" s="145"/>
      <c r="C25" s="145"/>
      <c r="D25" s="48"/>
      <c r="E25" s="48"/>
      <c r="F25" s="48"/>
      <c r="G25" s="48"/>
      <c r="H25" s="48"/>
      <c r="I25" s="48"/>
      <c r="J25" s="47"/>
      <c r="K25" s="120"/>
      <c r="L25" s="120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</row>
    <row r="26" spans="1:23" ht="15" customHeight="1" x14ac:dyDescent="0.2">
      <c r="A26" s="29">
        <f t="shared" si="0"/>
        <v>17</v>
      </c>
      <c r="B26" s="38" t="s">
        <v>1</v>
      </c>
      <c r="C26" s="38"/>
      <c r="D26" s="40">
        <f>'ERF Main Summary'!E27</f>
        <v>125117978.73905325</v>
      </c>
      <c r="E26" s="40"/>
      <c r="F26" s="40"/>
      <c r="G26" s="40"/>
      <c r="H26" s="40">
        <f t="shared" ref="H26:H40" si="3">SUM(E26:G26)</f>
        <v>0</v>
      </c>
      <c r="I26" s="40">
        <f t="shared" ref="I26:I40" si="4">H26+D26</f>
        <v>125117978.73905325</v>
      </c>
      <c r="J26" s="48"/>
      <c r="K26" s="120"/>
      <c r="L26" s="120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</row>
    <row r="27" spans="1:23" ht="15" customHeight="1" x14ac:dyDescent="0.2">
      <c r="A27" s="29">
        <f t="shared" si="0"/>
        <v>18</v>
      </c>
      <c r="B27" s="145" t="s">
        <v>17</v>
      </c>
      <c r="C27" s="145"/>
      <c r="D27" s="40">
        <f>'ERF Main Summary'!E28</f>
        <v>21921149.316666648</v>
      </c>
      <c r="E27" s="40"/>
      <c r="F27" s="40"/>
      <c r="G27" s="40"/>
      <c r="H27" s="40">
        <f t="shared" si="3"/>
        <v>0</v>
      </c>
      <c r="I27" s="40">
        <f t="shared" si="4"/>
        <v>21921149.316666648</v>
      </c>
      <c r="J27" s="41"/>
      <c r="K27" s="120"/>
      <c r="L27" s="120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</row>
    <row r="28" spans="1:23" ht="15" customHeight="1" x14ac:dyDescent="0.2">
      <c r="A28" s="29">
        <f t="shared" si="0"/>
        <v>19</v>
      </c>
      <c r="B28" s="145" t="s">
        <v>18</v>
      </c>
      <c r="C28" s="145"/>
      <c r="D28" s="40">
        <f>'ERF Main Summary'!E29</f>
        <v>82514379.038333014</v>
      </c>
      <c r="E28" s="40"/>
      <c r="F28" s="40"/>
      <c r="G28" s="40"/>
      <c r="H28" s="40">
        <f t="shared" si="3"/>
        <v>0</v>
      </c>
      <c r="I28" s="40">
        <f t="shared" si="4"/>
        <v>82514379.038333014</v>
      </c>
      <c r="J28" s="40"/>
      <c r="K28" s="120"/>
      <c r="L28" s="120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</row>
    <row r="29" spans="1:23" ht="15" customHeight="1" x14ac:dyDescent="0.2">
      <c r="A29" s="29">
        <f t="shared" si="0"/>
        <v>20</v>
      </c>
      <c r="B29" s="145" t="s">
        <v>19</v>
      </c>
      <c r="C29" s="145"/>
      <c r="D29" s="40">
        <f>'ERF Main Summary'!E30</f>
        <v>51521852.324004024</v>
      </c>
      <c r="E29" s="40"/>
      <c r="F29" s="122"/>
      <c r="G29" s="40"/>
      <c r="H29" s="40">
        <f t="shared" si="3"/>
        <v>0</v>
      </c>
      <c r="I29" s="40">
        <f t="shared" si="4"/>
        <v>51521852.324004024</v>
      </c>
      <c r="J29" s="40"/>
      <c r="K29" s="120"/>
      <c r="L29" s="120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5" customHeight="1" x14ac:dyDescent="0.2">
      <c r="A30" s="29">
        <f t="shared" si="0"/>
        <v>21</v>
      </c>
      <c r="B30" s="145" t="s">
        <v>20</v>
      </c>
      <c r="C30" s="145"/>
      <c r="D30" s="40">
        <f>'ERF Main Summary'!E31</f>
        <v>3349960.6599999927</v>
      </c>
      <c r="E30" s="40"/>
      <c r="F30" s="122"/>
      <c r="G30" s="40"/>
      <c r="H30" s="40">
        <f t="shared" si="3"/>
        <v>0</v>
      </c>
      <c r="I30" s="40">
        <f t="shared" si="4"/>
        <v>3349960.6599999927</v>
      </c>
      <c r="J30" s="40"/>
      <c r="K30" s="120"/>
      <c r="L30" s="120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</row>
    <row r="31" spans="1:23" ht="15" customHeight="1" x14ac:dyDescent="0.2">
      <c r="A31" s="29">
        <f t="shared" si="0"/>
        <v>22</v>
      </c>
      <c r="B31" s="145" t="s">
        <v>21</v>
      </c>
      <c r="C31" s="145"/>
      <c r="D31" s="40">
        <f>'ERF Main Summary'!E32</f>
        <v>0</v>
      </c>
      <c r="E31" s="40"/>
      <c r="F31" s="122"/>
      <c r="G31" s="40"/>
      <c r="H31" s="40">
        <f t="shared" si="3"/>
        <v>0</v>
      </c>
      <c r="I31" s="40">
        <f t="shared" si="4"/>
        <v>0</v>
      </c>
      <c r="J31" s="40"/>
      <c r="K31" s="120"/>
      <c r="L31" s="120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</row>
    <row r="32" spans="1:23" ht="15" customHeight="1" x14ac:dyDescent="0.2">
      <c r="A32" s="29">
        <f t="shared" si="0"/>
        <v>23</v>
      </c>
      <c r="B32" s="145" t="s">
        <v>22</v>
      </c>
      <c r="C32" s="145"/>
      <c r="D32" s="40">
        <f>'ERF Main Summary'!E33</f>
        <v>123740986.26887748</v>
      </c>
      <c r="E32" s="40"/>
      <c r="F32" s="122"/>
      <c r="G32" s="40"/>
      <c r="H32" s="40">
        <f t="shared" si="3"/>
        <v>0</v>
      </c>
      <c r="I32" s="40">
        <f t="shared" si="4"/>
        <v>123740986.26887748</v>
      </c>
      <c r="J32" s="40"/>
      <c r="K32" s="120"/>
      <c r="L32" s="120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</row>
    <row r="33" spans="1:23" ht="15" customHeight="1" x14ac:dyDescent="0.2">
      <c r="A33" s="29">
        <f t="shared" si="0"/>
        <v>24</v>
      </c>
      <c r="B33" s="145" t="s">
        <v>59</v>
      </c>
      <c r="C33" s="145"/>
      <c r="D33" s="40">
        <f>'ERF Main Summary'!E34</f>
        <v>315986752.34999996</v>
      </c>
      <c r="E33" s="40"/>
      <c r="F33" s="122">
        <f>'EOP Adj Pages'!K20</f>
        <v>20424403.41265443</v>
      </c>
      <c r="G33" s="40"/>
      <c r="H33" s="40">
        <f t="shared" si="3"/>
        <v>20424403.41265443</v>
      </c>
      <c r="I33" s="40">
        <f t="shared" si="4"/>
        <v>336411155.76265442</v>
      </c>
      <c r="J33" s="40"/>
      <c r="K33" s="120"/>
      <c r="L33" s="120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</row>
    <row r="34" spans="1:23" ht="15" customHeight="1" x14ac:dyDescent="0.2">
      <c r="A34" s="29">
        <f t="shared" si="0"/>
        <v>25</v>
      </c>
      <c r="B34" s="145" t="s">
        <v>41</v>
      </c>
      <c r="C34" s="145"/>
      <c r="D34" s="40">
        <f>'ERF Main Summary'!E35</f>
        <v>63634800.319999993</v>
      </c>
      <c r="E34" s="40"/>
      <c r="F34" s="122"/>
      <c r="G34" s="40"/>
      <c r="H34" s="40">
        <f t="shared" si="3"/>
        <v>0</v>
      </c>
      <c r="I34" s="40">
        <f t="shared" si="4"/>
        <v>63634800.319999993</v>
      </c>
      <c r="J34" s="40"/>
      <c r="K34" s="120"/>
      <c r="L34" s="120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</row>
    <row r="35" spans="1:23" ht="15" customHeight="1" x14ac:dyDescent="0.2">
      <c r="A35" s="29">
        <f t="shared" si="0"/>
        <v>26</v>
      </c>
      <c r="B35" s="38" t="s">
        <v>58</v>
      </c>
      <c r="C35" s="38"/>
      <c r="D35" s="40">
        <f>'ERF Main Summary'!E36</f>
        <v>28310947.7099999</v>
      </c>
      <c r="E35" s="40"/>
      <c r="F35" s="122"/>
      <c r="G35" s="40"/>
      <c r="H35" s="40">
        <f t="shared" si="3"/>
        <v>0</v>
      </c>
      <c r="I35" s="40">
        <f t="shared" si="4"/>
        <v>28310947.7099999</v>
      </c>
      <c r="J35" s="40"/>
      <c r="K35" s="120"/>
      <c r="L35" s="120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</row>
    <row r="36" spans="1:23" ht="15" customHeight="1" x14ac:dyDescent="0.2">
      <c r="A36" s="29">
        <f t="shared" si="0"/>
        <v>27</v>
      </c>
      <c r="B36" s="145" t="s">
        <v>23</v>
      </c>
      <c r="C36" s="145"/>
      <c r="D36" s="40">
        <f>'ERF Main Summary'!E37</f>
        <v>7957413.6899999827</v>
      </c>
      <c r="E36" s="40"/>
      <c r="F36" s="122"/>
      <c r="G36" s="40"/>
      <c r="H36" s="40">
        <f t="shared" si="3"/>
        <v>0</v>
      </c>
      <c r="I36" s="40">
        <f t="shared" si="4"/>
        <v>7957413.6899999827</v>
      </c>
      <c r="J36" s="40"/>
      <c r="K36" s="120"/>
      <c r="L36" s="120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</row>
    <row r="37" spans="1:23" ht="15" customHeight="1" x14ac:dyDescent="0.2">
      <c r="A37" s="29">
        <f t="shared" si="0"/>
        <v>28</v>
      </c>
      <c r="B37" s="226" t="s">
        <v>82</v>
      </c>
      <c r="D37" s="40">
        <f>'ERF Main Summary'!E38</f>
        <v>0</v>
      </c>
      <c r="F37" s="205"/>
      <c r="H37" s="606">
        <f t="shared" si="3"/>
        <v>0</v>
      </c>
      <c r="I37" s="40">
        <f t="shared" si="4"/>
        <v>0</v>
      </c>
      <c r="J37" s="40"/>
      <c r="K37" s="120"/>
      <c r="L37" s="120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</row>
    <row r="38" spans="1:23" ht="15" customHeight="1" x14ac:dyDescent="0.2">
      <c r="A38" s="29">
        <f t="shared" si="0"/>
        <v>29</v>
      </c>
      <c r="B38" s="145" t="s">
        <v>68</v>
      </c>
      <c r="C38" s="145"/>
      <c r="D38" s="40">
        <f>'ERF Main Summary'!E39</f>
        <v>92253971.262132972</v>
      </c>
      <c r="E38" s="40"/>
      <c r="F38" s="122"/>
      <c r="G38" s="40"/>
      <c r="H38" s="40">
        <f t="shared" si="3"/>
        <v>0</v>
      </c>
      <c r="I38" s="40">
        <f t="shared" si="4"/>
        <v>92253971.262132972</v>
      </c>
      <c r="J38" s="40"/>
      <c r="K38" s="120"/>
      <c r="L38" s="120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</row>
    <row r="39" spans="1:23" ht="15" customHeight="1" x14ac:dyDescent="0.2">
      <c r="A39" s="29">
        <f t="shared" si="0"/>
        <v>30</v>
      </c>
      <c r="B39" s="145" t="s">
        <v>67</v>
      </c>
      <c r="C39" s="145"/>
      <c r="D39" s="40">
        <f>'ERF Main Summary'!E40</f>
        <v>80319187.006715193</v>
      </c>
      <c r="E39" s="40"/>
      <c r="F39" s="122">
        <f>'EOP Adj Pages'!K22</f>
        <v>-5718832.9555432396</v>
      </c>
      <c r="G39" s="40">
        <f>+'EOP Adj Pages'!O22</f>
        <v>387080.14169061545</v>
      </c>
      <c r="H39" s="40">
        <f t="shared" si="3"/>
        <v>-5331752.813852624</v>
      </c>
      <c r="I39" s="40">
        <f t="shared" si="4"/>
        <v>74987434.19286257</v>
      </c>
      <c r="J39" s="40"/>
      <c r="K39" s="120"/>
      <c r="L39" s="120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5" customHeight="1" x14ac:dyDescent="0.2">
      <c r="A40" s="29">
        <f t="shared" si="0"/>
        <v>31</v>
      </c>
      <c r="B40" s="226" t="s">
        <v>25</v>
      </c>
      <c r="D40" s="330">
        <f>'ERF Main Summary'!E41</f>
        <v>8124947.3520550281</v>
      </c>
      <c r="E40" s="330"/>
      <c r="F40" s="330"/>
      <c r="G40" s="330"/>
      <c r="H40" s="330">
        <f t="shared" si="3"/>
        <v>0</v>
      </c>
      <c r="I40" s="330">
        <f t="shared" si="4"/>
        <v>8124947.3520550281</v>
      </c>
      <c r="J40" s="40"/>
      <c r="K40" s="120"/>
      <c r="L40" s="120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</row>
    <row r="41" spans="1:23" ht="15" customHeight="1" x14ac:dyDescent="0.2">
      <c r="A41" s="29">
        <f t="shared" si="0"/>
        <v>32</v>
      </c>
      <c r="B41" s="145" t="s">
        <v>26</v>
      </c>
      <c r="C41" s="145"/>
      <c r="D41" s="577">
        <f t="shared" ref="D41:I41" si="5">SUM(D24:D40)</f>
        <v>1813374385.939481</v>
      </c>
      <c r="E41" s="577">
        <f>SUM(E24:E40)</f>
        <v>0</v>
      </c>
      <c r="F41" s="577">
        <f t="shared" si="5"/>
        <v>14705570.457111191</v>
      </c>
      <c r="G41" s="577">
        <f t="shared" si="5"/>
        <v>387080.14169061545</v>
      </c>
      <c r="H41" s="577">
        <f t="shared" si="5"/>
        <v>15092650.598801807</v>
      </c>
      <c r="I41" s="577">
        <f t="shared" si="5"/>
        <v>1828467036.5382826</v>
      </c>
      <c r="J41" s="85"/>
      <c r="K41" s="120"/>
      <c r="L41" s="120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</row>
    <row r="42" spans="1:23" ht="15" customHeight="1" x14ac:dyDescent="0.2">
      <c r="A42" s="29">
        <f t="shared" si="0"/>
        <v>33</v>
      </c>
      <c r="D42" s="116"/>
      <c r="E42" s="116" t="s">
        <v>30</v>
      </c>
      <c r="F42" s="116" t="s">
        <v>30</v>
      </c>
      <c r="G42" s="116"/>
      <c r="H42" s="607"/>
      <c r="I42" s="116"/>
      <c r="J42" s="116"/>
      <c r="K42" s="120"/>
      <c r="L42" s="120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</row>
    <row r="43" spans="1:23" ht="15" customHeight="1" x14ac:dyDescent="0.2">
      <c r="A43" s="29">
        <f t="shared" si="0"/>
        <v>34</v>
      </c>
      <c r="B43" s="145" t="s">
        <v>27</v>
      </c>
      <c r="C43" s="145"/>
      <c r="D43" s="123">
        <f t="shared" ref="D43:I43" si="6">D15-D41</f>
        <v>404015328.5560987</v>
      </c>
      <c r="E43" s="123">
        <f>E15-E41</f>
        <v>0</v>
      </c>
      <c r="F43" s="123">
        <f t="shared" si="6"/>
        <v>-14705570.457111191</v>
      </c>
      <c r="G43" s="123">
        <f t="shared" si="6"/>
        <v>-387080.14169061545</v>
      </c>
      <c r="H43" s="612">
        <f t="shared" si="6"/>
        <v>-15092650.598801807</v>
      </c>
      <c r="I43" s="123">
        <f t="shared" si="6"/>
        <v>388922677.95729709</v>
      </c>
      <c r="J43" s="41"/>
      <c r="K43" s="120"/>
      <c r="L43" s="120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</row>
    <row r="44" spans="1:23" ht="15" customHeight="1" x14ac:dyDescent="0.2">
      <c r="A44" s="29">
        <f t="shared" si="0"/>
        <v>35</v>
      </c>
      <c r="D44" s="36"/>
      <c r="E44" s="36"/>
      <c r="F44" s="36"/>
      <c r="G44" s="36"/>
      <c r="H44" s="36"/>
      <c r="I44" s="36"/>
      <c r="J44" s="36"/>
      <c r="K44" s="120"/>
      <c r="L44" s="120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</row>
    <row r="45" spans="1:23" ht="15" customHeight="1" x14ac:dyDescent="0.2">
      <c r="A45" s="29">
        <f t="shared" si="0"/>
        <v>36</v>
      </c>
      <c r="B45" s="145" t="s">
        <v>28</v>
      </c>
      <c r="C45" s="145"/>
      <c r="D45" s="123">
        <f>'ERF Main Summary'!E46</f>
        <v>5171781802.9056206</v>
      </c>
      <c r="E45" s="123">
        <f>E56</f>
        <v>-36028961.830949679</v>
      </c>
      <c r="F45" s="123">
        <f t="shared" ref="F45:H45" si="7">F56</f>
        <v>-11805954.34436119</v>
      </c>
      <c r="G45" s="123">
        <f t="shared" si="7"/>
        <v>0</v>
      </c>
      <c r="H45" s="612">
        <f t="shared" si="7"/>
        <v>-47834916.175310865</v>
      </c>
      <c r="I45" s="123">
        <f>+H45+D45</f>
        <v>5123946886.7303095</v>
      </c>
      <c r="J45" s="116"/>
      <c r="K45" s="120"/>
      <c r="L45" s="120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</row>
    <row r="46" spans="1:23" ht="15" customHeight="1" x14ac:dyDescent="0.2">
      <c r="A46" s="29">
        <f t="shared" si="0"/>
        <v>37</v>
      </c>
      <c r="D46" s="41"/>
      <c r="E46" s="41"/>
      <c r="F46" s="41"/>
      <c r="G46" s="41"/>
      <c r="H46" s="41"/>
      <c r="I46" s="41"/>
      <c r="K46" s="120"/>
      <c r="L46" s="120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</row>
    <row r="47" spans="1:23" ht="15" customHeight="1" x14ac:dyDescent="0.2">
      <c r="A47" s="29">
        <f t="shared" si="0"/>
        <v>38</v>
      </c>
      <c r="B47" s="145" t="s">
        <v>29</v>
      </c>
      <c r="C47" s="145"/>
      <c r="D47" s="70">
        <f>D43/D45</f>
        <v>7.8119175161085491E-2</v>
      </c>
      <c r="E47" s="40"/>
      <c r="F47" s="40"/>
      <c r="G47" s="40"/>
      <c r="H47" s="40"/>
      <c r="I47" s="70">
        <f>I43/I45</f>
        <v>7.5902948753139049E-2</v>
      </c>
      <c r="J47" s="59"/>
      <c r="K47" s="120"/>
      <c r="L47" s="120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</row>
    <row r="48" spans="1:23" ht="15" customHeight="1" x14ac:dyDescent="0.2">
      <c r="A48" s="29">
        <f t="shared" si="0"/>
        <v>39</v>
      </c>
      <c r="D48" s="41"/>
      <c r="E48" s="41"/>
      <c r="F48" s="41"/>
      <c r="G48" s="41"/>
      <c r="H48" s="41"/>
      <c r="I48" s="41"/>
      <c r="K48" s="120"/>
      <c r="L48" s="120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</row>
    <row r="49" spans="1:23" ht="15" customHeight="1" x14ac:dyDescent="0.2">
      <c r="A49" s="29">
        <f t="shared" si="0"/>
        <v>40</v>
      </c>
      <c r="B49" s="226" t="s">
        <v>2</v>
      </c>
      <c r="D49" s="41"/>
      <c r="E49" s="41"/>
      <c r="F49" s="41"/>
      <c r="G49" s="41"/>
      <c r="H49" s="41"/>
      <c r="I49" s="41"/>
      <c r="K49" s="120"/>
      <c r="L49" s="120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5" customHeight="1" x14ac:dyDescent="0.2">
      <c r="A50" s="29">
        <f t="shared" si="0"/>
        <v>41</v>
      </c>
      <c r="B50" s="121" t="s">
        <v>69</v>
      </c>
      <c r="C50" s="121"/>
      <c r="D50" s="123">
        <f>'ERF Main Summary'!E51</f>
        <v>10360358404.224737</v>
      </c>
      <c r="E50" s="123">
        <f>+'EOP Adj Pages'!F14</f>
        <v>176214591.37430191</v>
      </c>
      <c r="F50" s="123"/>
      <c r="G50" s="123"/>
      <c r="H50" s="612">
        <f t="shared" ref="H50:H55" si="8">SUM(E50:G50)</f>
        <v>176214591.37430191</v>
      </c>
      <c r="I50" s="123">
        <f t="shared" ref="I50:I55" si="9">+H50+D50</f>
        <v>10536572995.599039</v>
      </c>
      <c r="J50" s="116"/>
      <c r="K50" s="120"/>
      <c r="L50" s="120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</row>
    <row r="51" spans="1:23" ht="15" customHeight="1" x14ac:dyDescent="0.2">
      <c r="A51" s="29">
        <f t="shared" si="0"/>
        <v>42</v>
      </c>
      <c r="B51" s="121" t="s">
        <v>63</v>
      </c>
      <c r="C51" s="121"/>
      <c r="D51" s="47">
        <f>'ERF Main Summary'!E52</f>
        <v>-4089120957.6961212</v>
      </c>
      <c r="E51" s="40">
        <f>+'EOP Adj Pages'!F15</f>
        <v>-153446589.3887887</v>
      </c>
      <c r="F51" s="40">
        <f>'EOP Adj Pages'!K26</f>
        <v>-20424403.41265443</v>
      </c>
      <c r="G51" s="40"/>
      <c r="H51" s="40">
        <f t="shared" si="8"/>
        <v>-173870992.80144313</v>
      </c>
      <c r="I51" s="125">
        <f t="shared" si="9"/>
        <v>-4262991950.4975643</v>
      </c>
      <c r="J51" s="116"/>
      <c r="K51" s="120"/>
      <c r="L51" s="120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</row>
    <row r="52" spans="1:23" ht="15" customHeight="1" x14ac:dyDescent="0.2">
      <c r="A52" s="29">
        <f t="shared" si="0"/>
        <v>43</v>
      </c>
      <c r="B52" s="226" t="s">
        <v>81</v>
      </c>
      <c r="D52" s="47">
        <f>'ERF Main Summary'!E53</f>
        <v>257055280.59625006</v>
      </c>
      <c r="E52" s="40">
        <f>+'EOP Adj Pages'!F16</f>
        <v>28717574.393749952</v>
      </c>
      <c r="F52" s="40"/>
      <c r="G52" s="40"/>
      <c r="H52" s="40">
        <f t="shared" si="8"/>
        <v>28717574.393749952</v>
      </c>
      <c r="I52" s="125">
        <f t="shared" si="9"/>
        <v>285772854.99000001</v>
      </c>
      <c r="J52" s="116"/>
      <c r="K52" s="120"/>
      <c r="L52" s="120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</row>
    <row r="53" spans="1:23" ht="15" customHeight="1" x14ac:dyDescent="0.2">
      <c r="A53" s="29">
        <f t="shared" si="0"/>
        <v>44</v>
      </c>
      <c r="B53" s="226" t="s">
        <v>166</v>
      </c>
      <c r="D53" s="47">
        <f>'ERF Main Summary'!E54</f>
        <v>-1435236151.8060799</v>
      </c>
      <c r="E53" s="40">
        <f>+'EOP Adj Pages'!F17</f>
        <v>-7872433.8770952225</v>
      </c>
      <c r="F53" s="40">
        <f>'EOP Adj Pages'!K27+'EOP Adj Pages'!K28</f>
        <v>8618449.0682932399</v>
      </c>
      <c r="G53" s="40"/>
      <c r="H53" s="40">
        <f t="shared" si="8"/>
        <v>746015.19119801745</v>
      </c>
      <c r="I53" s="125">
        <f t="shared" si="9"/>
        <v>-1434490136.6148818</v>
      </c>
      <c r="J53" s="116"/>
      <c r="K53" s="120"/>
      <c r="L53" s="120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</row>
    <row r="54" spans="1:23" ht="15" customHeight="1" x14ac:dyDescent="0.2">
      <c r="A54" s="29">
        <f t="shared" si="0"/>
        <v>45</v>
      </c>
      <c r="B54" s="226" t="s">
        <v>55</v>
      </c>
      <c r="D54" s="47">
        <f>'ERF Main Summary'!E55</f>
        <v>183434144.27723971</v>
      </c>
      <c r="E54" s="40">
        <f>+'EOP Adj Pages'!F18</f>
        <v>-81814006.51923801</v>
      </c>
      <c r="F54" s="40"/>
      <c r="G54" s="40"/>
      <c r="H54" s="40">
        <f t="shared" si="8"/>
        <v>-81814006.51923801</v>
      </c>
      <c r="I54" s="125">
        <f t="shared" si="9"/>
        <v>101620137.7580017</v>
      </c>
      <c r="J54" s="116"/>
      <c r="K54" s="120"/>
      <c r="L54" s="120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</row>
    <row r="55" spans="1:23" ht="15" customHeight="1" x14ac:dyDescent="0.2">
      <c r="A55" s="29">
        <f t="shared" si="0"/>
        <v>46</v>
      </c>
      <c r="B55" s="226" t="s">
        <v>54</v>
      </c>
      <c r="D55" s="47">
        <f>'ERF Main Summary'!E56</f>
        <v>-104708916.6904054</v>
      </c>
      <c r="E55" s="40">
        <f>+'EOP Adj Pages'!F19</f>
        <v>2171902.1861203909</v>
      </c>
      <c r="F55" s="40"/>
      <c r="G55" s="40"/>
      <c r="H55" s="40">
        <f t="shared" si="8"/>
        <v>2171902.1861203909</v>
      </c>
      <c r="I55" s="125">
        <f t="shared" si="9"/>
        <v>-102537014.50428501</v>
      </c>
      <c r="J55" s="116"/>
      <c r="K55" s="120"/>
      <c r="L55" s="120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</row>
    <row r="56" spans="1:23" ht="25.5" customHeight="1" thickBot="1" x14ac:dyDescent="0.25">
      <c r="A56" s="29">
        <f t="shared" si="0"/>
        <v>47</v>
      </c>
      <c r="B56" s="226" t="s">
        <v>56</v>
      </c>
      <c r="D56" s="576">
        <f t="shared" ref="D56:I56" si="10">SUM(D50:D55)</f>
        <v>5171781802.9056206</v>
      </c>
      <c r="E56" s="576">
        <f>SUM(E50:E55)</f>
        <v>-36028961.830949679</v>
      </c>
      <c r="F56" s="576">
        <f t="shared" si="10"/>
        <v>-11805954.34436119</v>
      </c>
      <c r="G56" s="576">
        <f t="shared" si="10"/>
        <v>0</v>
      </c>
      <c r="H56" s="576">
        <f t="shared" si="10"/>
        <v>-47834916.175310865</v>
      </c>
      <c r="I56" s="576">
        <f t="shared" si="10"/>
        <v>5123946886.7303095</v>
      </c>
      <c r="J56" s="116"/>
      <c r="K56" s="120"/>
      <c r="L56" s="120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</row>
    <row r="57" spans="1:23" s="94" customFormat="1" ht="15" customHeight="1" thickTop="1" x14ac:dyDescent="0.2"/>
    <row r="58" spans="1:23" customFormat="1" ht="15" customHeight="1" x14ac:dyDescent="0.2"/>
    <row r="59" spans="1:23" customFormat="1" ht="15" customHeight="1" x14ac:dyDescent="0.2"/>
    <row r="60" spans="1:23" customFormat="1" ht="15" customHeight="1" x14ac:dyDescent="0.2"/>
    <row r="61" spans="1:23" customFormat="1" ht="15" customHeight="1" x14ac:dyDescent="0.2"/>
    <row r="62" spans="1:23" customFormat="1" ht="15" customHeight="1" x14ac:dyDescent="0.2"/>
    <row r="63" spans="1:23" customFormat="1" ht="15" customHeight="1" x14ac:dyDescent="0.2"/>
    <row r="64" spans="1:23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s="67" customFormat="1" x14ac:dyDescent="0.2"/>
    <row r="81" s="67" customFormat="1" x14ac:dyDescent="0.2"/>
    <row r="82" s="67" customFormat="1" x14ac:dyDescent="0.2"/>
    <row r="83" s="67" customFormat="1" x14ac:dyDescent="0.2"/>
    <row r="84" s="67" customFormat="1" x14ac:dyDescent="0.2"/>
    <row r="85" s="67" customFormat="1" x14ac:dyDescent="0.2"/>
  </sheetData>
  <printOptions horizontalCentered="1"/>
  <pageMargins left="0.7" right="0.46" top="0.5" bottom="0.33" header="0.24" footer="0.31"/>
  <pageSetup scale="80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X129"/>
  <sheetViews>
    <sheetView topLeftCell="F1" zoomScale="85" zoomScaleNormal="85" workbookViewId="0">
      <selection activeCell="L4" sqref="L4:O24"/>
    </sheetView>
  </sheetViews>
  <sheetFormatPr defaultRowHeight="12.75" x14ac:dyDescent="0.2"/>
  <cols>
    <col min="1" max="1" width="5.42578125" style="94" bestFit="1" customWidth="1"/>
    <col min="2" max="2" width="5.42578125" style="226" bestFit="1" customWidth="1"/>
    <col min="3" max="3" width="45.42578125" style="226" customWidth="1"/>
    <col min="4" max="4" width="20" style="226" customWidth="1"/>
    <col min="5" max="5" width="19.140625" style="226" customWidth="1"/>
    <col min="6" max="6" width="20" style="94" customWidth="1"/>
    <col min="7" max="7" width="5.42578125" style="94" bestFit="1" customWidth="1"/>
    <col min="8" max="8" width="64" bestFit="1" customWidth="1"/>
    <col min="9" max="9" width="18.140625" customWidth="1"/>
    <col min="10" max="10" width="19.7109375" style="94" customWidth="1"/>
    <col min="11" max="11" width="18.7109375" customWidth="1"/>
    <col min="12" max="12" width="5.42578125" style="94" bestFit="1" customWidth="1"/>
    <col min="13" max="13" width="45.140625" style="94" customWidth="1"/>
    <col min="14" max="14" width="14.42578125" style="94" bestFit="1" customWidth="1"/>
    <col min="15" max="15" width="14.140625" style="94" bestFit="1" customWidth="1"/>
    <col min="16" max="16" width="16.7109375" style="226" customWidth="1"/>
    <col min="25" max="16384" width="9.140625" style="94"/>
  </cols>
  <sheetData>
    <row r="1" spans="1:15" x14ac:dyDescent="0.2">
      <c r="A1" s="225">
        <f>ROUND(SUM(L1:O1),0)</f>
        <v>0</v>
      </c>
      <c r="B1" s="189"/>
      <c r="C1" s="189"/>
      <c r="D1" s="189"/>
      <c r="E1" s="189"/>
      <c r="F1" s="224">
        <f>ROUND('EOP Adj Summary'!E56-F20,0)</f>
        <v>0</v>
      </c>
      <c r="G1" s="189"/>
      <c r="H1" s="189"/>
      <c r="I1" s="189"/>
      <c r="J1" s="189"/>
      <c r="K1" s="224">
        <f>ROUND('EOP Adj Summary'!F43-K23,0)</f>
        <v>0</v>
      </c>
      <c r="L1" s="189"/>
      <c r="M1" s="189"/>
      <c r="N1" s="189"/>
      <c r="O1" s="224">
        <f>ROUND('EOP Adj Summary'!G43-O23,0)</f>
        <v>0</v>
      </c>
    </row>
    <row r="2" spans="1:15" ht="15.95" customHeight="1" x14ac:dyDescent="0.2">
      <c r="A2" s="51"/>
      <c r="B2" s="51"/>
      <c r="C2" s="161"/>
      <c r="D2" s="161"/>
      <c r="E2" s="25"/>
      <c r="G2" s="51"/>
      <c r="H2" s="226"/>
      <c r="I2" s="226"/>
      <c r="J2" s="226"/>
      <c r="K2" s="25"/>
      <c r="L2" s="51" t="s">
        <v>30</v>
      </c>
      <c r="M2" s="226"/>
      <c r="N2" s="226"/>
      <c r="O2" s="25"/>
    </row>
    <row r="3" spans="1:15" ht="15.95" customHeight="1" thickBot="1" x14ac:dyDescent="0.25">
      <c r="E3" s="25"/>
      <c r="G3" s="226"/>
      <c r="H3" s="157"/>
      <c r="I3" s="157"/>
      <c r="J3" s="157"/>
      <c r="K3" s="25"/>
      <c r="L3" s="226"/>
      <c r="M3" s="226"/>
      <c r="N3" s="226"/>
      <c r="O3" s="25"/>
    </row>
    <row r="4" spans="1:15" s="186" customFormat="1" ht="15.95" customHeight="1" thickBot="1" x14ac:dyDescent="0.25">
      <c r="A4" s="94"/>
      <c r="B4" s="574"/>
      <c r="C4" s="574"/>
      <c r="D4" s="574"/>
      <c r="F4" s="187" t="str">
        <f>+'EOP Adj Summary'!E8</f>
        <v>REF 7.02</v>
      </c>
      <c r="G4" s="574"/>
      <c r="H4" s="574"/>
      <c r="I4" s="574"/>
      <c r="J4" s="574"/>
      <c r="K4" s="187" t="str">
        <f>+'EOP Adj Summary'!F8</f>
        <v>REF 7.03</v>
      </c>
      <c r="L4" s="51"/>
      <c r="M4" s="51"/>
      <c r="N4" s="51"/>
      <c r="O4" s="187" t="str">
        <f>+'EOP Adj Summary'!G8</f>
        <v>REF 7.04</v>
      </c>
    </row>
    <row r="5" spans="1:15" s="52" customFormat="1" ht="15.95" customHeight="1" x14ac:dyDescent="0.2">
      <c r="A5" s="94"/>
      <c r="B5" s="108" t="s">
        <v>125</v>
      </c>
      <c r="C5" s="34"/>
      <c r="D5" s="34"/>
      <c r="E5" s="34"/>
      <c r="F5" s="291"/>
      <c r="G5" s="108" t="s">
        <v>125</v>
      </c>
      <c r="H5" s="34"/>
      <c r="I5" s="34"/>
      <c r="J5" s="34"/>
      <c r="K5" s="43"/>
      <c r="L5" s="108" t="s">
        <v>57</v>
      </c>
      <c r="M5" s="34"/>
      <c r="N5" s="34"/>
      <c r="O5" s="34"/>
    </row>
    <row r="6" spans="1:15" s="52" customFormat="1" ht="15.95" customHeight="1" x14ac:dyDescent="0.2">
      <c r="B6" s="185" t="s">
        <v>443</v>
      </c>
      <c r="C6" s="34"/>
      <c r="D6" s="34"/>
      <c r="E6" s="34"/>
      <c r="F6" s="291"/>
      <c r="G6" s="185" t="s">
        <v>442</v>
      </c>
      <c r="H6" s="34"/>
      <c r="I6" s="34"/>
      <c r="J6" s="34"/>
      <c r="K6" s="109"/>
      <c r="L6" s="185" t="s">
        <v>447</v>
      </c>
      <c r="M6" s="34"/>
      <c r="N6" s="34"/>
      <c r="O6" s="109"/>
    </row>
    <row r="7" spans="1:15" ht="15.95" customHeight="1" x14ac:dyDescent="0.2">
      <c r="B7" s="108" t="s">
        <v>378</v>
      </c>
      <c r="C7" s="34"/>
      <c r="D7" s="34"/>
      <c r="E7" s="34"/>
      <c r="F7" s="291"/>
      <c r="G7" s="108" t="str">
        <f>+_TestYear</f>
        <v>FOR THE TWELVE MONTHS ENDED JUNE 30, 2018</v>
      </c>
      <c r="H7" s="34"/>
      <c r="I7" s="34"/>
      <c r="J7" s="34"/>
      <c r="K7" s="35"/>
      <c r="L7" s="34" t="str">
        <f>D</f>
        <v>FOR THE TWELVE MONTHS ENDED JUNE 30, 2018</v>
      </c>
      <c r="M7" s="34"/>
      <c r="N7" s="34"/>
      <c r="O7" s="35"/>
    </row>
    <row r="8" spans="1:15" ht="15.95" customHeight="1" x14ac:dyDescent="0.2">
      <c r="B8" s="108" t="s">
        <v>137</v>
      </c>
      <c r="C8" s="34"/>
      <c r="D8" s="34"/>
      <c r="E8" s="34"/>
      <c r="F8" s="291"/>
      <c r="G8" s="108" t="str">
        <f>+_CaseName</f>
        <v>EXPEDITED RATE FILING</v>
      </c>
      <c r="H8" s="34"/>
      <c r="I8" s="34"/>
      <c r="J8" s="108"/>
      <c r="K8" s="35"/>
      <c r="L8" s="108" t="str">
        <f>_CaseName</f>
        <v>EXPEDITED RATE FILING</v>
      </c>
      <c r="M8" s="34"/>
      <c r="N8" s="34"/>
      <c r="O8" s="35"/>
    </row>
    <row r="9" spans="1:15" ht="15.95" customHeight="1" x14ac:dyDescent="0.2">
      <c r="A9" s="51"/>
      <c r="B9" s="51"/>
      <c r="C9" s="51"/>
      <c r="D9" s="51"/>
      <c r="E9" s="51"/>
      <c r="G9" s="51"/>
      <c r="H9" s="648"/>
      <c r="I9" s="180"/>
      <c r="J9" s="177"/>
      <c r="K9" s="177"/>
      <c r="L9" s="51"/>
      <c r="M9" s="110"/>
      <c r="N9" s="580"/>
      <c r="O9" s="580"/>
    </row>
    <row r="10" spans="1:15" ht="15.95" customHeight="1" x14ac:dyDescent="0.25">
      <c r="B10" s="575" t="s">
        <v>32</v>
      </c>
      <c r="C10" s="110"/>
      <c r="D10" s="706" t="s">
        <v>406</v>
      </c>
      <c r="E10" s="706" t="s">
        <v>403</v>
      </c>
      <c r="F10" s="709" t="s">
        <v>444</v>
      </c>
      <c r="G10" s="574" t="s">
        <v>32</v>
      </c>
      <c r="H10" s="177"/>
      <c r="I10" s="706" t="s">
        <v>406</v>
      </c>
      <c r="J10" s="706" t="s">
        <v>403</v>
      </c>
      <c r="K10" s="704" t="s">
        <v>444</v>
      </c>
      <c r="L10" s="581" t="s">
        <v>32</v>
      </c>
      <c r="M10" s="51"/>
      <c r="N10" s="583"/>
      <c r="O10" s="583"/>
    </row>
    <row r="11" spans="1:15" ht="15.95" customHeight="1" x14ac:dyDescent="0.2">
      <c r="B11" s="170" t="s">
        <v>34</v>
      </c>
      <c r="C11" s="459" t="s">
        <v>35</v>
      </c>
      <c r="D11" s="707" t="s">
        <v>656</v>
      </c>
      <c r="E11" s="707" t="s">
        <v>656</v>
      </c>
      <c r="F11" s="601" t="s">
        <v>37</v>
      </c>
      <c r="G11" s="169" t="s">
        <v>34</v>
      </c>
      <c r="H11" s="171" t="s">
        <v>35</v>
      </c>
      <c r="I11" s="707" t="s">
        <v>656</v>
      </c>
      <c r="J11" s="707" t="s">
        <v>656</v>
      </c>
      <c r="K11" s="601" t="s">
        <v>37</v>
      </c>
      <c r="L11" s="448" t="s">
        <v>34</v>
      </c>
      <c r="M11" s="460" t="s">
        <v>35</v>
      </c>
      <c r="N11" s="448"/>
      <c r="O11" s="448" t="s">
        <v>83</v>
      </c>
    </row>
    <row r="12" spans="1:15" s="104" customFormat="1" ht="17.100000000000001" customHeight="1" x14ac:dyDescent="0.25">
      <c r="B12" s="226"/>
      <c r="C12" s="69"/>
      <c r="D12" s="69"/>
      <c r="E12" s="69"/>
      <c r="F12" s="69"/>
      <c r="G12" s="32"/>
      <c r="H12" s="145"/>
      <c r="I12" s="36"/>
      <c r="J12" s="36"/>
      <c r="K12" s="36"/>
      <c r="L12" s="32"/>
      <c r="M12" s="431"/>
      <c r="N12" s="584"/>
      <c r="O12" s="39"/>
    </row>
    <row r="13" spans="1:15" s="104" customFormat="1" ht="17.100000000000001" customHeight="1" x14ac:dyDescent="0.2">
      <c r="B13" s="135" t="s">
        <v>45</v>
      </c>
      <c r="C13" s="226" t="s">
        <v>2</v>
      </c>
      <c r="D13" s="579"/>
      <c r="E13" s="579"/>
      <c r="F13" s="579"/>
      <c r="G13" s="29">
        <v>1</v>
      </c>
      <c r="H13" s="226" t="s">
        <v>120</v>
      </c>
      <c r="I13" s="165">
        <f>'[6]EOP Electric Deprec  Lead '!C12</f>
        <v>305571692.36999911</v>
      </c>
      <c r="J13" s="165">
        <f>'[6]EOP Electric Deprec  Lead '!D12</f>
        <v>317207735.60082692</v>
      </c>
      <c r="K13" s="165">
        <f>J13-I13</f>
        <v>11636043.230827808</v>
      </c>
      <c r="L13" s="29">
        <v>1</v>
      </c>
      <c r="M13" s="431" t="s">
        <v>702</v>
      </c>
      <c r="N13" s="167">
        <f>+'EOP Adj Summary'!H45</f>
        <v>-47834916.175310865</v>
      </c>
      <c r="O13" s="39" t="s">
        <v>30</v>
      </c>
    </row>
    <row r="14" spans="1:15" s="104" customFormat="1" ht="17.100000000000001" customHeight="1" x14ac:dyDescent="0.2">
      <c r="B14" s="135">
        <f t="shared" ref="B14:B20" si="0">1+B13</f>
        <v>2</v>
      </c>
      <c r="C14" s="118" t="s">
        <v>87</v>
      </c>
      <c r="D14" s="298">
        <f>'ERF Main Summary'!E51</f>
        <v>10360358404.224737</v>
      </c>
      <c r="E14" s="298">
        <f>'[4]ERB AMA'!J92</f>
        <v>10536572995.599039</v>
      </c>
      <c r="F14" s="298">
        <f t="shared" ref="F14:F19" si="1">E14-D14</f>
        <v>176214591.37430191</v>
      </c>
      <c r="G14" s="29">
        <f t="shared" ref="G14:G29" si="2">G13+1</f>
        <v>2</v>
      </c>
      <c r="H14" s="145" t="s">
        <v>119</v>
      </c>
      <c r="I14" s="127">
        <f>'[6]EOP Electric Deprec  Lead '!C13</f>
        <v>50078232.88159997</v>
      </c>
      <c r="J14" s="127">
        <f>'[6]EOP Electric Deprec  Lead '!D13</f>
        <v>60332863.093426585</v>
      </c>
      <c r="K14" s="127">
        <f>J14-I14</f>
        <v>10254630.211826615</v>
      </c>
      <c r="L14" s="29">
        <f t="shared" ref="L14:L23" si="3">L13+1</f>
        <v>2</v>
      </c>
      <c r="M14" s="431" t="s">
        <v>30</v>
      </c>
      <c r="N14" s="400" t="s">
        <v>30</v>
      </c>
      <c r="O14" s="116"/>
    </row>
    <row r="15" spans="1:15" s="104" customFormat="1" ht="17.100000000000001" customHeight="1" x14ac:dyDescent="0.2">
      <c r="B15" s="135">
        <f t="shared" si="0"/>
        <v>3</v>
      </c>
      <c r="C15" s="118" t="s">
        <v>63</v>
      </c>
      <c r="D15" s="127">
        <f>'ERF Main Summary'!E52</f>
        <v>-4089120957.6961212</v>
      </c>
      <c r="E15" s="127">
        <f>'[4]ERB AMA'!J93</f>
        <v>-4242567547.0849099</v>
      </c>
      <c r="F15" s="127">
        <f t="shared" si="1"/>
        <v>-153446589.3887887</v>
      </c>
      <c r="G15" s="29">
        <f t="shared" si="2"/>
        <v>3</v>
      </c>
      <c r="H15" s="145" t="s">
        <v>116</v>
      </c>
      <c r="I15" s="628">
        <f t="shared" ref="I15:K15" si="4">SUM(I13:I14)</f>
        <v>355649925.25159907</v>
      </c>
      <c r="J15" s="628">
        <f t="shared" si="4"/>
        <v>377540598.6942535</v>
      </c>
      <c r="K15" s="628">
        <f t="shared" si="4"/>
        <v>21890673.442654423</v>
      </c>
      <c r="L15" s="29">
        <f t="shared" si="3"/>
        <v>3</v>
      </c>
      <c r="M15" s="141" t="s">
        <v>680</v>
      </c>
      <c r="N15" s="566">
        <f>SUM(N13:N14)</f>
        <v>-47834916.175310865</v>
      </c>
      <c r="O15" s="116"/>
    </row>
    <row r="16" spans="1:15" s="104" customFormat="1" ht="17.100000000000001" customHeight="1" x14ac:dyDescent="0.2">
      <c r="B16" s="135">
        <f t="shared" si="0"/>
        <v>4</v>
      </c>
      <c r="C16" s="118" t="s">
        <v>88</v>
      </c>
      <c r="D16" s="127">
        <f>'ERF Main Summary'!E53</f>
        <v>257055280.59625006</v>
      </c>
      <c r="E16" s="127">
        <f>'[4]ERB AMA'!J94</f>
        <v>285772854.99000001</v>
      </c>
      <c r="F16" s="127">
        <f t="shared" si="1"/>
        <v>28717574.393749952</v>
      </c>
      <c r="G16" s="29">
        <f t="shared" si="2"/>
        <v>4</v>
      </c>
      <c r="H16" s="145" t="s">
        <v>530</v>
      </c>
      <c r="I16" s="127">
        <f>'[6]EOP Electric Deprec  Lead '!$C$15</f>
        <v>7848312.3899999997</v>
      </c>
      <c r="J16" s="127">
        <f>'[6]EOP Electric Deprec  Lead '!$D$15</f>
        <v>7285723.6800000062</v>
      </c>
      <c r="K16" s="127">
        <f t="shared" ref="K16:K17" si="5">J16-I16</f>
        <v>-562588.70999999344</v>
      </c>
      <c r="L16" s="29">
        <f t="shared" si="3"/>
        <v>4</v>
      </c>
      <c r="M16" s="141"/>
      <c r="N16" s="141"/>
      <c r="O16" s="141"/>
    </row>
    <row r="17" spans="2:15" s="104" customFormat="1" ht="17.100000000000001" customHeight="1" x14ac:dyDescent="0.2">
      <c r="B17" s="135">
        <f t="shared" si="0"/>
        <v>5</v>
      </c>
      <c r="C17" s="118" t="s">
        <v>89</v>
      </c>
      <c r="D17" s="127">
        <f>'ERF Main Summary'!E54</f>
        <v>-1435236151.8060799</v>
      </c>
      <c r="E17" s="127">
        <f>'[4]ERB AMA'!J95</f>
        <v>-1443108585.6831751</v>
      </c>
      <c r="F17" s="127">
        <f t="shared" si="1"/>
        <v>-7872433.8770952225</v>
      </c>
      <c r="G17" s="29">
        <f t="shared" si="2"/>
        <v>5</v>
      </c>
      <c r="H17" s="145" t="s">
        <v>531</v>
      </c>
      <c r="I17" s="127">
        <f>'[6]EOP Electric Deprec  Lead '!C16</f>
        <v>4466525.3599999994</v>
      </c>
      <c r="J17" s="127">
        <f>'[6]EOP Electric Deprec  Lead '!D16</f>
        <v>3562844.0399999996</v>
      </c>
      <c r="K17" s="127">
        <f t="shared" si="5"/>
        <v>-903681.31999999983</v>
      </c>
      <c r="L17" s="29">
        <f t="shared" si="3"/>
        <v>5</v>
      </c>
      <c r="M17" s="431" t="s">
        <v>448</v>
      </c>
      <c r="N17" s="440">
        <f>'CBR Model'!S14</f>
        <v>2.8899999999999999E-2</v>
      </c>
      <c r="O17" s="376" t="s">
        <v>30</v>
      </c>
    </row>
    <row r="18" spans="2:15" s="104" customFormat="1" ht="17.100000000000001" customHeight="1" x14ac:dyDescent="0.2">
      <c r="B18" s="135">
        <f t="shared" si="0"/>
        <v>6</v>
      </c>
      <c r="C18" s="118" t="s">
        <v>90</v>
      </c>
      <c r="D18" s="127">
        <f>'ERF Main Summary'!E55</f>
        <v>183434144.27723971</v>
      </c>
      <c r="E18" s="127">
        <f>'[4]ERB AMA'!J96</f>
        <v>101620137.7580017</v>
      </c>
      <c r="F18" s="127">
        <f t="shared" si="1"/>
        <v>-81814006.51923801</v>
      </c>
      <c r="G18" s="29">
        <f t="shared" si="2"/>
        <v>6</v>
      </c>
      <c r="H18" s="145" t="s">
        <v>532</v>
      </c>
      <c r="I18" s="240">
        <f>SUM(I15:I17)</f>
        <v>367964763.00159907</v>
      </c>
      <c r="J18" s="240">
        <f t="shared" ref="J18:K18" si="6">SUM(J15:J17)</f>
        <v>388389166.41425353</v>
      </c>
      <c r="K18" s="240">
        <f t="shared" si="6"/>
        <v>20424403.41265443</v>
      </c>
      <c r="L18" s="29">
        <f t="shared" si="3"/>
        <v>6</v>
      </c>
      <c r="M18" s="431" t="s">
        <v>681</v>
      </c>
      <c r="O18" s="113">
        <f>+N15*N17</f>
        <v>-1382429.0774664839</v>
      </c>
    </row>
    <row r="19" spans="2:15" s="104" customFormat="1" ht="17.100000000000001" customHeight="1" x14ac:dyDescent="0.2">
      <c r="B19" s="135">
        <f t="shared" si="0"/>
        <v>7</v>
      </c>
      <c r="C19" s="118" t="s">
        <v>91</v>
      </c>
      <c r="D19" s="127">
        <f>'ERF Main Summary'!E56</f>
        <v>-104708916.6904054</v>
      </c>
      <c r="E19" s="127">
        <f>'[4]ERB AMA'!J97</f>
        <v>-102537014.50428501</v>
      </c>
      <c r="F19" s="127">
        <f t="shared" si="1"/>
        <v>2171902.1861203909</v>
      </c>
      <c r="G19" s="29">
        <f t="shared" si="2"/>
        <v>7</v>
      </c>
      <c r="H19" s="145"/>
      <c r="I19" s="163"/>
      <c r="J19" s="163"/>
      <c r="K19" s="163"/>
      <c r="L19" s="29">
        <f t="shared" si="3"/>
        <v>7</v>
      </c>
      <c r="M19" s="431"/>
      <c r="N19" s="585"/>
      <c r="O19" s="586"/>
    </row>
    <row r="20" spans="2:15" s="104" customFormat="1" ht="17.100000000000001" customHeight="1" x14ac:dyDescent="0.2">
      <c r="B20" s="135">
        <f t="shared" si="0"/>
        <v>8</v>
      </c>
      <c r="C20" s="226" t="s">
        <v>56</v>
      </c>
      <c r="D20" s="578">
        <f>SUM(D14:D19)</f>
        <v>5171781802.9056206</v>
      </c>
      <c r="E20" s="578">
        <f>SUM(E14:E19)</f>
        <v>5135752841.0746708</v>
      </c>
      <c r="F20" s="578">
        <f>SUM(F14:F19)</f>
        <v>-36028961.830949679</v>
      </c>
      <c r="G20" s="29">
        <f t="shared" si="2"/>
        <v>8</v>
      </c>
      <c r="H20" s="58" t="s">
        <v>108</v>
      </c>
      <c r="I20" s="58"/>
      <c r="J20" s="58"/>
      <c r="K20" s="150">
        <f>K18</f>
        <v>20424403.41265443</v>
      </c>
      <c r="L20" s="29">
        <f t="shared" si="3"/>
        <v>8</v>
      </c>
      <c r="M20" s="141" t="s">
        <v>238</v>
      </c>
      <c r="O20" s="113">
        <f>-O18</f>
        <v>1382429.0774664839</v>
      </c>
    </row>
    <row r="21" spans="2:15" s="104" customFormat="1" ht="17.100000000000001" customHeight="1" x14ac:dyDescent="0.2">
      <c r="B21" s="135"/>
      <c r="C21" s="94"/>
      <c r="D21" s="94"/>
      <c r="E21" s="94"/>
      <c r="F21" s="94"/>
      <c r="G21" s="29">
        <f t="shared" si="2"/>
        <v>9</v>
      </c>
      <c r="H21" s="58"/>
      <c r="J21" s="58"/>
      <c r="L21" s="29">
        <f t="shared" si="3"/>
        <v>9</v>
      </c>
      <c r="M21" s="141"/>
      <c r="N21" s="587"/>
      <c r="O21" s="39" t="s">
        <v>30</v>
      </c>
    </row>
    <row r="22" spans="2:15" s="104" customFormat="1" ht="17.100000000000001" customHeight="1" x14ac:dyDescent="0.2">
      <c r="B22" s="135"/>
      <c r="C22"/>
      <c r="D22"/>
      <c r="E22"/>
      <c r="G22" s="29">
        <f t="shared" si="2"/>
        <v>10</v>
      </c>
      <c r="H22" s="58" t="s">
        <v>102</v>
      </c>
      <c r="I22" s="200"/>
      <c r="J22" s="200">
        <f>FIT_CBR</f>
        <v>0.27999999999999997</v>
      </c>
      <c r="K22" s="47">
        <f>-K20*J22</f>
        <v>-5718832.9555432396</v>
      </c>
      <c r="L22" s="29">
        <f t="shared" si="3"/>
        <v>10</v>
      </c>
      <c r="M22" s="141" t="s">
        <v>230</v>
      </c>
      <c r="N22" s="148">
        <f>FIT_CBR</f>
        <v>0.27999999999999997</v>
      </c>
      <c r="O22" s="113">
        <f>+O20*N22</f>
        <v>387080.14169061545</v>
      </c>
    </row>
    <row r="23" spans="2:15" s="104" customFormat="1" ht="17.100000000000001" customHeight="1" thickBot="1" x14ac:dyDescent="0.25">
      <c r="B23" s="135"/>
      <c r="C23"/>
      <c r="D23"/>
      <c r="E23"/>
      <c r="G23" s="29">
        <f t="shared" si="2"/>
        <v>11</v>
      </c>
      <c r="H23" s="58" t="s">
        <v>84</v>
      </c>
      <c r="I23" s="58"/>
      <c r="J23" s="137"/>
      <c r="K23" s="142">
        <f>-K20-K22</f>
        <v>-14705570.457111191</v>
      </c>
      <c r="L23" s="29">
        <f t="shared" si="3"/>
        <v>11</v>
      </c>
      <c r="M23" s="141" t="s">
        <v>84</v>
      </c>
      <c r="O23" s="588">
        <f>-O22</f>
        <v>-387080.14169061545</v>
      </c>
    </row>
    <row r="24" spans="2:15" s="104" customFormat="1" ht="17.100000000000001" customHeight="1" thickTop="1" x14ac:dyDescent="0.2">
      <c r="B24" s="135"/>
      <c r="C24"/>
      <c r="D24"/>
      <c r="E24"/>
      <c r="G24" s="29">
        <f t="shared" si="2"/>
        <v>12</v>
      </c>
      <c r="H24" s="153"/>
      <c r="I24" s="58"/>
      <c r="J24" s="58"/>
      <c r="K24" s="58"/>
    </row>
    <row r="25" spans="2:15" s="104" customFormat="1" ht="17.100000000000001" customHeight="1" x14ac:dyDescent="0.2">
      <c r="B25" s="135"/>
      <c r="C25"/>
      <c r="D25"/>
      <c r="E25"/>
      <c r="G25" s="29">
        <f t="shared" si="2"/>
        <v>13</v>
      </c>
      <c r="H25" s="58" t="s">
        <v>107</v>
      </c>
      <c r="I25" s="58"/>
      <c r="J25" s="58"/>
      <c r="K25" s="58"/>
    </row>
    <row r="26" spans="2:15" s="104" customFormat="1" ht="17.100000000000001" customHeight="1" x14ac:dyDescent="0.2">
      <c r="B26" s="135"/>
      <c r="C26"/>
      <c r="D26"/>
      <c r="E26"/>
      <c r="G26" s="29">
        <f t="shared" si="2"/>
        <v>14</v>
      </c>
      <c r="H26" s="58" t="s">
        <v>165</v>
      </c>
      <c r="I26" s="148"/>
      <c r="J26" s="58"/>
      <c r="K26" s="150">
        <f>-K20</f>
        <v>-20424403.41265443</v>
      </c>
    </row>
    <row r="27" spans="2:15" s="104" customFormat="1" ht="17.100000000000001" customHeight="1" x14ac:dyDescent="0.2">
      <c r="B27" s="226"/>
      <c r="C27"/>
      <c r="D27"/>
      <c r="E27"/>
      <c r="G27" s="29">
        <f t="shared" si="2"/>
        <v>15</v>
      </c>
      <c r="H27" s="145" t="s">
        <v>75</v>
      </c>
      <c r="I27" s="148"/>
      <c r="J27" s="226"/>
      <c r="K27" s="122">
        <f>'[6]EOP Electric Deprec  Lead '!$E$26</f>
        <v>5718832.9555432405</v>
      </c>
    </row>
    <row r="28" spans="2:15" s="104" customFormat="1" ht="17.100000000000001" customHeight="1" x14ac:dyDescent="0.2">
      <c r="B28" s="226"/>
      <c r="C28"/>
      <c r="D28"/>
      <c r="E28"/>
      <c r="G28" s="29">
        <f t="shared" si="2"/>
        <v>16</v>
      </c>
      <c r="H28" s="608" t="s">
        <v>687</v>
      </c>
      <c r="I28" s="148"/>
      <c r="J28" s="58"/>
      <c r="K28" s="113">
        <f>'[6]EOP Electric Deprec  Lead '!$E$27</f>
        <v>2899616.1127499994</v>
      </c>
    </row>
    <row r="29" spans="2:15" s="104" customFormat="1" ht="17.100000000000001" customHeight="1" thickBot="1" x14ac:dyDescent="0.25">
      <c r="B29" s="226"/>
      <c r="C29"/>
      <c r="D29"/>
      <c r="E29"/>
      <c r="G29" s="29">
        <f t="shared" si="2"/>
        <v>17</v>
      </c>
      <c r="H29" s="58" t="s">
        <v>106</v>
      </c>
      <c r="I29" s="58"/>
      <c r="J29" s="58"/>
      <c r="K29" s="142">
        <f>SUM(K26:K28)</f>
        <v>-11805954.34436119</v>
      </c>
    </row>
    <row r="30" spans="2:15" s="104" customFormat="1" ht="17.100000000000001" customHeight="1" thickTop="1" x14ac:dyDescent="0.2">
      <c r="B30" s="226"/>
      <c r="C30"/>
      <c r="D30"/>
      <c r="E30"/>
      <c r="G30" s="58"/>
      <c r="H30" s="58"/>
      <c r="I30" s="58"/>
      <c r="J30" s="58"/>
      <c r="K30" s="58"/>
    </row>
    <row r="31" spans="2:15" s="104" customFormat="1" ht="17.100000000000001" customHeight="1" x14ac:dyDescent="0.2">
      <c r="B31" s="226"/>
      <c r="C31" s="226"/>
      <c r="D31" s="226"/>
      <c r="E31" s="226"/>
      <c r="G31" s="58"/>
      <c r="H31" s="58"/>
      <c r="I31" s="58"/>
      <c r="J31" s="58"/>
      <c r="K31" s="58"/>
    </row>
    <row r="32" spans="2:15" s="104" customFormat="1" ht="17.100000000000001" customHeight="1" x14ac:dyDescent="0.2">
      <c r="B32" s="226"/>
      <c r="C32" s="226"/>
      <c r="D32" s="226"/>
      <c r="E32" s="226"/>
      <c r="G32" s="58"/>
      <c r="H32" s="58"/>
      <c r="I32" s="58"/>
      <c r="J32" s="58"/>
      <c r="K32" s="58"/>
    </row>
    <row r="33" spans="1:16" s="104" customFormat="1" ht="17.100000000000001" customHeight="1" x14ac:dyDescent="0.2">
      <c r="B33" s="226"/>
      <c r="C33" s="226"/>
      <c r="D33" s="226"/>
      <c r="E33" s="226"/>
      <c r="G33" s="58"/>
      <c r="H33" s="58"/>
      <c r="I33" s="58"/>
      <c r="J33" s="58"/>
      <c r="K33" s="58"/>
    </row>
    <row r="34" spans="1:16" s="104" customFormat="1" ht="17.100000000000001" customHeight="1" x14ac:dyDescent="0.2">
      <c r="B34" s="226"/>
      <c r="C34" s="226"/>
      <c r="D34" s="226"/>
      <c r="E34" s="226"/>
      <c r="G34" s="58"/>
      <c r="H34" s="58"/>
      <c r="I34" s="58"/>
      <c r="J34" s="58"/>
      <c r="K34" s="58"/>
    </row>
    <row r="35" spans="1:16" s="104" customFormat="1" ht="17.100000000000001" customHeight="1" x14ac:dyDescent="0.2">
      <c r="B35" s="226"/>
      <c r="C35" s="226"/>
      <c r="D35" s="226"/>
      <c r="E35" s="226"/>
      <c r="G35" s="29"/>
      <c r="H35" s="226"/>
      <c r="I35" s="133"/>
      <c r="J35" s="133"/>
      <c r="K35" s="85"/>
      <c r="P35" s="85"/>
    </row>
    <row r="36" spans="1:16" s="104" customFormat="1" ht="17.100000000000001" customHeight="1" x14ac:dyDescent="0.2">
      <c r="B36" s="226"/>
      <c r="C36" s="226"/>
      <c r="D36" s="226"/>
      <c r="E36" s="226"/>
      <c r="P36" s="49"/>
    </row>
    <row r="37" spans="1:16" s="104" customFormat="1" ht="17.100000000000001" customHeight="1" x14ac:dyDescent="0.2">
      <c r="B37" s="226"/>
      <c r="C37" s="226"/>
      <c r="D37" s="226"/>
      <c r="E37" s="226"/>
      <c r="P37" s="49"/>
    </row>
    <row r="38" spans="1:16" s="104" customFormat="1" ht="17.100000000000001" customHeight="1" x14ac:dyDescent="0.2">
      <c r="A38" s="29"/>
      <c r="B38" s="226"/>
      <c r="C38" s="226"/>
      <c r="D38" s="226"/>
      <c r="E38" s="226"/>
      <c r="P38" s="49"/>
    </row>
    <row r="39" spans="1:16" s="104" customFormat="1" ht="17.100000000000001" customHeight="1" x14ac:dyDescent="0.2">
      <c r="A39" s="94"/>
      <c r="B39" s="226"/>
      <c r="C39" s="226"/>
      <c r="D39" s="226"/>
      <c r="E39" s="226"/>
      <c r="P39" s="133"/>
    </row>
    <row r="40" spans="1:16" s="104" customFormat="1" ht="17.100000000000001" customHeight="1" x14ac:dyDescent="0.2">
      <c r="A40" s="94"/>
      <c r="B40" s="226"/>
      <c r="C40" s="226"/>
      <c r="D40" s="226"/>
      <c r="E40" s="226"/>
      <c r="P40" s="133"/>
    </row>
    <row r="41" spans="1:16" s="104" customFormat="1" ht="17.100000000000001" customHeight="1" x14ac:dyDescent="0.2">
      <c r="A41" s="94"/>
      <c r="B41" s="226"/>
      <c r="C41" s="226"/>
      <c r="D41" s="226"/>
      <c r="E41" s="226"/>
      <c r="P41" s="49"/>
    </row>
    <row r="42" spans="1:16" s="104" customFormat="1" ht="17.100000000000001" customHeight="1" x14ac:dyDescent="0.2">
      <c r="A42" s="94"/>
      <c r="B42" s="226"/>
      <c r="C42" s="226"/>
      <c r="D42" s="226"/>
      <c r="E42" s="226"/>
      <c r="P42" s="85"/>
    </row>
    <row r="43" spans="1:16" s="104" customFormat="1" ht="17.100000000000001" customHeight="1" x14ac:dyDescent="0.2">
      <c r="A43" s="94"/>
      <c r="B43" s="226"/>
      <c r="C43" s="226"/>
      <c r="D43" s="226"/>
      <c r="E43" s="226"/>
      <c r="P43" s="49"/>
    </row>
    <row r="44" spans="1:16" s="104" customFormat="1" ht="17.100000000000001" customHeight="1" x14ac:dyDescent="0.2">
      <c r="A44" s="94"/>
      <c r="B44" s="226"/>
      <c r="C44" s="226"/>
      <c r="D44" s="226"/>
      <c r="E44" s="226"/>
      <c r="P44" s="226"/>
    </row>
    <row r="45" spans="1:16" s="104" customFormat="1" ht="17.100000000000001" customHeight="1" x14ac:dyDescent="0.2">
      <c r="A45" s="94"/>
      <c r="B45" s="226"/>
      <c r="C45" s="226"/>
      <c r="D45" s="226"/>
      <c r="E45" s="226"/>
      <c r="P45" s="226"/>
    </row>
    <row r="46" spans="1:16" s="104" customFormat="1" ht="17.100000000000001" customHeight="1" x14ac:dyDescent="0.2">
      <c r="A46" s="94"/>
      <c r="B46" s="226"/>
      <c r="C46" s="226"/>
      <c r="D46" s="226"/>
      <c r="E46" s="226"/>
      <c r="P46" s="226"/>
    </row>
    <row r="47" spans="1:16" s="104" customFormat="1" ht="17.100000000000001" customHeight="1" x14ac:dyDescent="0.2">
      <c r="A47" s="94"/>
      <c r="B47" s="226"/>
      <c r="C47" s="226"/>
      <c r="D47" s="226"/>
      <c r="E47" s="226"/>
      <c r="P47" s="226"/>
    </row>
    <row r="48" spans="1:16" s="104" customFormat="1" ht="17.100000000000001" customHeight="1" x14ac:dyDescent="0.2">
      <c r="A48" s="94"/>
      <c r="B48" s="226"/>
      <c r="C48" s="226"/>
      <c r="D48" s="226"/>
      <c r="E48" s="226"/>
      <c r="P48" s="226"/>
    </row>
    <row r="49" spans="1:16" s="104" customFormat="1" ht="17.100000000000001" customHeight="1" x14ac:dyDescent="0.2">
      <c r="A49" s="94"/>
      <c r="B49" s="226"/>
      <c r="C49" s="226"/>
      <c r="D49" s="226"/>
      <c r="E49" s="226"/>
      <c r="P49" s="226"/>
    </row>
    <row r="50" spans="1:16" s="104" customFormat="1" ht="17.100000000000001" customHeight="1" x14ac:dyDescent="0.2">
      <c r="A50" s="94"/>
      <c r="B50" s="226"/>
      <c r="C50" s="226"/>
      <c r="D50" s="226"/>
      <c r="E50" s="226"/>
      <c r="P50" s="226"/>
    </row>
    <row r="51" spans="1:16" s="104" customFormat="1" ht="17.100000000000001" customHeight="1" x14ac:dyDescent="0.2">
      <c r="A51" s="94"/>
      <c r="B51" s="226"/>
      <c r="C51" s="226"/>
      <c r="D51" s="226"/>
      <c r="E51" s="226"/>
      <c r="P51" s="226"/>
    </row>
    <row r="52" spans="1:16" s="104" customFormat="1" ht="17.100000000000001" customHeight="1" x14ac:dyDescent="0.2">
      <c r="A52" s="94"/>
      <c r="B52" s="226"/>
      <c r="C52" s="226"/>
      <c r="D52" s="226"/>
      <c r="E52" s="226"/>
      <c r="P52" s="226"/>
    </row>
    <row r="53" spans="1:16" s="104" customFormat="1" ht="17.100000000000001" customHeight="1" x14ac:dyDescent="0.2">
      <c r="A53" s="94"/>
      <c r="B53" s="226"/>
      <c r="C53" s="226"/>
      <c r="D53" s="226"/>
      <c r="E53" s="226"/>
      <c r="P53" s="226"/>
    </row>
    <row r="54" spans="1:16" s="104" customFormat="1" ht="17.100000000000001" customHeight="1" x14ac:dyDescent="0.2">
      <c r="A54" s="94"/>
      <c r="B54" s="226"/>
      <c r="C54" s="226"/>
      <c r="D54" s="226"/>
      <c r="E54" s="226"/>
      <c r="P54" s="226"/>
    </row>
    <row r="55" spans="1:16" s="104" customFormat="1" ht="17.100000000000001" customHeight="1" x14ac:dyDescent="0.2">
      <c r="A55" s="94"/>
      <c r="B55" s="226"/>
      <c r="C55" s="226"/>
      <c r="D55" s="226"/>
      <c r="E55" s="226"/>
      <c r="P55" s="226"/>
    </row>
    <row r="56" spans="1:16" s="104" customFormat="1" ht="17.100000000000001" customHeight="1" x14ac:dyDescent="0.2">
      <c r="A56" s="94"/>
      <c r="B56" s="226"/>
      <c r="C56" s="226"/>
      <c r="D56" s="226"/>
      <c r="E56" s="226"/>
      <c r="P56" s="226"/>
    </row>
    <row r="57" spans="1:16" s="104" customFormat="1" ht="17.100000000000001" customHeight="1" x14ac:dyDescent="0.2">
      <c r="A57" s="94"/>
      <c r="B57" s="226"/>
      <c r="C57" s="226"/>
      <c r="D57" s="226"/>
      <c r="E57" s="226"/>
      <c r="P57" s="226"/>
    </row>
    <row r="58" spans="1:16" s="104" customFormat="1" ht="17.100000000000001" customHeight="1" x14ac:dyDescent="0.2">
      <c r="A58" s="94"/>
      <c r="B58" s="226"/>
      <c r="C58" s="226"/>
      <c r="D58" s="226"/>
      <c r="E58" s="226"/>
      <c r="P58" s="134"/>
    </row>
    <row r="59" spans="1:16" s="104" customFormat="1" ht="17.100000000000001" customHeight="1" x14ac:dyDescent="0.2">
      <c r="A59" s="94"/>
      <c r="B59" s="226"/>
      <c r="C59" s="226"/>
      <c r="D59" s="226"/>
      <c r="E59" s="226"/>
      <c r="P59" s="226"/>
    </row>
    <row r="60" spans="1:16" s="104" customFormat="1" ht="17.100000000000001" customHeight="1" x14ac:dyDescent="0.2">
      <c r="A60" s="94"/>
      <c r="B60" s="226"/>
      <c r="C60" s="226"/>
      <c r="D60" s="226"/>
      <c r="E60" s="226"/>
      <c r="P60" s="226"/>
    </row>
    <row r="61" spans="1:16" s="104" customFormat="1" ht="17.100000000000001" customHeight="1" x14ac:dyDescent="0.2">
      <c r="A61" s="135"/>
      <c r="B61" s="226"/>
      <c r="C61" s="226"/>
      <c r="D61" s="226"/>
      <c r="E61" s="226"/>
      <c r="P61" s="226"/>
    </row>
    <row r="62" spans="1:16" s="104" customFormat="1" ht="17.100000000000001" customHeight="1" x14ac:dyDescent="0.2">
      <c r="A62" s="135"/>
      <c r="B62" s="226"/>
      <c r="C62" s="226"/>
      <c r="D62" s="226"/>
      <c r="E62" s="226"/>
      <c r="P62" s="134"/>
    </row>
    <row r="63" spans="1:16" s="104" customFormat="1" ht="17.100000000000001" customHeight="1" x14ac:dyDescent="0.2">
      <c r="A63" s="135"/>
      <c r="B63" s="226"/>
      <c r="C63" s="226"/>
      <c r="D63" s="226"/>
      <c r="E63" s="226"/>
      <c r="P63" s="85"/>
    </row>
    <row r="64" spans="1:16" s="104" customFormat="1" ht="17.100000000000001" customHeight="1" x14ac:dyDescent="0.2">
      <c r="A64" s="135"/>
      <c r="B64" s="226"/>
      <c r="C64" s="226"/>
      <c r="D64" s="226"/>
      <c r="E64" s="226"/>
      <c r="P64" s="226"/>
    </row>
    <row r="65" spans="1:16" s="104" customFormat="1" ht="17.100000000000001" customHeight="1" x14ac:dyDescent="0.2">
      <c r="A65" s="105"/>
      <c r="B65" s="226"/>
      <c r="C65" s="226"/>
      <c r="D65" s="226"/>
      <c r="E65" s="226"/>
      <c r="P65" s="116"/>
    </row>
    <row r="66" spans="1:16" s="104" customFormat="1" ht="17.100000000000001" customHeight="1" x14ac:dyDescent="0.2">
      <c r="B66" s="226"/>
      <c r="C66" s="226"/>
      <c r="D66" s="226"/>
      <c r="E66" s="226"/>
      <c r="P66" s="133"/>
    </row>
    <row r="67" spans="1:16" s="104" customFormat="1" ht="17.100000000000001" customHeight="1" x14ac:dyDescent="0.2">
      <c r="B67" s="226"/>
      <c r="C67" s="226"/>
      <c r="D67" s="226"/>
      <c r="E67" s="226"/>
      <c r="P67" s="133"/>
    </row>
    <row r="68" spans="1:16" s="104" customFormat="1" ht="17.100000000000001" customHeight="1" x14ac:dyDescent="0.2">
      <c r="B68" s="226"/>
      <c r="C68" s="226"/>
      <c r="D68" s="226"/>
      <c r="E68" s="226"/>
      <c r="P68" s="133"/>
    </row>
    <row r="69" spans="1:16" s="104" customFormat="1" ht="17.100000000000001" customHeight="1" x14ac:dyDescent="0.2">
      <c r="B69" s="226"/>
      <c r="C69" s="226"/>
      <c r="D69" s="226"/>
      <c r="E69" s="226"/>
      <c r="P69" s="133"/>
    </row>
    <row r="70" spans="1:16" s="104" customFormat="1" ht="17.100000000000001" customHeight="1" x14ac:dyDescent="0.2">
      <c r="B70" s="226"/>
      <c r="C70" s="226"/>
      <c r="D70" s="226"/>
      <c r="E70" s="226"/>
      <c r="P70" s="133"/>
    </row>
    <row r="71" spans="1:16" s="104" customFormat="1" ht="17.100000000000001" customHeight="1" x14ac:dyDescent="0.2">
      <c r="B71" s="226"/>
      <c r="C71" s="226"/>
      <c r="D71" s="226"/>
      <c r="E71" s="226"/>
      <c r="P71" s="133"/>
    </row>
    <row r="72" spans="1:16" s="104" customFormat="1" ht="17.100000000000001" customHeight="1" x14ac:dyDescent="0.2">
      <c r="B72" s="237"/>
      <c r="C72" s="226"/>
      <c r="D72" s="226"/>
      <c r="E72" s="226"/>
      <c r="P72" s="133"/>
    </row>
    <row r="73" spans="1:16" s="104" customFormat="1" ht="17.100000000000001" customHeight="1" x14ac:dyDescent="0.2">
      <c r="B73" s="226"/>
      <c r="C73" s="226"/>
      <c r="D73" s="226"/>
      <c r="E73" s="226"/>
      <c r="P73" s="133"/>
    </row>
    <row r="74" spans="1:16" s="104" customFormat="1" ht="17.100000000000001" customHeight="1" x14ac:dyDescent="0.2">
      <c r="B74" s="236"/>
      <c r="C74" s="226"/>
      <c r="D74" s="226"/>
      <c r="E74" s="226"/>
      <c r="P74" s="133"/>
    </row>
    <row r="75" spans="1:16" s="104" customFormat="1" ht="17.100000000000001" customHeight="1" x14ac:dyDescent="0.2">
      <c r="B75" s="226"/>
      <c r="C75" s="226"/>
      <c r="D75" s="226"/>
      <c r="E75" s="226"/>
      <c r="P75" s="133"/>
    </row>
    <row r="76" spans="1:16" s="104" customFormat="1" ht="17.100000000000001" customHeight="1" x14ac:dyDescent="0.2">
      <c r="B76" s="226"/>
      <c r="C76" s="226"/>
      <c r="D76" s="226"/>
      <c r="E76" s="226"/>
      <c r="P76" s="133"/>
    </row>
    <row r="77" spans="1:16" s="104" customFormat="1" ht="17.100000000000001" customHeight="1" x14ac:dyDescent="0.2">
      <c r="B77" s="226"/>
      <c r="C77" s="226"/>
      <c r="D77" s="226"/>
      <c r="E77" s="226"/>
      <c r="P77" s="133"/>
    </row>
    <row r="78" spans="1:16" s="104" customFormat="1" ht="17.100000000000001" customHeight="1" x14ac:dyDescent="0.2">
      <c r="B78" s="113"/>
      <c r="C78" s="226"/>
      <c r="D78" s="226"/>
      <c r="E78" s="226"/>
      <c r="P78" s="133"/>
    </row>
    <row r="79" spans="1:16" s="104" customFormat="1" ht="17.100000000000001" customHeight="1" x14ac:dyDescent="0.2">
      <c r="B79" s="226"/>
      <c r="C79" s="226"/>
      <c r="D79" s="226"/>
      <c r="E79" s="226"/>
      <c r="P79" s="133"/>
    </row>
    <row r="80" spans="1:16" s="104" customFormat="1" ht="17.100000000000001" customHeight="1" x14ac:dyDescent="0.2">
      <c r="B80" s="226"/>
      <c r="C80" s="226"/>
      <c r="D80" s="226"/>
      <c r="E80" s="226"/>
      <c r="P80" s="133"/>
    </row>
    <row r="81" spans="2:16" s="104" customFormat="1" ht="17.100000000000001" customHeight="1" x14ac:dyDescent="0.2">
      <c r="B81" s="226"/>
      <c r="C81" s="226"/>
      <c r="D81" s="226"/>
      <c r="E81" s="226"/>
      <c r="P81" s="133"/>
    </row>
    <row r="82" spans="2:16" s="104" customFormat="1" ht="17.100000000000001" customHeight="1" x14ac:dyDescent="0.2">
      <c r="B82" s="226"/>
      <c r="C82" s="226"/>
      <c r="D82" s="226"/>
      <c r="E82" s="226"/>
      <c r="P82" s="133"/>
    </row>
    <row r="83" spans="2:16" s="104" customFormat="1" ht="17.100000000000001" customHeight="1" x14ac:dyDescent="0.2">
      <c r="B83" s="226"/>
      <c r="C83" s="226"/>
      <c r="D83" s="226"/>
      <c r="E83" s="226"/>
      <c r="P83" s="133"/>
    </row>
    <row r="84" spans="2:16" s="104" customFormat="1" ht="17.100000000000001" customHeight="1" x14ac:dyDescent="0.2">
      <c r="B84" s="226"/>
      <c r="C84" s="226"/>
      <c r="D84" s="226"/>
      <c r="E84" s="226"/>
      <c r="P84" s="133"/>
    </row>
    <row r="85" spans="2:16" s="104" customFormat="1" ht="17.100000000000001" customHeight="1" x14ac:dyDescent="0.2">
      <c r="B85" s="226"/>
      <c r="C85" s="226"/>
      <c r="D85" s="226"/>
      <c r="E85" s="226"/>
      <c r="P85" s="133"/>
    </row>
    <row r="86" spans="2:16" s="104" customFormat="1" ht="17.100000000000001" customHeight="1" x14ac:dyDescent="0.2">
      <c r="B86" s="226"/>
      <c r="C86" s="226"/>
      <c r="D86" s="226"/>
      <c r="E86" s="226"/>
      <c r="P86" s="133"/>
    </row>
    <row r="87" spans="2:16" s="104" customFormat="1" ht="17.100000000000001" customHeight="1" x14ac:dyDescent="0.2">
      <c r="B87" s="226"/>
      <c r="C87" s="226"/>
      <c r="D87" s="226"/>
      <c r="E87" s="226"/>
      <c r="P87" s="133"/>
    </row>
    <row r="88" spans="2:16" s="104" customFormat="1" ht="17.100000000000001" customHeight="1" x14ac:dyDescent="0.2">
      <c r="B88" s="226"/>
      <c r="C88" s="226"/>
      <c r="D88" s="226"/>
      <c r="E88" s="226"/>
      <c r="P88" s="133"/>
    </row>
    <row r="89" spans="2:16" s="104" customFormat="1" ht="17.100000000000001" customHeight="1" x14ac:dyDescent="0.2">
      <c r="B89" s="226"/>
      <c r="C89" s="226"/>
      <c r="D89" s="226"/>
      <c r="E89" s="226"/>
      <c r="P89" s="133"/>
    </row>
    <row r="90" spans="2:16" s="104" customFormat="1" ht="17.100000000000001" customHeight="1" x14ac:dyDescent="0.2">
      <c r="B90" s="226"/>
      <c r="C90" s="226"/>
      <c r="D90" s="226"/>
      <c r="E90" s="226"/>
      <c r="P90" s="133"/>
    </row>
    <row r="91" spans="2:16" s="104" customFormat="1" ht="17.100000000000001" customHeight="1" x14ac:dyDescent="0.2">
      <c r="B91" s="226"/>
      <c r="C91" s="226"/>
      <c r="D91" s="226"/>
      <c r="E91" s="226"/>
      <c r="P91" s="133"/>
    </row>
    <row r="92" spans="2:16" s="104" customFormat="1" ht="17.100000000000001" customHeight="1" x14ac:dyDescent="0.2">
      <c r="B92" s="226"/>
      <c r="C92" s="226"/>
      <c r="D92" s="226"/>
      <c r="E92" s="226"/>
      <c r="P92" s="133"/>
    </row>
    <row r="93" spans="2:16" s="104" customFormat="1" ht="17.100000000000001" customHeight="1" x14ac:dyDescent="0.2">
      <c r="B93" s="226"/>
      <c r="C93" s="226"/>
      <c r="D93" s="226"/>
      <c r="E93" s="226"/>
      <c r="P93" s="133"/>
    </row>
    <row r="94" spans="2:16" s="104" customFormat="1" ht="17.100000000000001" customHeight="1" x14ac:dyDescent="0.2">
      <c r="B94" s="226"/>
      <c r="C94" s="226"/>
      <c r="D94" s="226"/>
      <c r="E94" s="226"/>
      <c r="P94" s="133"/>
    </row>
    <row r="95" spans="2:16" s="104" customFormat="1" ht="17.100000000000001" customHeight="1" x14ac:dyDescent="0.2">
      <c r="B95" s="226"/>
      <c r="C95" s="226"/>
      <c r="D95" s="226"/>
      <c r="E95" s="226"/>
      <c r="P95" s="226"/>
    </row>
    <row r="96" spans="2:16" s="104" customFormat="1" ht="17.100000000000001" customHeight="1" x14ac:dyDescent="0.2">
      <c r="B96" s="226"/>
      <c r="C96" s="226"/>
      <c r="D96" s="226"/>
      <c r="E96" s="226"/>
      <c r="P96" s="226"/>
    </row>
    <row r="97" spans="2:16" s="104" customFormat="1" ht="17.100000000000001" customHeight="1" x14ac:dyDescent="0.2">
      <c r="B97" s="226"/>
      <c r="C97" s="226"/>
      <c r="D97" s="226"/>
      <c r="E97" s="226"/>
      <c r="P97" s="226"/>
    </row>
    <row r="98" spans="2:16" s="104" customFormat="1" ht="17.100000000000001" customHeight="1" x14ac:dyDescent="0.2">
      <c r="B98" s="226"/>
      <c r="C98" s="226"/>
      <c r="D98" s="226"/>
      <c r="E98" s="226"/>
      <c r="P98" s="226"/>
    </row>
    <row r="99" spans="2:16" s="104" customFormat="1" ht="17.100000000000001" customHeight="1" x14ac:dyDescent="0.2">
      <c r="B99" s="226"/>
      <c r="C99" s="226"/>
      <c r="D99" s="226"/>
      <c r="E99" s="226"/>
      <c r="P99" s="226"/>
    </row>
    <row r="100" spans="2:16" s="104" customFormat="1" ht="17.100000000000001" customHeight="1" x14ac:dyDescent="0.2">
      <c r="B100" s="226"/>
      <c r="C100" s="226"/>
      <c r="D100" s="226"/>
      <c r="E100" s="226"/>
      <c r="P100" s="226"/>
    </row>
    <row r="101" spans="2:16" s="104" customFormat="1" ht="17.100000000000001" customHeight="1" x14ac:dyDescent="0.2">
      <c r="B101" s="226"/>
      <c r="C101" s="226"/>
      <c r="D101" s="226"/>
      <c r="E101" s="226"/>
      <c r="P101" s="226"/>
    </row>
    <row r="102" spans="2:16" s="104" customFormat="1" ht="17.100000000000001" customHeight="1" x14ac:dyDescent="0.2">
      <c r="B102" s="226"/>
      <c r="C102" s="226"/>
      <c r="D102" s="226"/>
      <c r="E102" s="226"/>
      <c r="P102" s="226"/>
    </row>
    <row r="103" spans="2:16" s="104" customFormat="1" ht="17.100000000000001" customHeight="1" x14ac:dyDescent="0.2">
      <c r="B103" s="226"/>
      <c r="C103" s="226"/>
      <c r="D103" s="226"/>
      <c r="E103" s="226"/>
      <c r="P103" s="226"/>
    </row>
    <row r="104" spans="2:16" s="104" customFormat="1" ht="17.100000000000001" customHeight="1" x14ac:dyDescent="0.2">
      <c r="B104" s="226"/>
      <c r="C104" s="226"/>
      <c r="D104" s="226"/>
      <c r="E104" s="226"/>
      <c r="P104" s="226"/>
    </row>
    <row r="105" spans="2:16" s="104" customFormat="1" ht="17.100000000000001" customHeight="1" x14ac:dyDescent="0.2">
      <c r="B105" s="226"/>
      <c r="C105" s="226"/>
      <c r="D105" s="226"/>
      <c r="E105" s="226"/>
      <c r="P105" s="226"/>
    </row>
    <row r="106" spans="2:16" s="104" customFormat="1" ht="17.100000000000001" customHeight="1" x14ac:dyDescent="0.2">
      <c r="B106" s="226"/>
      <c r="C106" s="226"/>
      <c r="D106" s="226"/>
      <c r="E106" s="226"/>
      <c r="P106" s="226"/>
    </row>
    <row r="107" spans="2:16" s="104" customFormat="1" ht="17.100000000000001" customHeight="1" x14ac:dyDescent="0.2">
      <c r="B107" s="226"/>
      <c r="C107" s="226"/>
      <c r="D107" s="226"/>
      <c r="E107" s="226"/>
      <c r="P107" s="226"/>
    </row>
    <row r="108" spans="2:16" s="104" customFormat="1" ht="17.100000000000001" customHeight="1" x14ac:dyDescent="0.2">
      <c r="B108" s="226"/>
      <c r="C108" s="226"/>
      <c r="D108" s="226"/>
      <c r="E108" s="226"/>
      <c r="P108" s="226"/>
    </row>
    <row r="109" spans="2:16" s="104" customFormat="1" ht="17.100000000000001" customHeight="1" x14ac:dyDescent="0.2">
      <c r="B109" s="226"/>
      <c r="C109" s="226"/>
      <c r="D109" s="226"/>
      <c r="E109" s="226"/>
      <c r="P109" s="226"/>
    </row>
    <row r="110" spans="2:16" s="104" customFormat="1" ht="17.100000000000001" customHeight="1" x14ac:dyDescent="0.2">
      <c r="B110" s="226"/>
      <c r="C110" s="226"/>
      <c r="D110" s="226"/>
      <c r="E110" s="226"/>
      <c r="P110" s="226"/>
    </row>
    <row r="111" spans="2:16" s="104" customFormat="1" ht="17.100000000000001" customHeight="1" x14ac:dyDescent="0.2">
      <c r="B111" s="226"/>
      <c r="C111" s="226"/>
      <c r="D111" s="226"/>
      <c r="E111" s="226"/>
      <c r="P111" s="226"/>
    </row>
    <row r="112" spans="2:16" s="104" customFormat="1" ht="17.100000000000001" customHeight="1" x14ac:dyDescent="0.2">
      <c r="B112" s="226"/>
      <c r="C112" s="226"/>
      <c r="D112" s="226"/>
      <c r="E112" s="226"/>
      <c r="P112" s="226"/>
    </row>
    <row r="113" spans="1:16" s="104" customFormat="1" ht="17.100000000000001" customHeight="1" x14ac:dyDescent="0.2">
      <c r="B113" s="226"/>
      <c r="C113" s="226"/>
      <c r="D113" s="226"/>
      <c r="E113" s="226"/>
      <c r="P113" s="226"/>
    </row>
    <row r="114" spans="1:16" s="104" customFormat="1" ht="17.100000000000001" customHeight="1" x14ac:dyDescent="0.2">
      <c r="B114" s="226"/>
      <c r="C114" s="226"/>
      <c r="D114" s="226"/>
      <c r="E114" s="226"/>
      <c r="P114" s="226"/>
    </row>
    <row r="115" spans="1:16" s="104" customFormat="1" ht="17.100000000000001" customHeight="1" x14ac:dyDescent="0.2">
      <c r="B115" s="226"/>
      <c r="C115" s="226"/>
      <c r="D115" s="226"/>
      <c r="E115" s="226"/>
      <c r="P115" s="226"/>
    </row>
    <row r="116" spans="1:16" s="104" customFormat="1" ht="17.100000000000001" customHeight="1" x14ac:dyDescent="0.2">
      <c r="B116" s="226"/>
      <c r="C116" s="226"/>
      <c r="D116" s="226"/>
      <c r="E116" s="226"/>
      <c r="P116" s="226"/>
    </row>
    <row r="117" spans="1:16" s="104" customFormat="1" ht="17.100000000000001" customHeight="1" x14ac:dyDescent="0.2">
      <c r="B117" s="226"/>
      <c r="C117" s="226"/>
      <c r="D117" s="226"/>
      <c r="E117" s="226"/>
      <c r="P117" s="226"/>
    </row>
    <row r="118" spans="1:16" s="104" customFormat="1" ht="17.100000000000001" customHeight="1" x14ac:dyDescent="0.2">
      <c r="B118" s="226"/>
      <c r="C118" s="226"/>
      <c r="D118" s="226"/>
      <c r="E118" s="226"/>
      <c r="P118" s="226"/>
    </row>
    <row r="119" spans="1:16" s="104" customFormat="1" ht="17.100000000000001" customHeight="1" x14ac:dyDescent="0.2">
      <c r="B119" s="226"/>
      <c r="C119" s="226"/>
      <c r="D119" s="226"/>
      <c r="E119" s="226"/>
      <c r="P119" s="226"/>
    </row>
    <row r="120" spans="1:16" s="104" customFormat="1" ht="17.100000000000001" customHeight="1" x14ac:dyDescent="0.2">
      <c r="B120" s="226"/>
      <c r="C120" s="226"/>
      <c r="D120" s="226"/>
      <c r="E120" s="226"/>
      <c r="P120" s="226"/>
    </row>
    <row r="121" spans="1:16" ht="17.100000000000001" customHeight="1" x14ac:dyDescent="0.2">
      <c r="A121" s="104"/>
      <c r="G121" s="104"/>
      <c r="H121" s="104"/>
      <c r="I121" s="104"/>
      <c r="J121" s="104"/>
      <c r="K121" s="104"/>
    </row>
    <row r="122" spans="1:16" x14ac:dyDescent="0.2">
      <c r="A122" s="104"/>
    </row>
    <row r="123" spans="1:16" x14ac:dyDescent="0.2">
      <c r="A123" s="104"/>
    </row>
    <row r="124" spans="1:16" x14ac:dyDescent="0.2">
      <c r="A124" s="104"/>
    </row>
    <row r="125" spans="1:16" x14ac:dyDescent="0.2">
      <c r="A125" s="104"/>
    </row>
    <row r="126" spans="1:16" x14ac:dyDescent="0.2">
      <c r="A126" s="104"/>
    </row>
    <row r="127" spans="1:16" x14ac:dyDescent="0.2">
      <c r="A127" s="104"/>
    </row>
    <row r="128" spans="1:16" x14ac:dyDescent="0.2">
      <c r="A128" s="104"/>
    </row>
    <row r="129" spans="1:1" x14ac:dyDescent="0.2">
      <c r="A129" s="104"/>
    </row>
  </sheetData>
  <conditionalFormatting sqref="A1:E1 G1:J1">
    <cfRule type="cellIs" dxfId="5" priority="19" stopIfTrue="1" operator="notEqual">
      <formula>0</formula>
    </cfRule>
  </conditionalFormatting>
  <conditionalFormatting sqref="K1">
    <cfRule type="cellIs" dxfId="4" priority="15" stopIfTrue="1" operator="notEqual">
      <formula>0</formula>
    </cfRule>
  </conditionalFormatting>
  <conditionalFormatting sqref="F1">
    <cfRule type="cellIs" dxfId="3" priority="5" stopIfTrue="1" operator="notEqual">
      <formula>0</formula>
    </cfRule>
  </conditionalFormatting>
  <conditionalFormatting sqref="L1:N1">
    <cfRule type="cellIs" dxfId="2" priority="4" stopIfTrue="1" operator="notEqual">
      <formula>0</formula>
    </cfRule>
  </conditionalFormatting>
  <conditionalFormatting sqref="O1">
    <cfRule type="cellIs" dxfId="1" priority="2" stopIfTrue="1" operator="notEqual">
      <formula>0</formula>
    </cfRule>
  </conditionalFormatting>
  <printOptions horizontalCentered="1"/>
  <pageMargins left="0.7" right="0.7" top="0.75" bottom="1" header="0.3" footer="0.3"/>
  <pageSetup scale="35" orientation="portrait" r:id="rId1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46"/>
  <sheetViews>
    <sheetView zoomScaleNormal="100" workbookViewId="0">
      <selection activeCell="A2" sqref="A2:C46"/>
    </sheetView>
  </sheetViews>
  <sheetFormatPr defaultColWidth="9.28515625" defaultRowHeight="15" x14ac:dyDescent="0.25"/>
  <cols>
    <col min="1" max="1" width="6" style="217" bestFit="1" customWidth="1"/>
    <col min="2" max="2" width="51.5703125" style="217" customWidth="1"/>
    <col min="3" max="3" width="29.28515625" style="217" customWidth="1"/>
    <col min="4" max="4" width="19" style="217" bestFit="1" customWidth="1"/>
    <col min="5" max="5" width="11.28515625" bestFit="1" customWidth="1"/>
    <col min="6" max="6" width="18.140625" bestFit="1" customWidth="1"/>
    <col min="7" max="7" width="15.42578125" bestFit="1" customWidth="1"/>
    <col min="9" max="16384" width="9.28515625" style="84"/>
  </cols>
  <sheetData>
    <row r="1" spans="1:8" ht="15.75" thickBot="1" x14ac:dyDescent="0.3">
      <c r="B1" s="34"/>
      <c r="C1" s="34"/>
    </row>
    <row r="2" spans="1:8" ht="21.75" customHeight="1" thickBot="1" x14ac:dyDescent="0.3">
      <c r="B2" s="34"/>
      <c r="C2" s="289" t="s">
        <v>509</v>
      </c>
      <c r="D2" s="94"/>
    </row>
    <row r="3" spans="1:8" ht="10.5" customHeight="1" x14ac:dyDescent="0.25">
      <c r="B3" s="34"/>
      <c r="C3" s="290"/>
      <c r="D3" s="94"/>
    </row>
    <row r="4" spans="1:8" x14ac:dyDescent="0.25">
      <c r="A4" s="34" t="s">
        <v>57</v>
      </c>
      <c r="B4" s="34"/>
      <c r="C4" s="34"/>
    </row>
    <row r="5" spans="1:8" x14ac:dyDescent="0.25">
      <c r="A5" s="184" t="s">
        <v>653</v>
      </c>
      <c r="B5" s="184"/>
      <c r="C5" s="184"/>
    </row>
    <row r="6" spans="1:8" x14ac:dyDescent="0.25">
      <c r="A6" s="252" t="str">
        <f>+'ERF Main Summary'!A4</f>
        <v>FOR THE TWELVE MONTHS ENDED JUNE 30, 2018</v>
      </c>
      <c r="B6" s="252"/>
      <c r="C6" s="252"/>
      <c r="D6" s="690"/>
      <c r="E6" s="94"/>
      <c r="F6" s="94"/>
      <c r="G6" s="94"/>
      <c r="H6" s="94"/>
    </row>
    <row r="7" spans="1:8" x14ac:dyDescent="0.25">
      <c r="A7" s="252" t="str">
        <f>+_CaseName</f>
        <v>EXPEDITED RATE FILING</v>
      </c>
      <c r="B7" s="252"/>
      <c r="C7" s="216"/>
    </row>
    <row r="8" spans="1:8" x14ac:dyDescent="0.25">
      <c r="A8" s="282"/>
      <c r="B8" s="282"/>
      <c r="C8" s="215"/>
    </row>
    <row r="9" spans="1:8" x14ac:dyDescent="0.25">
      <c r="A9" s="283" t="s">
        <v>32</v>
      </c>
      <c r="B9" s="285"/>
      <c r="C9" s="214" t="s">
        <v>64</v>
      </c>
    </row>
    <row r="10" spans="1:8" x14ac:dyDescent="0.25">
      <c r="A10" s="213" t="s">
        <v>34</v>
      </c>
      <c r="B10" s="286"/>
      <c r="C10" s="213" t="s">
        <v>62</v>
      </c>
    </row>
    <row r="11" spans="1:8" x14ac:dyDescent="0.25">
      <c r="A11" s="211"/>
      <c r="B11" s="278"/>
      <c r="C11" s="212"/>
    </row>
    <row r="12" spans="1:8" x14ac:dyDescent="0.25">
      <c r="A12" s="284">
        <v>1</v>
      </c>
      <c r="B12" s="279" t="s">
        <v>4</v>
      </c>
      <c r="C12" s="211"/>
    </row>
    <row r="13" spans="1:8" x14ac:dyDescent="0.25">
      <c r="A13" s="284">
        <f t="shared" ref="A13:A46" si="0">+A12+1</f>
        <v>2</v>
      </c>
      <c r="B13" s="280" t="s">
        <v>5</v>
      </c>
      <c r="C13" s="293">
        <f>-'[16]A-1 June 2018 '!M12</f>
        <v>-724521412.41610312</v>
      </c>
    </row>
    <row r="14" spans="1:8" x14ac:dyDescent="0.25">
      <c r="A14" s="284">
        <f t="shared" si="0"/>
        <v>3</v>
      </c>
      <c r="B14" s="280" t="s">
        <v>6</v>
      </c>
      <c r="C14" s="208">
        <f>-'[16]A-1 June 2018 '!M13</f>
        <v>0</v>
      </c>
    </row>
    <row r="15" spans="1:8" x14ac:dyDescent="0.25">
      <c r="A15" s="284">
        <f t="shared" si="0"/>
        <v>4</v>
      </c>
      <c r="B15" s="280" t="s">
        <v>7</v>
      </c>
      <c r="C15" s="207">
        <f>-'[16]A-1 June 2018 '!M14</f>
        <v>-61442897.548596002</v>
      </c>
    </row>
    <row r="16" spans="1:8" x14ac:dyDescent="0.25">
      <c r="A16" s="284">
        <f t="shared" si="0"/>
        <v>5</v>
      </c>
      <c r="B16" s="280" t="s">
        <v>8</v>
      </c>
      <c r="C16" s="206">
        <f>-'[16]A-1 June 2018 '!M15</f>
        <v>-13961272.227181884</v>
      </c>
    </row>
    <row r="17" spans="1:3" x14ac:dyDescent="0.25">
      <c r="A17" s="284">
        <f t="shared" si="0"/>
        <v>6</v>
      </c>
      <c r="B17" s="280" t="s">
        <v>9</v>
      </c>
      <c r="C17" s="207">
        <f>SUM(C13:C16)</f>
        <v>-799925582.19188106</v>
      </c>
    </row>
    <row r="18" spans="1:3" x14ac:dyDescent="0.25">
      <c r="A18" s="284">
        <f t="shared" si="0"/>
        <v>7</v>
      </c>
      <c r="B18" s="278"/>
      <c r="C18" s="207"/>
    </row>
    <row r="19" spans="1:3" x14ac:dyDescent="0.25">
      <c r="A19" s="284">
        <f t="shared" si="0"/>
        <v>8</v>
      </c>
      <c r="B19" s="280" t="s">
        <v>10</v>
      </c>
      <c r="C19" s="207"/>
    </row>
    <row r="20" spans="1:3" x14ac:dyDescent="0.25">
      <c r="A20" s="284">
        <f t="shared" si="0"/>
        <v>9</v>
      </c>
      <c r="B20" s="278"/>
      <c r="C20" s="207"/>
    </row>
    <row r="21" spans="1:3" x14ac:dyDescent="0.25">
      <c r="A21" s="284">
        <f t="shared" si="0"/>
        <v>10</v>
      </c>
      <c r="B21" s="279" t="s">
        <v>11</v>
      </c>
      <c r="C21" s="207"/>
    </row>
    <row r="22" spans="1:3" x14ac:dyDescent="0.25">
      <c r="A22" s="284">
        <f t="shared" si="0"/>
        <v>11</v>
      </c>
      <c r="B22" s="280" t="s">
        <v>46</v>
      </c>
      <c r="C22" s="207">
        <f>-'[16]A-1 June 2018 '!M21</f>
        <v>-208443243.26519346</v>
      </c>
    </row>
    <row r="23" spans="1:3" x14ac:dyDescent="0.25">
      <c r="A23" s="284">
        <f t="shared" si="0"/>
        <v>12</v>
      </c>
      <c r="B23" s="280" t="s">
        <v>0</v>
      </c>
      <c r="C23" s="207">
        <f>-'[16]A-1 June 2018 '!M22</f>
        <v>-434843424.46961474</v>
      </c>
    </row>
    <row r="24" spans="1:3" x14ac:dyDescent="0.25">
      <c r="A24" s="284">
        <f t="shared" si="0"/>
        <v>13</v>
      </c>
      <c r="B24" s="280" t="s">
        <v>49</v>
      </c>
      <c r="C24" s="207">
        <f>-'[16]A-1 June 2018 '!M23</f>
        <v>-110806488.07763225</v>
      </c>
    </row>
    <row r="25" spans="1:3" x14ac:dyDescent="0.25">
      <c r="A25" s="284">
        <f t="shared" si="0"/>
        <v>14</v>
      </c>
      <c r="B25" s="278" t="s">
        <v>15</v>
      </c>
      <c r="C25" s="208">
        <f>-'[16]A-1 June 2018 '!M24</f>
        <v>0</v>
      </c>
    </row>
    <row r="26" spans="1:3" x14ac:dyDescent="0.25">
      <c r="A26" s="284">
        <f t="shared" si="0"/>
        <v>15</v>
      </c>
      <c r="B26" s="280" t="s">
        <v>16</v>
      </c>
      <c r="C26" s="210">
        <f>SUM(C22:C25)</f>
        <v>-754093155.8124404</v>
      </c>
    </row>
    <row r="27" spans="1:3" x14ac:dyDescent="0.25">
      <c r="A27" s="284">
        <f t="shared" si="0"/>
        <v>16</v>
      </c>
      <c r="B27" s="280"/>
      <c r="C27" s="207"/>
    </row>
    <row r="28" spans="1:3" x14ac:dyDescent="0.25">
      <c r="A28" s="284">
        <f t="shared" si="0"/>
        <v>17</v>
      </c>
      <c r="B28" s="280" t="s">
        <v>1</v>
      </c>
      <c r="C28" s="207">
        <f>-'[16]A-1 June 2018 '!M27</f>
        <v>0</v>
      </c>
    </row>
    <row r="29" spans="1:3" x14ac:dyDescent="0.25">
      <c r="A29" s="284">
        <f t="shared" si="0"/>
        <v>18</v>
      </c>
      <c r="B29" s="280" t="s">
        <v>17</v>
      </c>
      <c r="C29" s="207">
        <f>-'[16]A-1 June 2018 '!M28</f>
        <v>0</v>
      </c>
    </row>
    <row r="30" spans="1:3" x14ac:dyDescent="0.25">
      <c r="A30" s="284">
        <f t="shared" si="0"/>
        <v>19</v>
      </c>
      <c r="B30" s="280" t="s">
        <v>18</v>
      </c>
      <c r="C30" s="208">
        <f>-'[16]A-1 June 2018 '!M29</f>
        <v>0</v>
      </c>
    </row>
    <row r="31" spans="1:3" x14ac:dyDescent="0.25">
      <c r="A31" s="284">
        <f t="shared" si="0"/>
        <v>20</v>
      </c>
      <c r="B31" s="280" t="s">
        <v>3</v>
      </c>
      <c r="C31" s="207">
        <f>-'[16]A-1 June 2018 '!M30</f>
        <v>-5810661.7275771461</v>
      </c>
    </row>
    <row r="32" spans="1:3" x14ac:dyDescent="0.25">
      <c r="A32" s="284">
        <f t="shared" si="0"/>
        <v>21</v>
      </c>
      <c r="B32" s="280" t="s">
        <v>20</v>
      </c>
      <c r="C32" s="208">
        <f>-'[16]A-1 June 2018 '!M31</f>
        <v>0</v>
      </c>
    </row>
    <row r="33" spans="1:3" x14ac:dyDescent="0.25">
      <c r="A33" s="284">
        <f t="shared" si="0"/>
        <v>22</v>
      </c>
      <c r="B33" s="280" t="s">
        <v>21</v>
      </c>
      <c r="C33" s="208">
        <f>-'[16]A-1 June 2018 '!M32</f>
        <v>0</v>
      </c>
    </row>
    <row r="34" spans="1:3" x14ac:dyDescent="0.25">
      <c r="A34" s="284">
        <f t="shared" si="0"/>
        <v>23</v>
      </c>
      <c r="B34" s="280" t="s">
        <v>22</v>
      </c>
      <c r="C34" s="207">
        <f>-'[16]A-1 June 2018 '!M33</f>
        <v>-1449042.8248322064</v>
      </c>
    </row>
    <row r="35" spans="1:3" x14ac:dyDescent="0.25">
      <c r="A35" s="284">
        <f t="shared" si="0"/>
        <v>24</v>
      </c>
      <c r="B35" s="280" t="s">
        <v>59</v>
      </c>
      <c r="C35" s="207">
        <f>-'[16]A-1 June 2018 '!M34</f>
        <v>0</v>
      </c>
    </row>
    <row r="36" spans="1:3" x14ac:dyDescent="0.25">
      <c r="A36" s="284">
        <f t="shared" si="0"/>
        <v>25</v>
      </c>
      <c r="B36" s="280" t="s">
        <v>41</v>
      </c>
      <c r="C36" s="207">
        <f>-'[16]A-1 June 2018 '!M35</f>
        <v>0</v>
      </c>
    </row>
    <row r="37" spans="1:3" x14ac:dyDescent="0.25">
      <c r="A37" s="284">
        <f t="shared" si="0"/>
        <v>26</v>
      </c>
      <c r="B37" s="281" t="s">
        <v>58</v>
      </c>
      <c r="C37" s="207">
        <f>-'[16]A-1 June 2018 '!M36</f>
        <v>0</v>
      </c>
    </row>
    <row r="38" spans="1:3" x14ac:dyDescent="0.25">
      <c r="A38" s="284">
        <f t="shared" si="0"/>
        <v>27</v>
      </c>
      <c r="B38" s="280" t="s">
        <v>23</v>
      </c>
      <c r="C38" s="207">
        <f>-'[16]A-1 June 2018 '!M37</f>
        <v>0</v>
      </c>
    </row>
    <row r="39" spans="1:3" x14ac:dyDescent="0.25">
      <c r="A39" s="284">
        <f t="shared" si="0"/>
        <v>28</v>
      </c>
      <c r="B39" s="280" t="s">
        <v>60</v>
      </c>
      <c r="C39" s="208">
        <f>-'[16]A-1 June 2018 '!M38</f>
        <v>0</v>
      </c>
    </row>
    <row r="40" spans="1:3" x14ac:dyDescent="0.25">
      <c r="A40" s="284">
        <f t="shared" si="0"/>
        <v>29</v>
      </c>
      <c r="B40" s="280" t="s">
        <v>52</v>
      </c>
      <c r="C40" s="207">
        <f>-'[16]A-1 June 2018 '!M39</f>
        <v>-29197002.106144242</v>
      </c>
    </row>
    <row r="41" spans="1:3" x14ac:dyDescent="0.25">
      <c r="A41" s="284">
        <f t="shared" si="0"/>
        <v>30</v>
      </c>
      <c r="B41" s="280" t="s">
        <v>24</v>
      </c>
      <c r="C41" s="207">
        <f>-'[16]A-1 June 2018 '!M40</f>
        <v>-1968901.1413862524</v>
      </c>
    </row>
    <row r="42" spans="1:3" x14ac:dyDescent="0.25">
      <c r="A42" s="284">
        <f t="shared" si="0"/>
        <v>31</v>
      </c>
      <c r="B42" s="278" t="s">
        <v>25</v>
      </c>
      <c r="C42" s="208">
        <f>-'[16]A-1 June 2018 '!M41</f>
        <v>0</v>
      </c>
    </row>
    <row r="43" spans="1:3" x14ac:dyDescent="0.25">
      <c r="A43" s="284">
        <f t="shared" si="0"/>
        <v>32</v>
      </c>
      <c r="B43" s="280" t="s">
        <v>26</v>
      </c>
      <c r="C43" s="209">
        <f>SUM(C26:C42)</f>
        <v>-792518763.61238015</v>
      </c>
    </row>
    <row r="44" spans="1:3" x14ac:dyDescent="0.25">
      <c r="A44" s="284">
        <f t="shared" si="0"/>
        <v>33</v>
      </c>
      <c r="B44" s="278"/>
      <c r="C44" s="207"/>
    </row>
    <row r="45" spans="1:3" x14ac:dyDescent="0.25">
      <c r="A45" s="284">
        <f t="shared" si="0"/>
        <v>34</v>
      </c>
      <c r="B45" s="278" t="s">
        <v>27</v>
      </c>
      <c r="C45" s="649">
        <f>C17-C43</f>
        <v>-7406818.5795009136</v>
      </c>
    </row>
    <row r="46" spans="1:3" x14ac:dyDescent="0.25">
      <c r="A46" s="722">
        <f t="shared" si="0"/>
        <v>35</v>
      </c>
      <c r="B46" s="723"/>
      <c r="C46" s="724"/>
    </row>
  </sheetData>
  <printOptions horizontalCentered="1"/>
  <pageMargins left="0.95" right="0.45" top="0.75" bottom="0.25" header="0.3" footer="0.3"/>
  <pageSetup orientation="portrait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N128"/>
  <sheetViews>
    <sheetView zoomScale="85" zoomScaleNormal="85" workbookViewId="0">
      <pane xSplit="1" ySplit="1" topLeftCell="DT11" activePane="bottomRight" state="frozen"/>
      <selection activeCell="D69" sqref="D67:E69"/>
      <selection pane="topRight" activeCell="D69" sqref="D67:E69"/>
      <selection pane="bottomLeft" activeCell="D69" sqref="D67:E69"/>
      <selection pane="bottomRight" activeCell="CO3" sqref="CO3:CS25"/>
    </sheetView>
  </sheetViews>
  <sheetFormatPr defaultColWidth="21.140625" defaultRowHeight="15" customHeight="1" outlineLevelCol="1" x14ac:dyDescent="0.2"/>
  <cols>
    <col min="1" max="1" width="10" style="226" bestFit="1" customWidth="1"/>
    <col min="2" max="2" width="31.5703125" style="226" customWidth="1"/>
    <col min="3" max="3" width="17.42578125" style="226" customWidth="1"/>
    <col min="4" max="4" width="19" style="226" bestFit="1" customWidth="1"/>
    <col min="5" max="5" width="18.85546875" style="226" bestFit="1" customWidth="1"/>
    <col min="6" max="6" width="19.42578125" style="226" bestFit="1" customWidth="1"/>
    <col min="7" max="7" width="15.85546875" style="226" bestFit="1" customWidth="1"/>
    <col min="8" max="8" width="6.140625" style="226" bestFit="1" customWidth="1"/>
    <col min="9" max="9" width="67.85546875" style="226" customWidth="1"/>
    <col min="10" max="10" width="16.7109375" style="226" customWidth="1"/>
    <col min="11" max="11" width="18" style="226" bestFit="1" customWidth="1"/>
    <col min="12" max="12" width="19" style="226" bestFit="1" customWidth="1"/>
    <col min="13" max="13" width="6.85546875" style="226" customWidth="1"/>
    <col min="14" max="14" width="51.7109375" style="226" customWidth="1"/>
    <col min="15" max="15" width="20.85546875" style="226" customWidth="1"/>
    <col min="16" max="16" width="17.7109375" style="226" customWidth="1"/>
    <col min="17" max="17" width="6.85546875" style="226" customWidth="1"/>
    <col min="18" max="18" width="37.140625" style="226" bestFit="1" customWidth="1"/>
    <col min="19" max="19" width="21.42578125" style="226" customWidth="1"/>
    <col min="20" max="20" width="18.140625" style="226" bestFit="1" customWidth="1"/>
    <col min="21" max="21" width="6.85546875" style="226" customWidth="1"/>
    <col min="22" max="22" width="55.42578125" style="226" customWidth="1"/>
    <col min="23" max="23" width="7" style="226" customWidth="1"/>
    <col min="24" max="24" width="17.140625" style="226" customWidth="1"/>
    <col min="25" max="25" width="18.42578125" style="226" customWidth="1"/>
    <col min="26" max="26" width="6.42578125" style="226" customWidth="1"/>
    <col min="27" max="27" width="62" style="226" customWidth="1"/>
    <col min="28" max="28" width="9.140625" style="226" customWidth="1"/>
    <col min="29" max="30" width="15.7109375" style="226" customWidth="1"/>
    <col min="31" max="31" width="6.85546875" style="226" customWidth="1"/>
    <col min="32" max="32" width="46.42578125" style="226" customWidth="1"/>
    <col min="33" max="33" width="17.7109375" style="226" bestFit="1" customWidth="1"/>
    <col min="34" max="34" width="21.42578125" style="226" hidden="1" customWidth="1" outlineLevel="1"/>
    <col min="35" max="36" width="18.42578125" style="226" hidden="1" customWidth="1" outlineLevel="1"/>
    <col min="37" max="37" width="16.42578125" style="226" hidden="1" customWidth="1" outlineLevel="1"/>
    <col min="38" max="38" width="21.42578125" style="226" bestFit="1" customWidth="1" collapsed="1"/>
    <col min="39" max="39" width="17.85546875" style="226" customWidth="1"/>
    <col min="40" max="40" width="6.85546875" style="226" customWidth="1"/>
    <col min="41" max="41" width="49.85546875" style="226" bestFit="1" customWidth="1"/>
    <col min="42" max="42" width="20.7109375" style="226" customWidth="1"/>
    <col min="43" max="43" width="19.28515625" style="226" customWidth="1"/>
    <col min="44" max="44" width="18.42578125" style="226" bestFit="1" customWidth="1"/>
    <col min="45" max="45" width="5.85546875" style="157" customWidth="1"/>
    <col min="46" max="46" width="59.85546875" style="157" customWidth="1"/>
    <col min="47" max="47" width="8" style="157" customWidth="1"/>
    <col min="48" max="48" width="22.7109375" style="157" customWidth="1"/>
    <col min="49" max="49" width="5.85546875" style="157" customWidth="1"/>
    <col min="50" max="50" width="55.140625" style="157" customWidth="1"/>
    <col min="51" max="53" width="17" style="157" customWidth="1"/>
    <col min="54" max="54" width="6.85546875" style="226" customWidth="1"/>
    <col min="55" max="55" width="36.140625" style="226" customWidth="1"/>
    <col min="56" max="56" width="16.140625" style="226" customWidth="1"/>
    <col min="57" max="57" width="18.85546875" style="226" customWidth="1"/>
    <col min="58" max="58" width="6.85546875" style="226" customWidth="1"/>
    <col min="59" max="59" width="39.42578125" style="226" customWidth="1"/>
    <col min="60" max="62" width="16.42578125" style="226" customWidth="1"/>
    <col min="63" max="63" width="6.42578125" style="226" customWidth="1"/>
    <col min="64" max="64" width="71" style="226" customWidth="1"/>
    <col min="65" max="67" width="16.42578125" style="226" customWidth="1"/>
    <col min="68" max="68" width="5.5703125" style="226" bestFit="1" customWidth="1"/>
    <col min="69" max="69" width="70.85546875" style="226" customWidth="1"/>
    <col min="70" max="71" width="13.42578125" style="226" customWidth="1"/>
    <col min="72" max="72" width="16.42578125" style="226" customWidth="1"/>
    <col min="73" max="73" width="5.5703125" style="226" bestFit="1" customWidth="1"/>
    <col min="74" max="74" width="44.140625" style="226" bestFit="1" customWidth="1"/>
    <col min="75" max="77" width="16.42578125" style="226" customWidth="1"/>
    <col min="78" max="78" width="5.5703125" style="226" bestFit="1" customWidth="1"/>
    <col min="79" max="79" width="67.7109375" style="226" customWidth="1"/>
    <col min="80" max="82" width="16.42578125" style="226" customWidth="1"/>
    <col min="83" max="83" width="11.7109375" style="226" customWidth="1"/>
    <col min="84" max="84" width="63.140625" style="226" bestFit="1" customWidth="1"/>
    <col min="85" max="85" width="16.42578125" style="226" customWidth="1"/>
    <col min="86" max="86" width="17.5703125" style="226" customWidth="1"/>
    <col min="87" max="87" width="16.42578125" style="226" customWidth="1"/>
    <col min="88" max="88" width="10.7109375" style="226" customWidth="1"/>
    <col min="89" max="89" width="47.7109375" style="226" bestFit="1" customWidth="1"/>
    <col min="90" max="92" width="16.42578125" style="226" customWidth="1"/>
    <col min="93" max="93" width="5.5703125" style="226" bestFit="1" customWidth="1"/>
    <col min="94" max="94" width="46.42578125" style="226" customWidth="1"/>
    <col min="95" max="97" width="16.42578125" style="226" customWidth="1"/>
    <col min="98" max="98" width="5.85546875" style="226" customWidth="1"/>
    <col min="99" max="99" width="55" style="226" customWidth="1"/>
    <col min="100" max="100" width="13.28515625" style="226" customWidth="1"/>
    <col min="101" max="101" width="16.5703125" style="226" customWidth="1"/>
    <col min="102" max="102" width="17.85546875" style="226" customWidth="1"/>
    <col min="103" max="103" width="6.85546875" style="50" customWidth="1"/>
    <col min="104" max="104" width="45.85546875" style="226" customWidth="1"/>
    <col min="105" max="105" width="23.7109375" style="226" bestFit="1" customWidth="1"/>
    <col min="106" max="106" width="23.28515625" style="226" customWidth="1"/>
    <col min="107" max="107" width="23.85546875" style="226" customWidth="1"/>
    <col min="108" max="108" width="18.42578125" style="226" customWidth="1"/>
    <col min="109" max="109" width="23.5703125" style="226" customWidth="1"/>
    <col min="110" max="110" width="21.140625" style="226" bestFit="1" customWidth="1"/>
    <col min="111" max="111" width="19.85546875" style="226" customWidth="1"/>
    <col min="112" max="112" width="5.85546875" style="226" customWidth="1"/>
    <col min="113" max="113" width="38.42578125" style="226" customWidth="1"/>
    <col min="114" max="114" width="18" style="226" customWidth="1"/>
    <col min="115" max="115" width="15.7109375" style="226" customWidth="1"/>
    <col min="116" max="116" width="18.85546875" style="226" bestFit="1" customWidth="1"/>
    <col min="117" max="117" width="14.85546875" style="226" bestFit="1" customWidth="1"/>
    <col min="118" max="118" width="20" style="226" bestFit="1" customWidth="1"/>
    <col min="119" max="120" width="20" style="226" customWidth="1"/>
    <col min="121" max="121" width="5.85546875" style="226" customWidth="1"/>
    <col min="122" max="122" width="38.42578125" style="226" customWidth="1"/>
    <col min="123" max="123" width="20" style="226" customWidth="1"/>
    <col min="124" max="124" width="16.28515625" style="226" bestFit="1" customWidth="1"/>
    <col min="125" max="128" width="23" style="226" customWidth="1"/>
    <col min="129" max="129" width="19.7109375" style="226" bestFit="1" customWidth="1"/>
    <col min="130" max="130" width="5.85546875" style="226" customWidth="1"/>
    <col min="131" max="131" width="46.42578125" style="226" bestFit="1" customWidth="1"/>
    <col min="132" max="132" width="19" style="226" bestFit="1" customWidth="1"/>
    <col min="133" max="133" width="19.7109375" style="226" bestFit="1" customWidth="1"/>
    <col min="134" max="134" width="19" style="226" bestFit="1" customWidth="1"/>
    <col min="135" max="135" width="21.140625" style="226"/>
    <col min="136" max="139" width="21.140625" style="94"/>
    <col min="140" max="16384" width="21.140625" style="226"/>
  </cols>
  <sheetData>
    <row r="1" spans="1:139" s="113" customFormat="1" ht="15" customHeight="1" x14ac:dyDescent="0.2">
      <c r="A1" s="544">
        <f>SUM(B1:CS1)</f>
        <v>0</v>
      </c>
      <c r="G1" s="544">
        <f>ROUND(-DB47+G49,0)</f>
        <v>0</v>
      </c>
      <c r="L1" s="544">
        <f>ROUND(-DC47+L41,0)</f>
        <v>0</v>
      </c>
      <c r="P1" s="544">
        <f>ROUND(-DD47+P29,0)</f>
        <v>0</v>
      </c>
      <c r="T1" s="544">
        <f>ROUND(-DE47+T24,0)</f>
        <v>0</v>
      </c>
      <c r="Y1" s="544">
        <f>ROUND(-DF47+Y49,0)</f>
        <v>0</v>
      </c>
      <c r="AD1" s="544">
        <f>ROUND(-DG47+AD31,0)</f>
        <v>0</v>
      </c>
      <c r="AM1" s="544">
        <f>ROUND(-DJ47+AM29,0)</f>
        <v>0</v>
      </c>
      <c r="AR1" s="544">
        <f>ROUND(-DK47+AR20,0)</f>
        <v>0</v>
      </c>
      <c r="AV1" s="544">
        <f>ROUND(-DL47+AV26,0)</f>
        <v>0</v>
      </c>
      <c r="BA1" s="544">
        <f>ROUND(-DM47+BA20,0)</f>
        <v>0</v>
      </c>
      <c r="BE1" s="544">
        <f>ROUND(-DN47+BE15,0)</f>
        <v>0</v>
      </c>
      <c r="BJ1" s="544">
        <f>ROUND(-DO47+BJ19,0)</f>
        <v>0</v>
      </c>
      <c r="BO1" s="544">
        <f>ROUND(-DP47+BO19,0)</f>
        <v>0</v>
      </c>
      <c r="BT1" s="544">
        <f>ROUND(-DS47+BT23,0)</f>
        <v>0</v>
      </c>
      <c r="BY1" s="544">
        <f>ROUND(-DT47+BY20,0)</f>
        <v>0</v>
      </c>
      <c r="CD1" s="544">
        <f>ROUND(-DU47+CD30,0)</f>
        <v>0</v>
      </c>
      <c r="CI1" s="544">
        <f>ROUND(-DV47+CI24,0)</f>
        <v>0</v>
      </c>
      <c r="CN1" s="544">
        <f>ROUND(-DW47+CN25,0)</f>
        <v>0</v>
      </c>
      <c r="CS1" s="544">
        <f>ROUND(-DX47+CS24,0)</f>
        <v>0</v>
      </c>
      <c r="EF1" s="94"/>
      <c r="EG1" s="94"/>
      <c r="EH1" s="94"/>
      <c r="EI1" s="94"/>
    </row>
    <row r="2" spans="1:139" ht="15" customHeight="1" thickBot="1" x14ac:dyDescent="0.25">
      <c r="A2" s="51"/>
      <c r="B2" s="51"/>
      <c r="C2" s="51"/>
      <c r="D2" s="51"/>
      <c r="E2" s="51"/>
      <c r="F2" s="51"/>
      <c r="G2" s="25"/>
      <c r="L2" s="25"/>
      <c r="P2" s="25"/>
      <c r="T2" s="25"/>
      <c r="Y2" s="25"/>
      <c r="AR2" s="25"/>
      <c r="AV2" s="25"/>
      <c r="BA2" s="25"/>
      <c r="BE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51"/>
      <c r="CU2" s="51"/>
      <c r="CV2" s="51"/>
      <c r="CW2" s="51"/>
      <c r="CX2" s="25"/>
      <c r="DB2" s="307"/>
      <c r="DC2" s="307"/>
      <c r="DD2" s="307"/>
      <c r="DE2" s="307"/>
      <c r="DF2" s="307"/>
      <c r="DG2" s="307"/>
      <c r="DH2" s="307"/>
      <c r="DI2" s="307"/>
      <c r="DJ2" s="307"/>
      <c r="DK2" s="307"/>
      <c r="DL2" s="307"/>
      <c r="DM2" s="307"/>
      <c r="DN2" s="307"/>
      <c r="DO2" s="307"/>
      <c r="DP2" s="307"/>
      <c r="DQ2" s="307"/>
      <c r="DR2" s="307"/>
      <c r="DS2" s="307"/>
      <c r="DT2" s="307"/>
      <c r="DU2" s="307"/>
      <c r="DV2" s="307"/>
      <c r="DW2" s="307"/>
      <c r="DX2" s="307"/>
      <c r="DY2" s="307"/>
    </row>
    <row r="3" spans="1:139" s="51" customFormat="1" ht="15" customHeight="1" thickTop="1" thickBot="1" x14ac:dyDescent="0.25">
      <c r="G3" s="501">
        <f>DB12</f>
        <v>5.09</v>
      </c>
      <c r="H3" s="317"/>
      <c r="I3" s="317"/>
      <c r="J3" s="317"/>
      <c r="K3" s="317"/>
      <c r="L3" s="501">
        <f>DC12</f>
        <v>5.0999999999999996</v>
      </c>
      <c r="M3" s="307"/>
      <c r="N3" s="307"/>
      <c r="O3" s="307"/>
      <c r="P3" s="501">
        <f>DD12</f>
        <v>5.1099999999999994</v>
      </c>
      <c r="Q3" s="307"/>
      <c r="R3" s="307"/>
      <c r="S3" s="307"/>
      <c r="T3" s="501">
        <f>DE12</f>
        <v>5.1199999999999992</v>
      </c>
      <c r="U3" s="307"/>
      <c r="V3" s="307"/>
      <c r="W3" s="307"/>
      <c r="Y3" s="501">
        <f>DF12</f>
        <v>5.129999999999999</v>
      </c>
      <c r="AA3" s="226"/>
      <c r="AB3" s="226"/>
      <c r="AD3" s="501">
        <f>DG12</f>
        <v>5.1399999999999988</v>
      </c>
      <c r="AM3" s="501">
        <f>DJ12</f>
        <v>5.1499999999999986</v>
      </c>
      <c r="AR3" s="501">
        <f>DK12</f>
        <v>5.1599999999999984</v>
      </c>
      <c r="AS3" s="51" t="s">
        <v>30</v>
      </c>
      <c r="AV3" s="501">
        <f>DL12</f>
        <v>5.1699999999999982</v>
      </c>
      <c r="AW3" s="177"/>
      <c r="AX3" s="177"/>
      <c r="AY3" s="177"/>
      <c r="AZ3" s="177"/>
      <c r="BA3" s="501">
        <f>DM12</f>
        <v>5.1799999999999979</v>
      </c>
      <c r="BE3" s="501">
        <f>DN12</f>
        <v>5.1899999999999977</v>
      </c>
      <c r="BJ3" s="501">
        <f>DO12</f>
        <v>5.1999999999999975</v>
      </c>
      <c r="BO3" s="501">
        <f>DP12</f>
        <v>5.2099999999999973</v>
      </c>
      <c r="BQ3" s="456"/>
      <c r="BR3" s="456"/>
      <c r="BS3" s="456"/>
      <c r="BT3" s="501">
        <f>DS12</f>
        <v>5.2199999999999971</v>
      </c>
      <c r="BU3" s="327"/>
      <c r="BV3" s="25"/>
      <c r="BW3" s="25"/>
      <c r="BX3" s="25"/>
      <c r="BY3" s="501">
        <f>+DT12</f>
        <v>5.2299999999999969</v>
      </c>
      <c r="CA3" s="456"/>
      <c r="CB3" s="456"/>
      <c r="CC3" s="456"/>
      <c r="CD3" s="501">
        <f>DU12</f>
        <v>5.2399999999999967</v>
      </c>
      <c r="CH3" s="180"/>
      <c r="CI3" s="501">
        <f>+DV12</f>
        <v>5.2499999999999964</v>
      </c>
      <c r="CN3" s="501">
        <f>+DW12</f>
        <v>5.2599999999999962</v>
      </c>
      <c r="CP3" s="456"/>
      <c r="CQ3" s="456"/>
      <c r="CR3" s="456"/>
      <c r="CS3" s="501">
        <f>+DX12</f>
        <v>5.269999999999996</v>
      </c>
      <c r="CX3" s="500" t="s">
        <v>400</v>
      </c>
      <c r="DG3" s="500" t="s">
        <v>399</v>
      </c>
      <c r="DP3" s="500" t="s">
        <v>398</v>
      </c>
      <c r="DY3" s="500" t="s">
        <v>397</v>
      </c>
      <c r="ED3" s="747" t="s">
        <v>703</v>
      </c>
      <c r="EF3" s="94"/>
      <c r="EG3" s="94"/>
      <c r="EH3" s="94"/>
      <c r="EI3" s="94"/>
    </row>
    <row r="4" spans="1:139" s="51" customFormat="1" ht="15" customHeight="1" x14ac:dyDescent="0.2">
      <c r="A4" s="68" t="s">
        <v>57</v>
      </c>
      <c r="B4" s="108"/>
      <c r="C4" s="108"/>
      <c r="D4" s="108"/>
      <c r="E4" s="34"/>
      <c r="F4" s="499"/>
      <c r="G4" s="109"/>
      <c r="H4" s="108" t="s">
        <v>57</v>
      </c>
      <c r="I4" s="34"/>
      <c r="J4" s="34"/>
      <c r="K4" s="34"/>
      <c r="L4" s="34"/>
      <c r="M4" s="108" t="str">
        <f>PSPL</f>
        <v>PUGET SOUND ENERGY-ELECTRIC</v>
      </c>
      <c r="N4" s="34"/>
      <c r="O4" s="34"/>
      <c r="P4" s="183"/>
      <c r="Q4" s="108" t="str">
        <f>PSPL</f>
        <v>PUGET SOUND ENERGY-ELECTRIC</v>
      </c>
      <c r="R4" s="34"/>
      <c r="S4" s="34"/>
      <c r="T4" s="34"/>
      <c r="U4" s="108" t="str">
        <f>PSPL</f>
        <v>PUGET SOUND ENERGY-ELECTRIC</v>
      </c>
      <c r="V4" s="34"/>
      <c r="W4" s="34"/>
      <c r="X4" s="34"/>
      <c r="Y4" s="34"/>
      <c r="Z4" s="108" t="str">
        <f>PSPL</f>
        <v>PUGET SOUND ENERGY-ELECTRIC</v>
      </c>
      <c r="AA4" s="34"/>
      <c r="AB4" s="34"/>
      <c r="AC4" s="34"/>
      <c r="AD4" s="34"/>
      <c r="AE4" s="108" t="str">
        <f>PSPL</f>
        <v>PUGET SOUND ENERGY-ELECTRIC</v>
      </c>
      <c r="AF4" s="34"/>
      <c r="AG4" s="34"/>
      <c r="AH4" s="34"/>
      <c r="AI4" s="34"/>
      <c r="AJ4" s="34"/>
      <c r="AK4" s="34"/>
      <c r="AL4" s="34"/>
      <c r="AM4" s="34"/>
      <c r="AN4" s="108" t="str">
        <f>PSPL</f>
        <v>PUGET SOUND ENERGY-ELECTRIC</v>
      </c>
      <c r="AO4" s="488"/>
      <c r="AP4" s="489"/>
      <c r="AQ4" s="34"/>
      <c r="AR4" s="34"/>
      <c r="AS4" s="498" t="str">
        <f>PSPL</f>
        <v>PUGET SOUND ENERGY-ELECTRIC</v>
      </c>
      <c r="AT4" s="498"/>
      <c r="AU4" s="498"/>
      <c r="AV4" s="498"/>
      <c r="AW4" s="108" t="str">
        <f>PSPL</f>
        <v>PUGET SOUND ENERGY-ELECTRIC</v>
      </c>
      <c r="AX4" s="34"/>
      <c r="AY4" s="34"/>
      <c r="AZ4" s="34"/>
      <c r="BA4" s="43"/>
      <c r="BB4" s="34" t="str">
        <f>PSPL</f>
        <v>PUGET SOUND ENERGY-ELECTRIC</v>
      </c>
      <c r="BC4" s="34"/>
      <c r="BD4" s="34"/>
      <c r="BE4" s="34"/>
      <c r="BF4" s="108" t="str">
        <f>PSPL</f>
        <v>PUGET SOUND ENERGY-ELECTRIC</v>
      </c>
      <c r="BG4" s="488"/>
      <c r="BH4" s="489"/>
      <c r="BI4" s="34"/>
      <c r="BJ4" s="34"/>
      <c r="BK4" s="108" t="str">
        <f>PSPL</f>
        <v>PUGET SOUND ENERGY-ELECTRIC</v>
      </c>
      <c r="BL4" s="488"/>
      <c r="BM4" s="489"/>
      <c r="BN4" s="34"/>
      <c r="BO4" s="34"/>
      <c r="BP4" s="108" t="str">
        <f>PSPL</f>
        <v>PUGET SOUND ENERGY-ELECTRIC</v>
      </c>
      <c r="BQ4" s="34"/>
      <c r="BR4" s="34"/>
      <c r="BS4" s="34"/>
      <c r="BT4" s="34"/>
      <c r="BU4" s="108" t="str">
        <f>PSPL</f>
        <v>PUGET SOUND ENERGY-ELECTRIC</v>
      </c>
      <c r="BV4" s="34"/>
      <c r="BW4" s="34"/>
      <c r="BX4" s="34"/>
      <c r="BY4" s="34"/>
      <c r="BZ4" s="108" t="str">
        <f>PSPL</f>
        <v>PUGET SOUND ENERGY-ELECTRIC</v>
      </c>
      <c r="CA4" s="34"/>
      <c r="CB4" s="34"/>
      <c r="CC4" s="34"/>
      <c r="CD4" s="34"/>
      <c r="CE4" s="762" t="str">
        <f>PSPL</f>
        <v>PUGET SOUND ENERGY-ELECTRIC</v>
      </c>
      <c r="CF4" s="762"/>
      <c r="CG4" s="762"/>
      <c r="CH4" s="762"/>
      <c r="CI4" s="762"/>
      <c r="CJ4" s="108" t="str">
        <f>PSPL</f>
        <v>PUGET SOUND ENERGY-ELECTRIC</v>
      </c>
      <c r="CK4" s="34"/>
      <c r="CL4" s="34"/>
      <c r="CM4" s="34"/>
      <c r="CN4" s="34"/>
      <c r="CO4" s="108" t="str">
        <f>PSPL</f>
        <v>PUGET SOUND ENERGY-ELECTRIC</v>
      </c>
      <c r="CP4" s="34"/>
      <c r="CQ4" s="34"/>
      <c r="CR4" s="34"/>
      <c r="CS4" s="34"/>
      <c r="CT4" s="108" t="str">
        <f>PSPL</f>
        <v>PUGET SOUND ENERGY-ELECTRIC</v>
      </c>
      <c r="CU4" s="34"/>
      <c r="CV4" s="34"/>
      <c r="CW4" s="34"/>
      <c r="CX4" s="43"/>
      <c r="CY4" s="108" t="str">
        <f>PSPL</f>
        <v>PUGET SOUND ENERGY-ELECTRIC</v>
      </c>
      <c r="CZ4" s="488"/>
      <c r="DA4" s="488"/>
      <c r="DB4" s="34"/>
      <c r="DC4" s="34"/>
      <c r="DD4" s="488"/>
      <c r="DE4" s="488"/>
      <c r="DF4" s="488"/>
      <c r="DG4" s="488"/>
      <c r="DH4" s="108" t="str">
        <f>PSPL</f>
        <v>PUGET SOUND ENERGY-ELECTRIC</v>
      </c>
      <c r="DI4" s="488"/>
      <c r="DJ4" s="488"/>
      <c r="DK4" s="488"/>
      <c r="DL4" s="488"/>
      <c r="DM4" s="488"/>
      <c r="DN4" s="488"/>
      <c r="DO4" s="488"/>
      <c r="DP4" s="488"/>
      <c r="DQ4" s="108" t="str">
        <f>PSPL</f>
        <v>PUGET SOUND ENERGY-ELECTRIC</v>
      </c>
      <c r="DR4" s="488"/>
      <c r="DS4" s="488"/>
      <c r="DT4" s="488"/>
      <c r="DU4" s="488"/>
      <c r="DV4" s="488"/>
      <c r="DW4" s="488"/>
      <c r="DX4" s="488"/>
      <c r="DY4" s="488"/>
      <c r="DZ4" s="98" t="s">
        <v>276</v>
      </c>
      <c r="EA4" s="34"/>
      <c r="EB4" s="34"/>
      <c r="EF4" s="94"/>
      <c r="EG4" s="94"/>
      <c r="EH4" s="94"/>
      <c r="EI4" s="94"/>
    </row>
    <row r="5" spans="1:139" s="51" customFormat="1" ht="15" customHeight="1" x14ac:dyDescent="0.2">
      <c r="A5" s="497" t="s">
        <v>396</v>
      </c>
      <c r="B5" s="185"/>
      <c r="C5" s="185"/>
      <c r="D5" s="185"/>
      <c r="E5" s="184"/>
      <c r="F5" s="496"/>
      <c r="G5" s="491"/>
      <c r="H5" s="185" t="s">
        <v>395</v>
      </c>
      <c r="I5" s="491"/>
      <c r="J5" s="491"/>
      <c r="K5" s="491"/>
      <c r="L5" s="491"/>
      <c r="M5" s="184" t="s">
        <v>394</v>
      </c>
      <c r="N5" s="184"/>
      <c r="O5" s="184"/>
      <c r="P5" s="495"/>
      <c r="Q5" s="184" t="s">
        <v>393</v>
      </c>
      <c r="R5" s="184"/>
      <c r="S5" s="184"/>
      <c r="T5" s="491"/>
      <c r="U5" s="184" t="s">
        <v>392</v>
      </c>
      <c r="V5" s="34"/>
      <c r="W5" s="184"/>
      <c r="X5" s="491"/>
      <c r="Y5" s="185"/>
      <c r="Z5" s="185" t="s">
        <v>391</v>
      </c>
      <c r="AA5" s="184"/>
      <c r="AB5" s="184"/>
      <c r="AC5" s="184"/>
      <c r="AD5" s="491"/>
      <c r="AE5" s="184" t="s">
        <v>158</v>
      </c>
      <c r="AF5" s="184"/>
      <c r="AG5" s="184"/>
      <c r="AH5" s="184"/>
      <c r="AI5" s="184"/>
      <c r="AJ5" s="184"/>
      <c r="AK5" s="184"/>
      <c r="AL5" s="491"/>
      <c r="AM5" s="491"/>
      <c r="AN5" s="184" t="s">
        <v>390</v>
      </c>
      <c r="AO5" s="493"/>
      <c r="AP5" s="492"/>
      <c r="AQ5" s="184"/>
      <c r="AR5" s="491"/>
      <c r="AS5" s="494" t="s">
        <v>389</v>
      </c>
      <c r="AT5" s="494"/>
      <c r="AU5" s="494"/>
      <c r="AV5" s="494"/>
      <c r="AW5" s="184" t="s">
        <v>388</v>
      </c>
      <c r="AX5" s="184"/>
      <c r="AY5" s="184"/>
      <c r="AZ5" s="184"/>
      <c r="BA5" s="491"/>
      <c r="BB5" s="185" t="s">
        <v>387</v>
      </c>
      <c r="BC5" s="184"/>
      <c r="BD5" s="184"/>
      <c r="BE5" s="184"/>
      <c r="BF5" s="184" t="s">
        <v>386</v>
      </c>
      <c r="BG5" s="493"/>
      <c r="BH5" s="492"/>
      <c r="BI5" s="184"/>
      <c r="BJ5" s="491"/>
      <c r="BK5" s="184" t="s">
        <v>385</v>
      </c>
      <c r="BL5" s="493"/>
      <c r="BM5" s="492"/>
      <c r="BN5" s="184"/>
      <c r="BO5" s="491"/>
      <c r="BP5" s="184" t="s">
        <v>384</v>
      </c>
      <c r="BQ5" s="491"/>
      <c r="BR5" s="491"/>
      <c r="BS5" s="491"/>
      <c r="BT5" s="491"/>
      <c r="BU5" s="184" t="s">
        <v>82</v>
      </c>
      <c r="BV5" s="491"/>
      <c r="BW5" s="491"/>
      <c r="BX5" s="491"/>
      <c r="BY5" s="491"/>
      <c r="BZ5" s="184" t="s">
        <v>383</v>
      </c>
      <c r="CA5" s="491"/>
      <c r="CB5" s="491"/>
      <c r="CC5" s="491"/>
      <c r="CD5" s="491"/>
      <c r="CE5" s="764" t="s">
        <v>382</v>
      </c>
      <c r="CF5" s="764"/>
      <c r="CG5" s="764"/>
      <c r="CH5" s="764"/>
      <c r="CI5" s="764"/>
      <c r="CJ5" s="184" t="s">
        <v>381</v>
      </c>
      <c r="CK5" s="184"/>
      <c r="CL5" s="184"/>
      <c r="CM5" s="184"/>
      <c r="CN5" s="491"/>
      <c r="CO5" s="184" t="s">
        <v>380</v>
      </c>
      <c r="CP5" s="491"/>
      <c r="CQ5" s="491"/>
      <c r="CR5" s="491"/>
      <c r="CS5" s="491"/>
      <c r="CT5" s="184" t="s">
        <v>31</v>
      </c>
      <c r="CU5" s="184"/>
      <c r="CV5" s="184"/>
      <c r="CW5" s="184"/>
      <c r="CX5" s="184"/>
      <c r="CY5" s="108" t="s">
        <v>379</v>
      </c>
      <c r="CZ5" s="488"/>
      <c r="DA5" s="488"/>
      <c r="DB5" s="34"/>
      <c r="DC5" s="34"/>
      <c r="DD5" s="488"/>
      <c r="DE5" s="488"/>
      <c r="DF5" s="488"/>
      <c r="DG5" s="488"/>
      <c r="DH5" s="108" t="s">
        <v>379</v>
      </c>
      <c r="DI5" s="488"/>
      <c r="DJ5" s="488"/>
      <c r="DK5" s="488"/>
      <c r="DL5" s="488"/>
      <c r="DM5" s="488"/>
      <c r="DN5" s="488"/>
      <c r="DO5" s="488"/>
      <c r="DP5" s="488"/>
      <c r="DQ5" s="108" t="s">
        <v>379</v>
      </c>
      <c r="DR5" s="488"/>
      <c r="DS5" s="488"/>
      <c r="DT5" s="488"/>
      <c r="DU5" s="488"/>
      <c r="DV5" s="488"/>
      <c r="DW5" s="488"/>
      <c r="DX5" s="488"/>
      <c r="DY5" s="488"/>
      <c r="DZ5" s="108" t="str">
        <f>PSPL</f>
        <v>PUGET SOUND ENERGY-ELECTRIC</v>
      </c>
      <c r="EA5" s="34"/>
      <c r="EB5" s="109"/>
      <c r="EC5" s="34"/>
      <c r="ED5" s="34"/>
      <c r="EF5" s="94"/>
      <c r="EG5" s="94"/>
      <c r="EH5" s="94"/>
      <c r="EI5" s="94"/>
    </row>
    <row r="6" spans="1:139" s="51" customFormat="1" ht="15" customHeight="1" x14ac:dyDescent="0.2">
      <c r="A6" s="34" t="s">
        <v>378</v>
      </c>
      <c r="B6" s="108"/>
      <c r="C6" s="108"/>
      <c r="D6" s="108"/>
      <c r="E6" s="34"/>
      <c r="F6" s="35"/>
      <c r="G6" s="35"/>
      <c r="H6" s="34" t="str">
        <f>TESTYEAR</f>
        <v>FOR THE TWELVE MONTHS ENDED JUNE 30, 2018</v>
      </c>
      <c r="I6" s="35"/>
      <c r="J6" s="35"/>
      <c r="K6" s="35"/>
      <c r="L6" s="35"/>
      <c r="M6" s="34" t="str">
        <f>TESTYEAR</f>
        <v>FOR THE TWELVE MONTHS ENDED JUNE 30, 2018</v>
      </c>
      <c r="N6" s="34"/>
      <c r="O6" s="34"/>
      <c r="P6" s="183"/>
      <c r="Q6" s="34" t="str">
        <f>TESTYEAR</f>
        <v>FOR THE TWELVE MONTHS ENDED JUNE 30, 2018</v>
      </c>
      <c r="R6" s="34"/>
      <c r="S6" s="34"/>
      <c r="T6" s="35"/>
      <c r="U6" s="34" t="str">
        <f>TESTYEAR</f>
        <v>FOR THE TWELVE MONTHS ENDED JUNE 30, 2018</v>
      </c>
      <c r="V6" s="34"/>
      <c r="W6" s="108"/>
      <c r="X6" s="108"/>
      <c r="Y6" s="108"/>
      <c r="Z6" s="34" t="str">
        <f>TESTYEAR</f>
        <v>FOR THE TWELVE MONTHS ENDED JUNE 30, 2018</v>
      </c>
      <c r="AA6" s="108"/>
      <c r="AB6" s="108"/>
      <c r="AC6" s="34"/>
      <c r="AD6" s="35"/>
      <c r="AE6" s="34" t="str">
        <f>TESTYEAR</f>
        <v>FOR THE TWELVE MONTHS ENDED JUNE 30, 2018</v>
      </c>
      <c r="AF6" s="34"/>
      <c r="AG6" s="34"/>
      <c r="AH6" s="34"/>
      <c r="AI6" s="34"/>
      <c r="AJ6" s="34"/>
      <c r="AK6" s="34"/>
      <c r="AL6" s="35"/>
      <c r="AM6" s="35"/>
      <c r="AN6" s="34" t="str">
        <f>TESTYEAR</f>
        <v>FOR THE TWELVE MONTHS ENDED JUNE 30, 2018</v>
      </c>
      <c r="AO6" s="488"/>
      <c r="AP6" s="489"/>
      <c r="AQ6" s="34"/>
      <c r="AR6" s="35"/>
      <c r="AS6" s="490" t="str">
        <f>TESTYEAR</f>
        <v>FOR THE TWELVE MONTHS ENDED JUNE 30, 2018</v>
      </c>
      <c r="AT6" s="490"/>
      <c r="AU6" s="490"/>
      <c r="AV6" s="490"/>
      <c r="AW6" s="34" t="str">
        <f>TESTYEAR</f>
        <v>FOR THE TWELVE MONTHS ENDED JUNE 30, 2018</v>
      </c>
      <c r="AX6" s="34"/>
      <c r="AY6" s="34"/>
      <c r="AZ6" s="34"/>
      <c r="BA6" s="35"/>
      <c r="BB6" s="108" t="str">
        <f>TESTYEAR</f>
        <v>FOR THE TWELVE MONTHS ENDED JUNE 30, 2018</v>
      </c>
      <c r="BC6" s="34"/>
      <c r="BD6" s="34"/>
      <c r="BE6" s="34"/>
      <c r="BF6" s="34" t="str">
        <f>TESTYEAR</f>
        <v>FOR THE TWELVE MONTHS ENDED JUNE 30, 2018</v>
      </c>
      <c r="BG6" s="488"/>
      <c r="BH6" s="489"/>
      <c r="BI6" s="34"/>
      <c r="BJ6" s="35"/>
      <c r="BK6" s="34" t="str">
        <f>TESTYEAR</f>
        <v>FOR THE TWELVE MONTHS ENDED JUNE 30, 2018</v>
      </c>
      <c r="BL6" s="488"/>
      <c r="BM6" s="489"/>
      <c r="BN6" s="34"/>
      <c r="BO6" s="35"/>
      <c r="BP6" s="34" t="str">
        <f>TESTYEAR</f>
        <v>FOR THE TWELVE MONTHS ENDED JUNE 30, 2018</v>
      </c>
      <c r="BQ6" s="35"/>
      <c r="BR6" s="35"/>
      <c r="BS6" s="35"/>
      <c r="BT6" s="35"/>
      <c r="BU6" s="34" t="str">
        <f>TESTYEAR</f>
        <v>FOR THE TWELVE MONTHS ENDED JUNE 30, 2018</v>
      </c>
      <c r="BV6" s="35"/>
      <c r="BW6" s="35"/>
      <c r="BX6" s="35"/>
      <c r="BY6" s="35"/>
      <c r="BZ6" s="34" t="str">
        <f>TESTYEAR</f>
        <v>FOR THE TWELVE MONTHS ENDED JUNE 30, 2018</v>
      </c>
      <c r="CA6" s="35"/>
      <c r="CB6" s="35"/>
      <c r="CC6" s="35"/>
      <c r="CD6" s="35"/>
      <c r="CE6" s="761" t="str">
        <f>TESTYEAR</f>
        <v>FOR THE TWELVE MONTHS ENDED JUNE 30, 2018</v>
      </c>
      <c r="CF6" s="761"/>
      <c r="CG6" s="761"/>
      <c r="CH6" s="761"/>
      <c r="CI6" s="761"/>
      <c r="CJ6" s="34" t="str">
        <f>TESTYEAR</f>
        <v>FOR THE TWELVE MONTHS ENDED JUNE 30, 2018</v>
      </c>
      <c r="CK6" s="34"/>
      <c r="CL6" s="34"/>
      <c r="CM6" s="34"/>
      <c r="CN6" s="35"/>
      <c r="CO6" s="34" t="str">
        <f>TESTYEAR</f>
        <v>FOR THE TWELVE MONTHS ENDED JUNE 30, 2018</v>
      </c>
      <c r="CP6" s="35"/>
      <c r="CQ6" s="35"/>
      <c r="CR6" s="35"/>
      <c r="CS6" s="35"/>
      <c r="CT6" s="34" t="str">
        <f>TESTYEAR</f>
        <v>FOR THE TWELVE MONTHS ENDED JUNE 30, 2018</v>
      </c>
      <c r="CU6" s="34"/>
      <c r="CV6" s="34"/>
      <c r="CW6" s="34"/>
      <c r="CX6" s="34"/>
      <c r="CY6" s="34" t="str">
        <f>TESTYEAR</f>
        <v>FOR THE TWELVE MONTHS ENDED JUNE 30, 2018</v>
      </c>
      <c r="CZ6" s="488"/>
      <c r="DA6" s="488"/>
      <c r="DB6" s="34"/>
      <c r="DC6" s="34"/>
      <c r="DD6" s="488"/>
      <c r="DE6" s="488"/>
      <c r="DF6" s="488"/>
      <c r="DG6" s="488"/>
      <c r="DH6" s="34" t="str">
        <f>TESTYEAR</f>
        <v>FOR THE TWELVE MONTHS ENDED JUNE 30, 2018</v>
      </c>
      <c r="DI6" s="488"/>
      <c r="DJ6" s="488"/>
      <c r="DK6" s="488"/>
      <c r="DL6" s="488"/>
      <c r="DM6" s="488"/>
      <c r="DN6" s="488"/>
      <c r="DO6" s="488"/>
      <c r="DP6" s="488"/>
      <c r="DQ6" s="34" t="str">
        <f>TESTYEAR</f>
        <v>FOR THE TWELVE MONTHS ENDED JUNE 30, 2018</v>
      </c>
      <c r="DR6" s="488"/>
      <c r="DS6" s="488"/>
      <c r="DT6" s="488"/>
      <c r="DU6" s="488"/>
      <c r="DV6" s="488"/>
      <c r="DW6" s="488"/>
      <c r="DX6" s="488"/>
      <c r="DY6" s="488"/>
      <c r="DZ6" s="108" t="s">
        <v>377</v>
      </c>
      <c r="EA6" s="34"/>
      <c r="EB6" s="35"/>
      <c r="EC6" s="43"/>
      <c r="ED6" s="34"/>
      <c r="EF6" s="94"/>
      <c r="EG6" s="94"/>
      <c r="EH6" s="94"/>
      <c r="EI6" s="94"/>
    </row>
    <row r="7" spans="1:139" s="51" customFormat="1" ht="15" customHeight="1" x14ac:dyDescent="0.2">
      <c r="A7" s="108" t="s">
        <v>128</v>
      </c>
      <c r="B7" s="108"/>
      <c r="C7" s="108"/>
      <c r="D7" s="108"/>
      <c r="E7" s="34"/>
      <c r="F7" s="34"/>
      <c r="G7" s="34"/>
      <c r="H7" s="108" t="s">
        <v>128</v>
      </c>
      <c r="I7" s="34"/>
      <c r="J7" s="34"/>
      <c r="K7" s="34"/>
      <c r="L7" s="34"/>
      <c r="M7" s="34" t="str">
        <f>DOCKET</f>
        <v>COMMISSION BASIS REPORT</v>
      </c>
      <c r="N7" s="108"/>
      <c r="O7" s="108"/>
      <c r="P7" s="183"/>
      <c r="Q7" s="108" t="str">
        <f>DOCKET</f>
        <v>COMMISSION BASIS REPORT</v>
      </c>
      <c r="R7" s="34"/>
      <c r="S7" s="34"/>
      <c r="T7" s="35"/>
      <c r="U7" s="108" t="str">
        <f>DOCKET</f>
        <v>COMMISSION BASIS REPORT</v>
      </c>
      <c r="V7" s="34"/>
      <c r="W7" s="108"/>
      <c r="X7" s="108"/>
      <c r="Y7" s="108"/>
      <c r="Z7" s="34" t="str">
        <f>DOCKET</f>
        <v>COMMISSION BASIS REPORT</v>
      </c>
      <c r="AA7" s="108"/>
      <c r="AB7" s="108"/>
      <c r="AC7" s="34"/>
      <c r="AD7" s="34"/>
      <c r="AE7" s="34" t="str">
        <f>DOCKET</f>
        <v>COMMISSION BASIS REPORT</v>
      </c>
      <c r="AF7" s="34"/>
      <c r="AG7" s="34"/>
      <c r="AH7" s="34"/>
      <c r="AI7" s="34"/>
      <c r="AJ7" s="34"/>
      <c r="AK7" s="34"/>
      <c r="AL7" s="35"/>
      <c r="AM7" s="35"/>
      <c r="AN7" s="34" t="str">
        <f>DOCKET</f>
        <v>COMMISSION BASIS REPORT</v>
      </c>
      <c r="AO7" s="488"/>
      <c r="AP7" s="489"/>
      <c r="AQ7" s="34"/>
      <c r="AR7" s="34"/>
      <c r="AS7" s="490" t="str">
        <f>DOCKET</f>
        <v>COMMISSION BASIS REPORT</v>
      </c>
      <c r="AT7" s="490"/>
      <c r="AU7" s="490"/>
      <c r="AV7" s="490"/>
      <c r="AW7" s="108" t="str">
        <f>DOCKET</f>
        <v>COMMISSION BASIS REPORT</v>
      </c>
      <c r="AX7" s="34"/>
      <c r="AY7" s="34"/>
      <c r="AZ7" s="108"/>
      <c r="BA7" s="35"/>
      <c r="BB7" s="108" t="str">
        <f>DOCKET</f>
        <v>COMMISSION BASIS REPORT</v>
      </c>
      <c r="BC7" s="34"/>
      <c r="BD7" s="34"/>
      <c r="BE7" s="34"/>
      <c r="BF7" s="34" t="str">
        <f>DOCKET</f>
        <v>COMMISSION BASIS REPORT</v>
      </c>
      <c r="BG7" s="488"/>
      <c r="BH7" s="489"/>
      <c r="BI7" s="34"/>
      <c r="BJ7" s="34"/>
      <c r="BK7" s="34" t="str">
        <f>DOCKET</f>
        <v>COMMISSION BASIS REPORT</v>
      </c>
      <c r="BL7" s="488"/>
      <c r="BM7" s="489"/>
      <c r="BN7" s="34"/>
      <c r="BO7" s="34"/>
      <c r="BP7" s="34" t="str">
        <f>DOCKET</f>
        <v>COMMISSION BASIS REPORT</v>
      </c>
      <c r="BQ7" s="34"/>
      <c r="BR7" s="34"/>
      <c r="BS7" s="34"/>
      <c r="BT7" s="34"/>
      <c r="BU7" s="761" t="str">
        <f>DOCKET</f>
        <v>COMMISSION BASIS REPORT</v>
      </c>
      <c r="BV7" s="761"/>
      <c r="BW7" s="761"/>
      <c r="BX7" s="761"/>
      <c r="BY7" s="761"/>
      <c r="BZ7" s="34" t="str">
        <f>DOCKET</f>
        <v>COMMISSION BASIS REPORT</v>
      </c>
      <c r="CA7" s="34"/>
      <c r="CB7" s="34"/>
      <c r="CC7" s="34"/>
      <c r="CD7" s="34"/>
      <c r="CE7" s="762" t="str">
        <f>DOCKET</f>
        <v>COMMISSION BASIS REPORT</v>
      </c>
      <c r="CF7" s="762"/>
      <c r="CG7" s="762"/>
      <c r="CH7" s="762"/>
      <c r="CI7" s="762"/>
      <c r="CJ7" s="761" t="str">
        <f>DOCKET</f>
        <v>COMMISSION BASIS REPORT</v>
      </c>
      <c r="CK7" s="761"/>
      <c r="CL7" s="761"/>
      <c r="CM7" s="761"/>
      <c r="CN7" s="761"/>
      <c r="CO7" s="34" t="str">
        <f>DOCKET</f>
        <v>COMMISSION BASIS REPORT</v>
      </c>
      <c r="CP7" s="34"/>
      <c r="CQ7" s="34"/>
      <c r="CR7" s="34"/>
      <c r="CS7" s="34"/>
      <c r="CT7" s="108" t="str">
        <f>DOCKET</f>
        <v>COMMISSION BASIS REPORT</v>
      </c>
      <c r="CU7" s="34"/>
      <c r="CV7" s="34"/>
      <c r="CW7" s="34"/>
      <c r="CX7" s="34"/>
      <c r="CY7" s="34" t="str">
        <f>DOCKET</f>
        <v>COMMISSION BASIS REPORT</v>
      </c>
      <c r="CZ7" s="488"/>
      <c r="DA7" s="488"/>
      <c r="DB7" s="34"/>
      <c r="DC7" s="34"/>
      <c r="DD7" s="488"/>
      <c r="DE7" s="488"/>
      <c r="DF7" s="488"/>
      <c r="DG7" s="488"/>
      <c r="DH7" s="34" t="str">
        <f>DOCKET</f>
        <v>COMMISSION BASIS REPORT</v>
      </c>
      <c r="DI7" s="488"/>
      <c r="DJ7" s="488"/>
      <c r="DK7" s="488"/>
      <c r="DL7" s="488"/>
      <c r="DM7" s="488"/>
      <c r="DN7" s="488"/>
      <c r="DO7" s="488"/>
      <c r="DP7" s="488"/>
      <c r="DQ7" s="34" t="str">
        <f>DOCKET</f>
        <v>COMMISSION BASIS REPORT</v>
      </c>
      <c r="DR7" s="488"/>
      <c r="DS7" s="488"/>
      <c r="DT7" s="488"/>
      <c r="DU7" s="488"/>
      <c r="DV7" s="488"/>
      <c r="DW7" s="488"/>
      <c r="DX7" s="488"/>
      <c r="DY7" s="488"/>
      <c r="DZ7" s="34" t="str">
        <f>TESTYEAR</f>
        <v>FOR THE TWELVE MONTHS ENDED JUNE 30, 2018</v>
      </c>
      <c r="EA7" s="34"/>
      <c r="EB7" s="34"/>
      <c r="EC7" s="43"/>
      <c r="ED7" s="34"/>
      <c r="EF7" s="94"/>
      <c r="EG7" s="94"/>
      <c r="EH7" s="94"/>
      <c r="EI7" s="94"/>
    </row>
    <row r="8" spans="1:139" s="51" customFormat="1" ht="15" customHeight="1" x14ac:dyDescent="0.2">
      <c r="F8" s="487"/>
      <c r="N8" s="110"/>
      <c r="O8" s="110"/>
      <c r="P8" s="181"/>
      <c r="R8" s="110"/>
      <c r="S8" s="305"/>
      <c r="T8" s="305"/>
      <c r="W8" s="110"/>
      <c r="X8" s="110"/>
      <c r="Y8" s="110"/>
      <c r="AG8" s="306"/>
      <c r="AH8" s="306"/>
      <c r="AI8" s="306"/>
      <c r="AJ8" s="306" t="s">
        <v>91</v>
      </c>
      <c r="AK8" s="306"/>
      <c r="AL8" s="306"/>
      <c r="AM8" s="306" t="s">
        <v>376</v>
      </c>
      <c r="AN8" s="197"/>
      <c r="AP8" s="475"/>
      <c r="AR8" s="483"/>
      <c r="AT8" s="110"/>
      <c r="AW8" s="177"/>
      <c r="AX8" s="180"/>
      <c r="AY8" s="180"/>
      <c r="AZ8" s="177"/>
      <c r="BA8" s="177"/>
      <c r="BF8" s="197"/>
      <c r="BH8" s="475" t="s">
        <v>30</v>
      </c>
      <c r="BJ8" s="483"/>
      <c r="BK8" s="486"/>
      <c r="BL8" s="177"/>
      <c r="BM8" s="485"/>
      <c r="BN8" s="177"/>
      <c r="BO8" s="484"/>
      <c r="BP8" s="483"/>
      <c r="BQ8" s="483"/>
      <c r="BR8" s="483"/>
      <c r="BS8" s="483"/>
      <c r="BT8" s="483"/>
      <c r="BU8" s="305"/>
      <c r="BV8" s="305"/>
      <c r="BW8" s="305"/>
      <c r="BX8" s="305"/>
      <c r="BY8" s="305"/>
      <c r="BZ8" s="483"/>
      <c r="CA8" s="483"/>
      <c r="CB8" s="483"/>
      <c r="CC8" s="483"/>
      <c r="CD8" s="483"/>
      <c r="CH8" s="323"/>
      <c r="CK8" s="110"/>
      <c r="CL8" s="110"/>
      <c r="CO8" s="482"/>
      <c r="CP8" s="481"/>
      <c r="CQ8" s="481"/>
      <c r="CR8" s="481"/>
      <c r="CS8" s="481"/>
      <c r="CY8" s="480"/>
      <c r="DB8" s="479"/>
      <c r="DC8" s="479"/>
      <c r="DD8" s="34"/>
      <c r="DE8" s="108"/>
      <c r="DF8" s="108"/>
      <c r="DG8" s="108"/>
      <c r="DH8" s="108"/>
      <c r="DI8" s="108"/>
      <c r="DJ8" s="108"/>
      <c r="DK8" s="34"/>
      <c r="DL8" s="479"/>
      <c r="DM8" s="479"/>
      <c r="DN8" s="34"/>
      <c r="DO8" s="34"/>
      <c r="DP8" s="34"/>
      <c r="DQ8" s="108"/>
      <c r="DR8" s="108"/>
      <c r="DS8" s="34"/>
      <c r="DT8" s="34"/>
      <c r="DU8" s="34"/>
      <c r="DV8" s="34"/>
      <c r="DW8" s="34"/>
      <c r="DX8" s="34"/>
      <c r="DY8" s="108"/>
      <c r="DZ8" s="34" t="str">
        <f>DOCKET</f>
        <v>COMMISSION BASIS REPORT</v>
      </c>
      <c r="EA8" s="34"/>
      <c r="EB8" s="34"/>
      <c r="EC8" s="43"/>
      <c r="ED8" s="34"/>
      <c r="EF8" s="94"/>
      <c r="EG8" s="94"/>
      <c r="EH8" s="94"/>
      <c r="EI8" s="94"/>
    </row>
    <row r="9" spans="1:139" s="51" customFormat="1" ht="15" customHeight="1" x14ac:dyDescent="0.2">
      <c r="A9" s="95" t="s">
        <v>32</v>
      </c>
      <c r="B9" s="110"/>
      <c r="C9" s="110"/>
      <c r="D9" s="478"/>
      <c r="G9" s="306"/>
      <c r="H9" s="95" t="s">
        <v>32</v>
      </c>
      <c r="I9" s="306"/>
      <c r="M9" s="95" t="s">
        <v>32</v>
      </c>
      <c r="P9" s="178"/>
      <c r="Q9" s="95" t="s">
        <v>32</v>
      </c>
      <c r="T9" s="306" t="s">
        <v>30</v>
      </c>
      <c r="U9" s="306" t="s">
        <v>32</v>
      </c>
      <c r="W9" s="110"/>
      <c r="X9" s="110"/>
      <c r="Y9" s="110"/>
      <c r="Z9" s="95" t="s">
        <v>32</v>
      </c>
      <c r="AE9" s="306" t="s">
        <v>32</v>
      </c>
      <c r="AG9" s="306" t="s">
        <v>372</v>
      </c>
      <c r="AH9" s="306" t="s">
        <v>375</v>
      </c>
      <c r="AI9" s="306" t="s">
        <v>373</v>
      </c>
      <c r="AJ9" s="306" t="s">
        <v>374</v>
      </c>
      <c r="AK9" s="306" t="s">
        <v>373</v>
      </c>
      <c r="AL9" s="306" t="s">
        <v>372</v>
      </c>
      <c r="AM9" s="306" t="s">
        <v>371</v>
      </c>
      <c r="AN9" s="197" t="s">
        <v>370</v>
      </c>
      <c r="AP9" s="477"/>
      <c r="AQ9" s="476"/>
      <c r="AR9" s="476"/>
      <c r="AS9" s="306" t="s">
        <v>32</v>
      </c>
      <c r="AW9" s="306" t="s">
        <v>32</v>
      </c>
      <c r="AX9" s="177"/>
      <c r="AY9" s="177"/>
      <c r="AZ9" s="177"/>
      <c r="BA9" s="177"/>
      <c r="BB9" s="95" t="s">
        <v>32</v>
      </c>
      <c r="BC9" s="110"/>
      <c r="BD9" s="110"/>
      <c r="BF9" s="197" t="s">
        <v>370</v>
      </c>
      <c r="BH9" s="475"/>
      <c r="BI9" s="95"/>
      <c r="BJ9" s="95"/>
      <c r="BK9" s="95" t="s">
        <v>32</v>
      </c>
      <c r="BM9" s="95"/>
      <c r="BN9" s="95"/>
      <c r="BO9" s="95"/>
      <c r="BP9" s="227" t="s">
        <v>32</v>
      </c>
      <c r="BQ9" s="174"/>
      <c r="BR9" s="474"/>
      <c r="BS9" s="473"/>
      <c r="BT9" s="175"/>
      <c r="BU9" s="95" t="s">
        <v>32</v>
      </c>
      <c r="BV9" s="472"/>
      <c r="BW9" s="472"/>
      <c r="BX9" s="472"/>
      <c r="BY9" s="472"/>
      <c r="BZ9" s="306" t="s">
        <v>32</v>
      </c>
      <c r="CE9" s="306" t="s">
        <v>32</v>
      </c>
      <c r="CF9" s="110"/>
      <c r="CG9" s="95"/>
      <c r="CH9" s="95"/>
      <c r="CI9" s="95" t="s">
        <v>369</v>
      </c>
      <c r="CJ9" s="95" t="s">
        <v>32</v>
      </c>
      <c r="CN9" s="306" t="s">
        <v>30</v>
      </c>
      <c r="CO9" s="306" t="s">
        <v>32</v>
      </c>
      <c r="CP9" s="110"/>
      <c r="CT9" s="306" t="s">
        <v>32</v>
      </c>
      <c r="CY9" s="53"/>
      <c r="DA9" s="470" t="s">
        <v>368</v>
      </c>
      <c r="DB9" s="470"/>
      <c r="DC9" s="470"/>
      <c r="DD9" s="470"/>
      <c r="DE9" s="470"/>
      <c r="DF9" s="470"/>
      <c r="DG9" s="470"/>
      <c r="DH9" s="470"/>
      <c r="DI9" s="470"/>
      <c r="DJ9" s="470"/>
      <c r="DK9" s="471"/>
      <c r="DL9" s="470"/>
      <c r="DM9" s="470"/>
      <c r="DN9" s="470"/>
      <c r="DO9" s="470"/>
      <c r="DP9" s="470"/>
      <c r="DQ9" s="470"/>
      <c r="DR9" s="470"/>
      <c r="DS9" s="470"/>
      <c r="DT9" s="471"/>
      <c r="DU9" s="471"/>
      <c r="DV9" s="471"/>
      <c r="DW9" s="471"/>
      <c r="DX9" s="471"/>
      <c r="DY9" s="470"/>
      <c r="ED9" s="306"/>
      <c r="EF9" s="94"/>
      <c r="EG9" s="94"/>
      <c r="EH9" s="94"/>
      <c r="EI9" s="94"/>
    </row>
    <row r="10" spans="1:139" s="51" customFormat="1" ht="15" customHeight="1" x14ac:dyDescent="0.2">
      <c r="A10" s="461" t="s">
        <v>34</v>
      </c>
      <c r="B10" s="459" t="s">
        <v>35</v>
      </c>
      <c r="C10" s="459"/>
      <c r="D10" s="459"/>
      <c r="E10" s="459"/>
      <c r="F10" s="459"/>
      <c r="G10" s="448"/>
      <c r="H10" s="461" t="s">
        <v>34</v>
      </c>
      <c r="I10" s="459" t="s">
        <v>35</v>
      </c>
      <c r="J10" s="459"/>
      <c r="K10" s="448" t="s">
        <v>83</v>
      </c>
      <c r="L10" s="448" t="s">
        <v>37</v>
      </c>
      <c r="M10" s="461" t="s">
        <v>34</v>
      </c>
      <c r="N10" s="460" t="s">
        <v>35</v>
      </c>
      <c r="O10" s="459"/>
      <c r="P10" s="469" t="s">
        <v>83</v>
      </c>
      <c r="Q10" s="461" t="s">
        <v>34</v>
      </c>
      <c r="R10" s="460" t="s">
        <v>35</v>
      </c>
      <c r="S10" s="448"/>
      <c r="T10" s="448" t="s">
        <v>83</v>
      </c>
      <c r="U10" s="448" t="s">
        <v>34</v>
      </c>
      <c r="V10" s="460" t="s">
        <v>35</v>
      </c>
      <c r="W10" s="448"/>
      <c r="X10" s="448" t="s">
        <v>83</v>
      </c>
      <c r="Y10" s="448" t="s">
        <v>37</v>
      </c>
      <c r="Z10" s="448" t="s">
        <v>34</v>
      </c>
      <c r="AA10" s="468" t="s">
        <v>35</v>
      </c>
      <c r="AB10" s="468"/>
      <c r="AC10" s="460"/>
      <c r="AD10" s="458" t="s">
        <v>83</v>
      </c>
      <c r="AE10" s="448" t="s">
        <v>34</v>
      </c>
      <c r="AF10" s="448" t="s">
        <v>367</v>
      </c>
      <c r="AG10" s="448" t="s">
        <v>366</v>
      </c>
      <c r="AH10" s="448" t="s">
        <v>38</v>
      </c>
      <c r="AI10" s="448" t="s">
        <v>365</v>
      </c>
      <c r="AJ10" s="448" t="s">
        <v>61</v>
      </c>
      <c r="AK10" s="448" t="s">
        <v>364</v>
      </c>
      <c r="AL10" s="448" t="s">
        <v>38</v>
      </c>
      <c r="AM10" s="448" t="s">
        <v>363</v>
      </c>
      <c r="AN10" s="467" t="s">
        <v>34</v>
      </c>
      <c r="AO10" s="460" t="s">
        <v>35</v>
      </c>
      <c r="AP10" s="463" t="s">
        <v>33</v>
      </c>
      <c r="AQ10" s="462" t="s">
        <v>36</v>
      </c>
      <c r="AR10" s="461" t="s">
        <v>37</v>
      </c>
      <c r="AS10" s="448" t="s">
        <v>34</v>
      </c>
      <c r="AT10" s="460" t="s">
        <v>35</v>
      </c>
      <c r="AU10" s="459"/>
      <c r="AV10" s="448" t="s">
        <v>83</v>
      </c>
      <c r="AW10" s="448" t="s">
        <v>34</v>
      </c>
      <c r="AX10" s="468" t="s">
        <v>35</v>
      </c>
      <c r="AY10" s="448" t="s">
        <v>85</v>
      </c>
      <c r="AZ10" s="448" t="s">
        <v>36</v>
      </c>
      <c r="BA10" s="448" t="s">
        <v>37</v>
      </c>
      <c r="BB10" s="461" t="s">
        <v>34</v>
      </c>
      <c r="BC10" s="468" t="s">
        <v>35</v>
      </c>
      <c r="BD10" s="448"/>
      <c r="BE10" s="458" t="s">
        <v>83</v>
      </c>
      <c r="BF10" s="467" t="s">
        <v>34</v>
      </c>
      <c r="BG10" s="460" t="s">
        <v>35</v>
      </c>
      <c r="BH10" s="463" t="s">
        <v>33</v>
      </c>
      <c r="BI10" s="462" t="s">
        <v>36</v>
      </c>
      <c r="BJ10" s="461" t="s">
        <v>37</v>
      </c>
      <c r="BK10" s="448" t="s">
        <v>34</v>
      </c>
      <c r="BL10" s="459" t="s">
        <v>35</v>
      </c>
      <c r="BM10" s="461" t="s">
        <v>33</v>
      </c>
      <c r="BN10" s="461" t="s">
        <v>36</v>
      </c>
      <c r="BO10" s="461" t="s">
        <v>37</v>
      </c>
      <c r="BP10" s="465" t="s">
        <v>34</v>
      </c>
      <c r="BQ10" s="466" t="s">
        <v>35</v>
      </c>
      <c r="BR10" s="465" t="s">
        <v>33</v>
      </c>
      <c r="BS10" s="465" t="s">
        <v>36</v>
      </c>
      <c r="BT10" s="465" t="s">
        <v>37</v>
      </c>
      <c r="BU10" s="461" t="s">
        <v>34</v>
      </c>
      <c r="BV10" s="464"/>
      <c r="BW10" s="448" t="s">
        <v>33</v>
      </c>
      <c r="BX10" s="448" t="s">
        <v>36</v>
      </c>
      <c r="BY10" s="461" t="s">
        <v>37</v>
      </c>
      <c r="BZ10" s="448" t="s">
        <v>34</v>
      </c>
      <c r="CA10" s="459" t="s">
        <v>35</v>
      </c>
      <c r="CB10" s="461" t="s">
        <v>362</v>
      </c>
      <c r="CC10" s="461" t="s">
        <v>361</v>
      </c>
      <c r="CD10" s="461" t="s">
        <v>360</v>
      </c>
      <c r="CE10" s="448" t="s">
        <v>34</v>
      </c>
      <c r="CF10" s="459" t="s">
        <v>35</v>
      </c>
      <c r="CG10" s="461" t="s">
        <v>33</v>
      </c>
      <c r="CH10" s="461" t="s">
        <v>36</v>
      </c>
      <c r="CI10" s="461" t="s">
        <v>359</v>
      </c>
      <c r="CJ10" s="461" t="s">
        <v>34</v>
      </c>
      <c r="CK10" s="460" t="s">
        <v>35</v>
      </c>
      <c r="CL10" s="448"/>
      <c r="CM10" s="448"/>
      <c r="CN10" s="448" t="s">
        <v>83</v>
      </c>
      <c r="CO10" s="448" t="s">
        <v>34</v>
      </c>
      <c r="CP10" s="459" t="s">
        <v>35</v>
      </c>
      <c r="CQ10" s="463" t="s">
        <v>33</v>
      </c>
      <c r="CR10" s="462" t="s">
        <v>36</v>
      </c>
      <c r="CS10" s="461" t="s">
        <v>37</v>
      </c>
      <c r="CT10" s="448" t="s">
        <v>34</v>
      </c>
      <c r="CU10" s="460" t="s">
        <v>35</v>
      </c>
      <c r="CV10" s="459"/>
      <c r="CW10" s="459"/>
      <c r="CX10" s="458" t="s">
        <v>44</v>
      </c>
      <c r="CY10" s="53"/>
      <c r="DA10" s="175" t="s">
        <v>358</v>
      </c>
      <c r="DB10" s="306" t="s">
        <v>357</v>
      </c>
      <c r="DC10" s="306" t="s">
        <v>61</v>
      </c>
      <c r="DD10" s="306" t="s">
        <v>356</v>
      </c>
      <c r="DE10" s="306" t="s">
        <v>355</v>
      </c>
      <c r="DF10" s="306" t="s">
        <v>354</v>
      </c>
      <c r="DG10" s="306" t="s">
        <v>353</v>
      </c>
      <c r="DH10" s="306"/>
      <c r="DI10" s="306"/>
      <c r="DJ10" s="95" t="s">
        <v>352</v>
      </c>
      <c r="DK10" s="306" t="s">
        <v>351</v>
      </c>
      <c r="DL10" s="306" t="s">
        <v>350</v>
      </c>
      <c r="DM10" s="306" t="s">
        <v>349</v>
      </c>
      <c r="DN10" s="306" t="s">
        <v>348</v>
      </c>
      <c r="DO10" s="306" t="s">
        <v>347</v>
      </c>
      <c r="DP10" s="306" t="s">
        <v>346</v>
      </c>
      <c r="DQ10" s="306"/>
      <c r="DR10" s="306"/>
      <c r="DS10" s="306" t="s">
        <v>345</v>
      </c>
      <c r="DT10" s="306" t="s">
        <v>82</v>
      </c>
      <c r="DU10" s="306" t="s">
        <v>344</v>
      </c>
      <c r="DV10" s="306" t="s">
        <v>343</v>
      </c>
      <c r="DW10" s="306" t="s">
        <v>342</v>
      </c>
      <c r="DX10" s="306" t="s">
        <v>341</v>
      </c>
      <c r="DY10" s="306" t="s">
        <v>39</v>
      </c>
      <c r="EB10" s="306" t="s">
        <v>33</v>
      </c>
      <c r="EC10" s="306"/>
      <c r="ED10" s="306" t="s">
        <v>36</v>
      </c>
      <c r="EF10" s="94"/>
      <c r="EG10" s="94"/>
      <c r="EH10" s="94"/>
      <c r="EI10" s="94"/>
    </row>
    <row r="11" spans="1:139" ht="15" customHeight="1" x14ac:dyDescent="0.2">
      <c r="A11" s="29">
        <v>1</v>
      </c>
      <c r="B11" s="382" t="s">
        <v>340</v>
      </c>
      <c r="C11" s="145"/>
      <c r="D11" s="145"/>
      <c r="F11" s="420"/>
      <c r="H11" s="29">
        <v>1</v>
      </c>
      <c r="I11" s="51" t="s">
        <v>339</v>
      </c>
      <c r="P11" s="157"/>
      <c r="Q11" s="29"/>
      <c r="R11" s="431" t="s">
        <v>30</v>
      </c>
      <c r="S11" s="385" t="s">
        <v>30</v>
      </c>
      <c r="T11" s="39"/>
      <c r="U11" s="37"/>
      <c r="V11" s="37"/>
      <c r="W11" s="37"/>
      <c r="X11" s="37"/>
      <c r="Y11" s="37"/>
      <c r="AG11" s="457" t="s">
        <v>431</v>
      </c>
      <c r="AH11" s="457" t="s">
        <v>432</v>
      </c>
      <c r="AI11" s="457" t="s">
        <v>432</v>
      </c>
      <c r="AJ11" s="457" t="s">
        <v>432</v>
      </c>
      <c r="AK11" s="457" t="s">
        <v>432</v>
      </c>
      <c r="AL11" s="457" t="s">
        <v>432</v>
      </c>
      <c r="AO11" s="42"/>
      <c r="AP11" s="48"/>
      <c r="AS11" s="226"/>
      <c r="AT11" s="226"/>
      <c r="AU11" s="226"/>
      <c r="AV11" s="226"/>
      <c r="AW11" s="145"/>
      <c r="AX11" s="145"/>
      <c r="AY11" s="145"/>
      <c r="AZ11" s="145"/>
      <c r="BA11" s="145"/>
      <c r="BG11" s="42"/>
      <c r="BH11" s="48"/>
      <c r="BK11" s="305"/>
      <c r="BL11" s="456"/>
      <c r="BM11" s="455"/>
      <c r="BN11" s="455"/>
      <c r="BO11" s="304"/>
      <c r="BP11" s="141"/>
      <c r="BQ11" s="410"/>
      <c r="BR11" s="141"/>
      <c r="BS11" s="141"/>
      <c r="BT11" s="141"/>
      <c r="BU11" s="29"/>
      <c r="BV11" s="39"/>
      <c r="BW11" s="39"/>
      <c r="BX11" s="40"/>
      <c r="BY11" s="40"/>
      <c r="CE11" s="32"/>
      <c r="CF11" s="69"/>
      <c r="CG11" s="69"/>
      <c r="CH11" s="69"/>
      <c r="CI11" s="69"/>
      <c r="CJ11" s="29"/>
      <c r="CK11" s="49"/>
      <c r="CL11" s="241"/>
      <c r="CM11" s="37"/>
      <c r="CN11" s="37"/>
      <c r="CX11" s="29"/>
      <c r="CY11" s="45" t="s">
        <v>32</v>
      </c>
      <c r="CZ11" s="51"/>
      <c r="DA11" s="175" t="s">
        <v>338</v>
      </c>
      <c r="DB11" s="306" t="s">
        <v>326</v>
      </c>
      <c r="DC11" s="306" t="s">
        <v>337</v>
      </c>
      <c r="DD11" s="65" t="s">
        <v>40</v>
      </c>
      <c r="DE11" s="65" t="s">
        <v>336</v>
      </c>
      <c r="DF11" s="306" t="s">
        <v>335</v>
      </c>
      <c r="DG11" s="306" t="s">
        <v>334</v>
      </c>
      <c r="DH11" s="45" t="s">
        <v>32</v>
      </c>
      <c r="DI11" s="51"/>
      <c r="DJ11" s="95" t="s">
        <v>333</v>
      </c>
      <c r="DK11" s="306" t="s">
        <v>332</v>
      </c>
      <c r="DL11" s="65" t="s">
        <v>331</v>
      </c>
      <c r="DM11" s="306" t="s">
        <v>330</v>
      </c>
      <c r="DN11" s="65" t="s">
        <v>329</v>
      </c>
      <c r="DO11" s="306" t="s">
        <v>328</v>
      </c>
      <c r="DP11" s="306" t="s">
        <v>327</v>
      </c>
      <c r="DQ11" s="45" t="s">
        <v>32</v>
      </c>
      <c r="DR11" s="51"/>
      <c r="DS11" s="306" t="s">
        <v>51</v>
      </c>
      <c r="DT11" s="51"/>
      <c r="DU11" s="306" t="s">
        <v>326</v>
      </c>
      <c r="DV11" s="306" t="s">
        <v>325</v>
      </c>
      <c r="DW11" s="306" t="s">
        <v>324</v>
      </c>
      <c r="DX11" s="306" t="s">
        <v>323</v>
      </c>
      <c r="DY11" s="305" t="s">
        <v>51</v>
      </c>
      <c r="DZ11" s="306" t="s">
        <v>32</v>
      </c>
      <c r="EA11" s="51"/>
      <c r="EB11" s="306" t="s">
        <v>42</v>
      </c>
      <c r="EC11" s="306" t="s">
        <v>39</v>
      </c>
      <c r="ED11" s="306" t="s">
        <v>42</v>
      </c>
    </row>
    <row r="12" spans="1:139" ht="15" customHeight="1" x14ac:dyDescent="0.25">
      <c r="A12" s="135">
        <f t="shared" ref="A12:A49" si="0">+A11+1</f>
        <v>2</v>
      </c>
      <c r="C12" s="454" t="s">
        <v>33</v>
      </c>
      <c r="D12" s="37" t="s">
        <v>322</v>
      </c>
      <c r="E12" s="453" t="s">
        <v>321</v>
      </c>
      <c r="F12" s="29" t="s">
        <v>320</v>
      </c>
      <c r="H12" s="135">
        <f>H11+1</f>
        <v>2</v>
      </c>
      <c r="I12" s="348" t="s">
        <v>319</v>
      </c>
      <c r="K12" s="369">
        <f>'[17]Lead E'!$D$14</f>
        <v>6166656.5310000004</v>
      </c>
      <c r="L12" s="85"/>
      <c r="M12" s="29">
        <v>1</v>
      </c>
      <c r="N12" s="111" t="s">
        <v>318</v>
      </c>
      <c r="O12" s="111"/>
      <c r="P12" s="41">
        <f>'[18]Lead E'!$D$12</f>
        <v>480933819.96180284</v>
      </c>
      <c r="Q12" s="29">
        <v>1</v>
      </c>
      <c r="R12" s="431" t="s">
        <v>48</v>
      </c>
      <c r="S12" s="41">
        <f>+ED49</f>
        <v>5171781802.9056206</v>
      </c>
      <c r="T12" s="39" t="s">
        <v>30</v>
      </c>
      <c r="U12" s="29">
        <v>1</v>
      </c>
      <c r="V12" s="398" t="s">
        <v>317</v>
      </c>
      <c r="W12" s="113"/>
      <c r="X12" s="113"/>
      <c r="Y12" s="113"/>
      <c r="Z12" s="29">
        <v>1</v>
      </c>
      <c r="AA12" s="177" t="s">
        <v>425</v>
      </c>
      <c r="AB12" s="425"/>
      <c r="AC12" s="137"/>
      <c r="AD12" s="421"/>
      <c r="AE12" s="605">
        <v>1</v>
      </c>
      <c r="AF12" s="439" t="s">
        <v>433</v>
      </c>
      <c r="AG12" s="452">
        <f>[19]Lead!$C$14</f>
        <v>16933464.380000003</v>
      </c>
      <c r="AH12" s="452">
        <f>[19]Lead!$D$14</f>
        <v>2168129073.75</v>
      </c>
      <c r="AI12" s="452">
        <f>[19]Lead!$E$14</f>
        <v>61281977.329999998</v>
      </c>
      <c r="AJ12" s="452">
        <f>[19]Lead!$F$14</f>
        <v>22000392.900000002</v>
      </c>
      <c r="AK12" s="452">
        <f>[19]Lead!$G$14</f>
        <v>352692.47999999998</v>
      </c>
      <c r="AL12" s="452">
        <f>AH12-AI12-AJ12-AK12</f>
        <v>2084494011.04</v>
      </c>
      <c r="AM12" s="424">
        <f>ROUND(AG12/AL12,6)</f>
        <v>8.1239999999999993E-3</v>
      </c>
      <c r="AN12" s="29">
        <v>1</v>
      </c>
      <c r="AO12" s="316" t="s">
        <v>316</v>
      </c>
      <c r="AP12" s="85">
        <f>'[20]Lead E'!C12</f>
        <v>10160385.628067544</v>
      </c>
      <c r="AQ12" s="85">
        <f>'[20]Lead E'!D12</f>
        <v>8158371.5248022452</v>
      </c>
      <c r="AR12" s="85">
        <f>AQ12-AP12</f>
        <v>-2002014.1032652985</v>
      </c>
      <c r="AS12" s="29">
        <v>1</v>
      </c>
      <c r="AT12" s="110" t="s">
        <v>315</v>
      </c>
      <c r="AU12" s="318"/>
      <c r="AV12" s="41">
        <f>+'[21]Lead E'!$D$12</f>
        <v>87944272.187950015</v>
      </c>
      <c r="AW12" s="29">
        <v>1</v>
      </c>
      <c r="AX12" s="145" t="s">
        <v>314</v>
      </c>
      <c r="AY12" s="165">
        <f>+'[22] Elec'!$C$12</f>
        <v>87399.788213822103</v>
      </c>
      <c r="AZ12" s="165">
        <f>+'[22] Elec'!$D$12</f>
        <v>80082.420818800587</v>
      </c>
      <c r="BA12" s="165">
        <f>+AZ12-AY12</f>
        <v>-7317.3673950215161</v>
      </c>
      <c r="BB12" s="135" t="s">
        <v>45</v>
      </c>
      <c r="BC12" s="49" t="s">
        <v>313</v>
      </c>
      <c r="BD12" s="49"/>
      <c r="BE12" s="64">
        <f>'[23]Lead E'!$D$11</f>
        <v>395844.34257240192</v>
      </c>
      <c r="BF12" s="232">
        <v>1</v>
      </c>
      <c r="BG12" s="145" t="s">
        <v>312</v>
      </c>
      <c r="BH12" s="116">
        <f>+'[24]Lead E'!$C$14</f>
        <v>3935659.5920573566</v>
      </c>
      <c r="BI12" s="116">
        <f>+'[24]Lead E'!$D$14</f>
        <v>6953536.0105129313</v>
      </c>
      <c r="BJ12" s="85">
        <f>BI12-BH12</f>
        <v>3017876.4184555747</v>
      </c>
      <c r="BK12" s="29">
        <v>1</v>
      </c>
      <c r="BL12" s="85" t="s">
        <v>311</v>
      </c>
      <c r="BM12" s="85">
        <f>'[25]Lead E'!C13</f>
        <v>450000</v>
      </c>
      <c r="BN12" s="85">
        <f>'[25]Lead E'!D13</f>
        <v>202500</v>
      </c>
      <c r="BO12" s="85">
        <f>BN12-BM12</f>
        <v>-247500</v>
      </c>
      <c r="BP12" s="232">
        <v>1</v>
      </c>
      <c r="BQ12" s="451" t="s">
        <v>310</v>
      </c>
      <c r="BR12" s="450"/>
      <c r="BS12" s="450"/>
      <c r="BT12" s="450"/>
      <c r="BU12" s="29">
        <v>1</v>
      </c>
      <c r="BV12" s="449" t="s">
        <v>309</v>
      </c>
      <c r="BW12" s="41">
        <f>DA41</f>
        <v>-237759.90000001015</v>
      </c>
      <c r="BX12" s="41">
        <v>0</v>
      </c>
      <c r="BY12" s="41">
        <f>BX12-BW12</f>
        <v>237759.90000001015</v>
      </c>
      <c r="BZ12" s="29">
        <v>1</v>
      </c>
      <c r="CA12" s="190" t="s">
        <v>308</v>
      </c>
      <c r="CE12" s="29">
        <v>1</v>
      </c>
      <c r="CF12" s="412" t="s">
        <v>307</v>
      </c>
      <c r="CH12" s="85"/>
      <c r="CI12" s="85"/>
      <c r="CJ12" s="29">
        <f t="shared" ref="CJ12:CJ25" si="1">CJ11+1</f>
        <v>1</v>
      </c>
      <c r="CK12" s="381" t="s">
        <v>306</v>
      </c>
      <c r="CL12" s="39"/>
      <c r="CM12" s="39"/>
      <c r="CN12" s="39">
        <f>+[26]Lead!$E$12</f>
        <v>4454548000</v>
      </c>
      <c r="CO12" s="29">
        <v>1</v>
      </c>
      <c r="CP12" s="398" t="s">
        <v>305</v>
      </c>
      <c r="CQ12" s="85"/>
      <c r="CR12" s="85"/>
      <c r="CS12" s="85"/>
      <c r="CT12" s="29">
        <v>1</v>
      </c>
      <c r="CU12" s="145" t="s">
        <v>158</v>
      </c>
      <c r="CX12" s="408">
        <f>AM16</f>
        <v>8.0199999999999994E-3</v>
      </c>
      <c r="CY12" s="45" t="s">
        <v>34</v>
      </c>
      <c r="CZ12" s="51"/>
      <c r="DA12" s="175" t="s">
        <v>454</v>
      </c>
      <c r="DB12" s="66">
        <v>5.09</v>
      </c>
      <c r="DC12" s="66">
        <f>DB12+0.01</f>
        <v>5.0999999999999996</v>
      </c>
      <c r="DD12" s="66">
        <f>DC12+0.01</f>
        <v>5.1099999999999994</v>
      </c>
      <c r="DE12" s="66">
        <f>DD12+0.01</f>
        <v>5.1199999999999992</v>
      </c>
      <c r="DF12" s="66">
        <f>DE12+0.01</f>
        <v>5.129999999999999</v>
      </c>
      <c r="DG12" s="66">
        <f>DF12+0.01</f>
        <v>5.1399999999999988</v>
      </c>
      <c r="DH12" s="45" t="s">
        <v>34</v>
      </c>
      <c r="DI12" s="51"/>
      <c r="DJ12" s="66">
        <f>DG12+0.01</f>
        <v>5.1499999999999986</v>
      </c>
      <c r="DK12" s="66">
        <f t="shared" ref="DK12:DP12" si="2">DJ12+0.01</f>
        <v>5.1599999999999984</v>
      </c>
      <c r="DL12" s="66">
        <f t="shared" si="2"/>
        <v>5.1699999999999982</v>
      </c>
      <c r="DM12" s="66">
        <f t="shared" si="2"/>
        <v>5.1799999999999979</v>
      </c>
      <c r="DN12" s="66">
        <f t="shared" si="2"/>
        <v>5.1899999999999977</v>
      </c>
      <c r="DO12" s="66">
        <f t="shared" si="2"/>
        <v>5.1999999999999975</v>
      </c>
      <c r="DP12" s="66">
        <f t="shared" si="2"/>
        <v>5.2099999999999973</v>
      </c>
      <c r="DQ12" s="45" t="s">
        <v>34</v>
      </c>
      <c r="DR12" s="51"/>
      <c r="DS12" s="66">
        <f>DP12+0.01</f>
        <v>5.2199999999999971</v>
      </c>
      <c r="DT12" s="66">
        <f>DS12+0.01</f>
        <v>5.2299999999999969</v>
      </c>
      <c r="DU12" s="66">
        <f>DT12+0.01</f>
        <v>5.2399999999999967</v>
      </c>
      <c r="DV12" s="66">
        <f>DU12+0.01</f>
        <v>5.2499999999999964</v>
      </c>
      <c r="DW12" s="66">
        <f>DV12+0.01</f>
        <v>5.2599999999999962</v>
      </c>
      <c r="DX12" s="66">
        <f>DW12+0.01</f>
        <v>5.269999999999996</v>
      </c>
      <c r="DY12" s="305"/>
      <c r="DZ12" s="448" t="s">
        <v>34</v>
      </c>
      <c r="EA12" s="401"/>
      <c r="EB12" s="448" t="s">
        <v>43</v>
      </c>
      <c r="EC12" s="448" t="s">
        <v>51</v>
      </c>
      <c r="ED12" s="448" t="s">
        <v>43</v>
      </c>
    </row>
    <row r="13" spans="1:139" ht="15" customHeight="1" x14ac:dyDescent="0.25">
      <c r="A13" s="135">
        <f t="shared" si="0"/>
        <v>3</v>
      </c>
      <c r="C13" s="447" t="s">
        <v>304</v>
      </c>
      <c r="D13" s="166" t="s">
        <v>304</v>
      </c>
      <c r="E13" s="446" t="s">
        <v>303</v>
      </c>
      <c r="F13" s="445" t="s">
        <v>439</v>
      </c>
      <c r="H13" s="135">
        <f t="shared" ref="H13:H41" si="3">+H12+1</f>
        <v>3</v>
      </c>
      <c r="I13" s="348" t="s">
        <v>302</v>
      </c>
      <c r="K13" s="143">
        <f>'[17]Lead E'!$D$15</f>
        <v>-1638991.08</v>
      </c>
      <c r="M13" s="29">
        <f t="shared" ref="M13:M29" si="4">M12+1</f>
        <v>2</v>
      </c>
      <c r="N13" s="145"/>
      <c r="O13" s="145"/>
      <c r="P13" s="58"/>
      <c r="Q13" s="29">
        <f t="shared" ref="Q13:Q24" si="5">Q12+1</f>
        <v>2</v>
      </c>
      <c r="R13" s="431"/>
      <c r="S13" s="47" t="s">
        <v>30</v>
      </c>
      <c r="T13" s="376" t="s">
        <v>30</v>
      </c>
      <c r="U13" s="29">
        <f t="shared" ref="U13:U49" si="6">+U12+1</f>
        <v>2</v>
      </c>
      <c r="V13" s="342" t="s">
        <v>301</v>
      </c>
      <c r="W13" s="113"/>
      <c r="X13" s="116"/>
      <c r="Y13" s="116">
        <f>'[27]Lead E'!$E$12</f>
        <v>111832553.308</v>
      </c>
      <c r="Z13" s="29">
        <v>2</v>
      </c>
      <c r="AA13" s="145"/>
      <c r="AB13" s="425"/>
      <c r="AC13" s="137"/>
      <c r="AD13" s="421"/>
      <c r="AE13" s="605">
        <v>2</v>
      </c>
      <c r="AF13" s="439" t="s">
        <v>434</v>
      </c>
      <c r="AG13" s="386">
        <f>[19]Lead!$C$15</f>
        <v>16371341.030000001</v>
      </c>
      <c r="AH13" s="386">
        <f>[19]Lead!$D$15</f>
        <v>2258980887.98</v>
      </c>
      <c r="AI13" s="386">
        <f>[19]Lead!$E$15</f>
        <v>52655030.960000001</v>
      </c>
      <c r="AJ13" s="386">
        <f>[19]Lead!$F$15</f>
        <v>18382111.43</v>
      </c>
      <c r="AK13" s="386">
        <f>[19]Lead!$G$15</f>
        <v>335399.09000000003</v>
      </c>
      <c r="AL13" s="386">
        <f>AH13-AI13-AJ13-AK13</f>
        <v>2187608346.5</v>
      </c>
      <c r="AM13" s="424">
        <f>ROUND(AG13/AL13,6)</f>
        <v>7.4840000000000002E-3</v>
      </c>
      <c r="AN13" s="29">
        <f t="shared" ref="AN13:AN20" si="7">AN12+1</f>
        <v>2</v>
      </c>
      <c r="AO13" s="395"/>
      <c r="AP13" s="125"/>
      <c r="AQ13" s="125"/>
      <c r="AR13" s="125"/>
      <c r="AS13" s="29">
        <v>2</v>
      </c>
      <c r="AT13" s="318" t="s">
        <v>274</v>
      </c>
      <c r="AU13" s="318"/>
      <c r="AV13" s="330">
        <f>+'[21]Lead E'!$C$12</f>
        <v>87921192.234495014</v>
      </c>
      <c r="AW13" s="29">
        <f t="shared" ref="AW13:AW20" si="8">AW12+1</f>
        <v>2</v>
      </c>
      <c r="AX13" s="145"/>
      <c r="AY13" s="444"/>
      <c r="AZ13" s="444"/>
      <c r="BA13" s="385"/>
      <c r="BB13" s="135">
        <f>1+BB12</f>
        <v>2</v>
      </c>
      <c r="BC13" s="412"/>
      <c r="BD13" s="412"/>
      <c r="BE13" s="116"/>
      <c r="BF13" s="232">
        <f t="shared" ref="BF13:BF19" si="9">BF12+1</f>
        <v>2</v>
      </c>
      <c r="BG13" s="145"/>
      <c r="BH13" s="343"/>
      <c r="BI13" s="343"/>
      <c r="BJ13" s="343"/>
      <c r="BK13" s="29">
        <f t="shared" ref="BK13:BK19" si="10">BK12+1</f>
        <v>2</v>
      </c>
      <c r="BL13" s="85" t="s">
        <v>300</v>
      </c>
      <c r="BM13" s="242">
        <f>'[25]Lead E'!C14</f>
        <v>1548621.6112537242</v>
      </c>
      <c r="BN13" s="242">
        <f>'[25]Lead E'!D14</f>
        <v>813467.74207254779</v>
      </c>
      <c r="BO13" s="242">
        <f>BN13-BM13</f>
        <v>-735153.86918117641</v>
      </c>
      <c r="BP13" s="232">
        <f t="shared" ref="BP13:BP23" si="11">BP12+1</f>
        <v>2</v>
      </c>
      <c r="BQ13" s="105" t="s">
        <v>466</v>
      </c>
      <c r="BR13" s="116">
        <f>'[28]Lead E'!$C$13</f>
        <v>3200</v>
      </c>
      <c r="BS13" s="443">
        <v>0</v>
      </c>
      <c r="BT13" s="116">
        <f>BS13-BR13</f>
        <v>-3200</v>
      </c>
      <c r="BU13" s="29">
        <f t="shared" ref="BU13:BU20" si="12">BU12+1</f>
        <v>2</v>
      </c>
      <c r="BV13" s="145"/>
      <c r="BW13" s="442"/>
      <c r="BX13" s="40"/>
      <c r="BY13" s="40"/>
      <c r="BZ13" s="29">
        <f t="shared" ref="BZ13:BZ30" si="13">BZ12+1</f>
        <v>2</v>
      </c>
      <c r="CA13" s="412" t="s">
        <v>299</v>
      </c>
      <c r="CB13" s="165">
        <f>'[29]Storm Lead'!C17</f>
        <v>58223.1</v>
      </c>
      <c r="CC13" s="165">
        <f>'[29]Storm Lead'!D17</f>
        <v>2060628.4999999995</v>
      </c>
      <c r="CD13" s="165">
        <f t="shared" ref="CD13:CD18" si="14">SUM(CB13:CC13)</f>
        <v>2118851.5999999996</v>
      </c>
      <c r="CE13" s="29">
        <f t="shared" ref="CE13:CE24" si="15">CE12+1</f>
        <v>2</v>
      </c>
      <c r="CF13" s="226" t="s">
        <v>46</v>
      </c>
      <c r="CG13" s="85">
        <f>+'[30]Lead Sheet'!C14</f>
        <v>192974971.49000001</v>
      </c>
      <c r="CH13" s="85">
        <f>+'[30]Lead Sheet'!D14</f>
        <v>191271195.98000002</v>
      </c>
      <c r="CI13" s="85">
        <f>+'[30]Lead Sheet'!E14</f>
        <v>-1703775.51</v>
      </c>
      <c r="CJ13" s="29">
        <f t="shared" si="1"/>
        <v>2</v>
      </c>
      <c r="CK13" s="410" t="s">
        <v>298</v>
      </c>
      <c r="CN13" s="226">
        <v>0.05</v>
      </c>
      <c r="CO13" s="29">
        <f t="shared" ref="CO13:CO24" si="16">CO12+1</f>
        <v>2</v>
      </c>
      <c r="CP13" s="398" t="s">
        <v>297</v>
      </c>
      <c r="CR13" s="137"/>
      <c r="CS13" s="137"/>
      <c r="CT13" s="29">
        <v>2</v>
      </c>
      <c r="CU13" s="145" t="s">
        <v>159</v>
      </c>
      <c r="CX13" s="408">
        <f>'[3]4.01 E'!$E$15</f>
        <v>2E-3</v>
      </c>
      <c r="CY13" s="46" t="s">
        <v>95</v>
      </c>
      <c r="CZ13" s="32"/>
      <c r="DA13" s="69"/>
      <c r="DB13" s="32"/>
      <c r="DC13" s="32"/>
      <c r="DD13" s="32"/>
      <c r="DE13" s="32"/>
      <c r="DF13" s="32"/>
      <c r="DG13" s="32"/>
      <c r="DH13" s="46" t="s">
        <v>95</v>
      </c>
      <c r="DI13" s="32"/>
      <c r="DJ13" s="32"/>
      <c r="DK13" s="32"/>
      <c r="DL13" s="32"/>
      <c r="DM13" s="32"/>
      <c r="DN13" s="32"/>
      <c r="DO13" s="32"/>
      <c r="DP13" s="32"/>
      <c r="DQ13" s="46" t="s">
        <v>95</v>
      </c>
      <c r="DR13" s="32"/>
      <c r="DS13" s="32"/>
      <c r="DT13" s="32"/>
      <c r="DU13" s="32"/>
      <c r="DV13" s="32"/>
      <c r="DW13" s="32"/>
      <c r="DX13" s="32"/>
      <c r="DY13" s="32"/>
    </row>
    <row r="14" spans="1:139" ht="15" customHeight="1" x14ac:dyDescent="0.25">
      <c r="A14" s="135">
        <f t="shared" si="0"/>
        <v>4</v>
      </c>
      <c r="B14" s="716">
        <v>42917</v>
      </c>
      <c r="C14" s="125">
        <f>'[31]Summary Sheet'!C12</f>
        <v>1674840812</v>
      </c>
      <c r="D14" s="125">
        <f>'[31]Summary Sheet'!D12</f>
        <v>1664895712.9958138</v>
      </c>
      <c r="E14" s="125">
        <f t="shared" ref="E14:E25" si="17">+D14-C14</f>
        <v>-9945099.0041861534</v>
      </c>
      <c r="F14" s="125">
        <f t="shared" ref="F14:F15" si="18">E14*(1-0.073)</f>
        <v>-9219106.7768805642</v>
      </c>
      <c r="H14" s="135">
        <f t="shared" si="3"/>
        <v>4</v>
      </c>
      <c r="I14" s="348" t="s">
        <v>216</v>
      </c>
      <c r="K14" s="143">
        <f>'[17]Lead E'!$D$16</f>
        <v>48152729.398000002</v>
      </c>
      <c r="M14" s="29">
        <f t="shared" si="4"/>
        <v>3</v>
      </c>
      <c r="N14" s="38" t="s">
        <v>296</v>
      </c>
      <c r="O14" s="441">
        <f>FIT_CBR</f>
        <v>0.27999999999999997</v>
      </c>
      <c r="P14" s="330">
        <f>P12*O14</f>
        <v>134661469.58930477</v>
      </c>
      <c r="Q14" s="29">
        <f t="shared" si="5"/>
        <v>3</v>
      </c>
      <c r="R14" s="431" t="s">
        <v>295</v>
      </c>
      <c r="S14" s="440">
        <f>ROUND('[35]CBR COC Pg1'!$F$26,4)</f>
        <v>2.8899999999999999E-2</v>
      </c>
      <c r="T14" s="376" t="s">
        <v>30</v>
      </c>
      <c r="U14" s="29">
        <f t="shared" si="6"/>
        <v>3</v>
      </c>
      <c r="V14" s="105" t="s">
        <v>294</v>
      </c>
      <c r="W14" s="113"/>
      <c r="X14" s="116"/>
      <c r="Y14" s="113">
        <f>'[27]Lead E'!$E13</f>
        <v>63438655.561999999</v>
      </c>
      <c r="Z14" s="29">
        <v>3</v>
      </c>
      <c r="AA14" s="354" t="s">
        <v>418</v>
      </c>
      <c r="AB14" s="425"/>
      <c r="AC14" s="421"/>
      <c r="AD14" s="421"/>
      <c r="AE14" s="605">
        <v>3</v>
      </c>
      <c r="AF14" s="439" t="s">
        <v>435</v>
      </c>
      <c r="AG14" s="386">
        <f>[19]Lead!$C$16</f>
        <v>19105884.939999998</v>
      </c>
      <c r="AH14" s="386">
        <f>[19]Lead!$D$16</f>
        <v>2441423797.6500001</v>
      </c>
      <c r="AI14" s="386">
        <f>[19]Lead!$E$16</f>
        <v>53588426.789999999</v>
      </c>
      <c r="AJ14" s="386">
        <f>[19]Lead!$F$16</f>
        <v>127369400.78999999</v>
      </c>
      <c r="AK14" s="386">
        <f>[19]Lead!$G$16</f>
        <v>346779.57</v>
      </c>
      <c r="AL14" s="386">
        <f>AH14-AI14-AJ14-AK14</f>
        <v>2260119190.5</v>
      </c>
      <c r="AM14" s="424">
        <f>ROUND(AG14/AL14,6)</f>
        <v>8.4530000000000004E-3</v>
      </c>
      <c r="AN14" s="29">
        <f t="shared" si="7"/>
        <v>3</v>
      </c>
      <c r="AO14" s="105" t="s">
        <v>293</v>
      </c>
      <c r="AP14" s="242">
        <f>'[20]Lead E'!$C$14</f>
        <v>859897.73516162252</v>
      </c>
      <c r="AQ14" s="242">
        <f>'[20]Lead E'!$D$14</f>
        <v>690462.49360899627</v>
      </c>
      <c r="AR14" s="133">
        <f>AQ14-AP14</f>
        <v>-169435.24155262625</v>
      </c>
      <c r="AS14" s="29">
        <v>3</v>
      </c>
      <c r="AT14" s="438" t="s">
        <v>292</v>
      </c>
      <c r="AU14" s="438"/>
      <c r="AV14" s="47">
        <f>AV12-AV13</f>
        <v>23079.953455001116</v>
      </c>
      <c r="AW14" s="29">
        <f t="shared" si="8"/>
        <v>3</v>
      </c>
      <c r="AX14" s="145" t="s">
        <v>112</v>
      </c>
      <c r="AY14" s="338">
        <f>SUM(AY12:AY13)</f>
        <v>87399.788213822103</v>
      </c>
      <c r="AZ14" s="338">
        <f>SUM(AZ12:AZ13)</f>
        <v>80082.420818800587</v>
      </c>
      <c r="BA14" s="437">
        <f>SUM(BA12:BA13)</f>
        <v>-7317.3673950215161</v>
      </c>
      <c r="BB14" s="135">
        <f>1+BB13</f>
        <v>3</v>
      </c>
      <c r="BE14" s="332"/>
      <c r="BF14" s="232">
        <f t="shared" si="9"/>
        <v>3</v>
      </c>
      <c r="BG14" s="145" t="s">
        <v>291</v>
      </c>
      <c r="BH14" s="116">
        <f>SUM(BH12:BH12)</f>
        <v>3935659.5920573566</v>
      </c>
      <c r="BI14" s="116">
        <f>SUM(BI12:BI12)</f>
        <v>6953536.0105129313</v>
      </c>
      <c r="BJ14" s="113">
        <f>SUM(BJ12:BJ12)</f>
        <v>3017876.4184555747</v>
      </c>
      <c r="BK14" s="29">
        <f t="shared" si="10"/>
        <v>3</v>
      </c>
      <c r="BL14" s="85" t="s">
        <v>290</v>
      </c>
      <c r="BM14" s="436">
        <f>SUM(BM12:BM13)</f>
        <v>1998621.6112537242</v>
      </c>
      <c r="BN14" s="436">
        <f>SUM(BN12:BN13)</f>
        <v>1015967.7420725478</v>
      </c>
      <c r="BO14" s="436">
        <f>SUM(BO12:BO13)</f>
        <v>-982653.86918117641</v>
      </c>
      <c r="BP14" s="232">
        <f t="shared" si="11"/>
        <v>3</v>
      </c>
      <c r="BQ14" s="105" t="s">
        <v>467</v>
      </c>
      <c r="BR14" s="113">
        <f>'[28]Lead E'!$C$14</f>
        <v>455.23747499999996</v>
      </c>
      <c r="BS14" s="435">
        <v>0</v>
      </c>
      <c r="BT14" s="116">
        <f>BS14-BR14</f>
        <v>-455.23747499999996</v>
      </c>
      <c r="BU14" s="29">
        <f t="shared" si="12"/>
        <v>3</v>
      </c>
      <c r="BV14" s="38" t="s">
        <v>112</v>
      </c>
      <c r="BW14" s="434">
        <f>SUM(BW12:BW13)</f>
        <v>-237759.90000001015</v>
      </c>
      <c r="BX14" s="434">
        <f>SUM(BX12:BX13)</f>
        <v>0</v>
      </c>
      <c r="BY14" s="433">
        <f>SUM(BY12:BY13)</f>
        <v>237759.90000001015</v>
      </c>
      <c r="BZ14" s="29">
        <f t="shared" si="13"/>
        <v>3</v>
      </c>
      <c r="CA14" s="412" t="s">
        <v>289</v>
      </c>
      <c r="CB14" s="122">
        <f>'[29]Storm Lead'!C18</f>
        <v>484042.58</v>
      </c>
      <c r="CC14" s="122">
        <f>'[29]Storm Lead'!D18</f>
        <v>15744729.020000001</v>
      </c>
      <c r="CD14" s="122">
        <f t="shared" si="14"/>
        <v>16228771.600000001</v>
      </c>
      <c r="CE14" s="29">
        <f t="shared" si="15"/>
        <v>3</v>
      </c>
      <c r="CF14" s="226" t="s">
        <v>0</v>
      </c>
      <c r="CG14" s="143">
        <f>+'[30]Lead Sheet'!C15</f>
        <v>491827524.63999999</v>
      </c>
      <c r="CH14" s="143">
        <f>+'[30]Lead Sheet'!D15</f>
        <v>495385652.22025484</v>
      </c>
      <c r="CI14" s="143">
        <f>+'[30]Lead Sheet'!E15</f>
        <v>3558127.5802548788</v>
      </c>
      <c r="CJ14" s="29">
        <f t="shared" si="1"/>
        <v>3</v>
      </c>
      <c r="CK14" s="410" t="s">
        <v>288</v>
      </c>
      <c r="CN14" s="226">
        <v>1.4999999999999999E-4</v>
      </c>
      <c r="CO14" s="29">
        <f t="shared" si="16"/>
        <v>3</v>
      </c>
      <c r="CP14" s="426" t="s">
        <v>287</v>
      </c>
      <c r="CQ14" s="85">
        <f>'[32]Lead E'!$D$15</f>
        <v>4539303</v>
      </c>
      <c r="CR14" s="85">
        <v>0</v>
      </c>
      <c r="CS14" s="85">
        <f>CR14-CQ14</f>
        <v>-4539303</v>
      </c>
      <c r="CT14" s="29">
        <v>3</v>
      </c>
      <c r="CU14" s="145" t="str">
        <f>"STATE UTILITY TAX ( ( 1 - LINE 1 ) * "&amp;UTG*100&amp;"% )"</f>
        <v>STATE UTILITY TAX ( ( 1 - LINE 1 ) * 3.8734% )</v>
      </c>
      <c r="CW14" s="236">
        <f>'[3]4.01 E'!$D$16</f>
        <v>3.8733999999999998E-2</v>
      </c>
      <c r="CX14" s="397">
        <f>ROUND(CW14-(CW14*CX12),6)</f>
        <v>3.8422999999999999E-2</v>
      </c>
      <c r="CY14" s="29">
        <v>1</v>
      </c>
      <c r="CZ14" s="145" t="s">
        <v>47</v>
      </c>
      <c r="DA14" s="39"/>
      <c r="DB14" s="48"/>
      <c r="DC14" s="48"/>
      <c r="DD14" s="48"/>
      <c r="DE14" s="48"/>
      <c r="DF14" s="48"/>
      <c r="DG14" s="48"/>
      <c r="DH14" s="432">
        <v>1</v>
      </c>
      <c r="DI14" s="145" t="s">
        <v>47</v>
      </c>
      <c r="DJ14" s="318"/>
      <c r="DK14" s="29"/>
      <c r="DL14" s="48"/>
      <c r="DM14" s="48"/>
      <c r="DN14" s="48"/>
      <c r="DO14" s="29"/>
      <c r="DP14" s="29"/>
      <c r="DQ14" s="432">
        <v>1</v>
      </c>
      <c r="DR14" s="145" t="s">
        <v>47</v>
      </c>
      <c r="DS14" s="29"/>
      <c r="DT14" s="145"/>
      <c r="DU14" s="29"/>
      <c r="DV14" s="29"/>
      <c r="DW14" s="29"/>
      <c r="DX14" s="29"/>
      <c r="DZ14" s="29">
        <v>1</v>
      </c>
      <c r="EA14" s="42" t="s">
        <v>4</v>
      </c>
    </row>
    <row r="15" spans="1:139" ht="15" customHeight="1" thickBot="1" x14ac:dyDescent="0.25">
      <c r="A15" s="135">
        <f t="shared" si="0"/>
        <v>5</v>
      </c>
      <c r="B15" s="716">
        <v>42948</v>
      </c>
      <c r="C15" s="127">
        <f>'[31]Summary Sheet'!C13</f>
        <v>1762350614</v>
      </c>
      <c r="D15" s="125">
        <f>'[31]Summary Sheet'!D13</f>
        <v>1706028678.2529953</v>
      </c>
      <c r="E15" s="125">
        <f t="shared" si="17"/>
        <v>-56321935.747004747</v>
      </c>
      <c r="F15" s="125">
        <f t="shared" si="18"/>
        <v>-52210434.437473401</v>
      </c>
      <c r="H15" s="135">
        <f t="shared" si="3"/>
        <v>5</v>
      </c>
      <c r="I15" s="348"/>
      <c r="K15" s="344"/>
      <c r="M15" s="29">
        <f t="shared" si="4"/>
        <v>4</v>
      </c>
      <c r="N15" s="145" t="s">
        <v>248</v>
      </c>
      <c r="O15" s="59" t="s">
        <v>30</v>
      </c>
      <c r="P15" s="47">
        <f>P14</f>
        <v>134661469.58930477</v>
      </c>
      <c r="Q15" s="29">
        <f t="shared" si="5"/>
        <v>4</v>
      </c>
      <c r="R15" s="431" t="s">
        <v>286</v>
      </c>
      <c r="S15" s="307"/>
      <c r="T15" s="167">
        <f>+S12*S14</f>
        <v>149464494.10397243</v>
      </c>
      <c r="U15" s="29">
        <f t="shared" si="6"/>
        <v>4</v>
      </c>
      <c r="V15" s="342" t="s">
        <v>199</v>
      </c>
      <c r="W15" s="113"/>
      <c r="Y15" s="113">
        <f>'[27]Lead E'!$E14</f>
        <v>87174177.019999996</v>
      </c>
      <c r="Z15" s="29">
        <v>4</v>
      </c>
      <c r="AA15" s="145" t="s">
        <v>285</v>
      </c>
      <c r="AB15" s="425"/>
      <c r="AC15" s="64">
        <f>+'[33]Lead E'!$D$16</f>
        <v>1097000</v>
      </c>
      <c r="AD15" s="421"/>
      <c r="AE15" s="605">
        <v>4</v>
      </c>
      <c r="AG15" s="113"/>
      <c r="AH15" s="113"/>
      <c r="AI15" s="113"/>
      <c r="AJ15" s="113"/>
      <c r="AK15" s="113"/>
      <c r="AL15" s="116"/>
      <c r="AM15" s="116"/>
      <c r="AN15" s="29">
        <f t="shared" si="7"/>
        <v>4</v>
      </c>
      <c r="AO15" s="226" t="s">
        <v>264</v>
      </c>
      <c r="AP15" s="429">
        <f>SUM(AP12:AP14)</f>
        <v>11020283.363229167</v>
      </c>
      <c r="AQ15" s="429">
        <f>SUM(AQ12:AQ14)</f>
        <v>8848834.0184112415</v>
      </c>
      <c r="AR15" s="428">
        <f>SUM(AR12:AR14)</f>
        <v>-2171449.3448179248</v>
      </c>
      <c r="AS15" s="29">
        <v>4</v>
      </c>
      <c r="AT15" s="226"/>
      <c r="AU15" s="226"/>
      <c r="AV15" s="113"/>
      <c r="AW15" s="29">
        <f t="shared" si="8"/>
        <v>4</v>
      </c>
      <c r="AX15" s="145"/>
      <c r="AY15" s="205"/>
      <c r="AZ15" s="205"/>
      <c r="BA15" s="205"/>
      <c r="BB15" s="135">
        <f>1+BB14</f>
        <v>4</v>
      </c>
      <c r="BC15" s="226" t="s">
        <v>84</v>
      </c>
      <c r="BE15" s="360">
        <f>-BE12</f>
        <v>-395844.34257240192</v>
      </c>
      <c r="BF15" s="232">
        <f t="shared" si="9"/>
        <v>4</v>
      </c>
      <c r="BH15" s="125"/>
      <c r="BI15" s="125"/>
      <c r="BJ15" s="125"/>
      <c r="BK15" s="29">
        <f t="shared" si="10"/>
        <v>4</v>
      </c>
      <c r="BL15" s="427"/>
      <c r="BM15" s="413"/>
      <c r="BN15" s="413"/>
      <c r="BO15" s="113"/>
      <c r="BP15" s="232">
        <f t="shared" si="11"/>
        <v>4</v>
      </c>
      <c r="BQ15" s="154"/>
      <c r="BR15" s="127"/>
      <c r="BS15" s="127"/>
      <c r="BT15" s="127"/>
      <c r="BU15" s="29">
        <f t="shared" si="12"/>
        <v>4</v>
      </c>
      <c r="BV15" s="145"/>
      <c r="BW15" s="205"/>
      <c r="BX15" s="205"/>
      <c r="BY15" s="205"/>
      <c r="BZ15" s="29">
        <f t="shared" si="13"/>
        <v>4</v>
      </c>
      <c r="CA15" s="412" t="s">
        <v>284</v>
      </c>
      <c r="CB15" s="122">
        <f>'[29]Storm Lead'!C19</f>
        <v>528945.57999999996</v>
      </c>
      <c r="CC15" s="122">
        <f>'[29]Storm Lead'!D19</f>
        <v>5636306.4900000002</v>
      </c>
      <c r="CD15" s="122">
        <f t="shared" si="14"/>
        <v>6165252.0700000003</v>
      </c>
      <c r="CE15" s="29">
        <f t="shared" si="15"/>
        <v>4</v>
      </c>
      <c r="CF15" s="226" t="s">
        <v>521</v>
      </c>
      <c r="CG15" s="143">
        <f>+'[30]Lead Sheet'!$C$16</f>
        <v>7530614.2799999891</v>
      </c>
      <c r="CH15" s="143">
        <f>+'[30]Lead Sheet'!$D$16</f>
        <v>7869816.6026486559</v>
      </c>
      <c r="CI15" s="143">
        <f>+'[30]Lead Sheet'!$E$16</f>
        <v>339202.3226486668</v>
      </c>
      <c r="CJ15" s="29">
        <f t="shared" si="1"/>
        <v>4</v>
      </c>
      <c r="CK15" s="410" t="s">
        <v>283</v>
      </c>
      <c r="CN15" s="409">
        <f>+CN12*(1-CN13)*CN14</f>
        <v>634773.09</v>
      </c>
      <c r="CO15" s="29">
        <f t="shared" si="16"/>
        <v>4</v>
      </c>
      <c r="CP15" s="426" t="s">
        <v>282</v>
      </c>
      <c r="CQ15" s="133">
        <f>'[32]Lead E'!$D$16</f>
        <v>-1910783</v>
      </c>
      <c r="CR15" s="133"/>
      <c r="CS15" s="133">
        <f>CR15-CQ15</f>
        <v>1910783</v>
      </c>
      <c r="CT15" s="29">
        <v>4</v>
      </c>
      <c r="CU15" s="145"/>
      <c r="CX15" s="337"/>
      <c r="CY15" s="29">
        <f t="shared" ref="CY15:CY60" si="19">CY14+1</f>
        <v>2</v>
      </c>
      <c r="CZ15" s="145" t="s">
        <v>5</v>
      </c>
      <c r="DA15" s="64">
        <f>'[34]Allocated Summary'!$B$11</f>
        <v>2239474108.7599998</v>
      </c>
      <c r="DB15" s="64">
        <f>+G37-DB16</f>
        <v>-2835745</v>
      </c>
      <c r="DC15" s="41">
        <f>K12+K14</f>
        <v>54319385.929000005</v>
      </c>
      <c r="DD15" s="41">
        <v>0</v>
      </c>
      <c r="DE15" s="41">
        <v>0</v>
      </c>
      <c r="DF15" s="41">
        <f>-SUM(Y13,Y14,Y15,Y16,Y17,Y18,Y20,Y22,Y24)</f>
        <v>-232877475.76341978</v>
      </c>
      <c r="DG15" s="41">
        <v>0</v>
      </c>
      <c r="DH15" s="29">
        <f t="shared" ref="DH15:DH60" si="20">DH14+1</f>
        <v>2</v>
      </c>
      <c r="DI15" s="145" t="s">
        <v>5</v>
      </c>
      <c r="DJ15" s="41">
        <v>0</v>
      </c>
      <c r="DK15" s="41"/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29">
        <f t="shared" ref="DQ15:DQ60" si="21">DQ14+1</f>
        <v>2</v>
      </c>
      <c r="DR15" s="145" t="s">
        <v>5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f>SUM(DB15:DX15)-DH15-DQ15</f>
        <v>-181393834.83441979</v>
      </c>
      <c r="DZ15" s="29">
        <f t="shared" ref="DZ15:DZ53" si="22">+DZ14+1</f>
        <v>2</v>
      </c>
      <c r="EA15" s="145" t="s">
        <v>5</v>
      </c>
      <c r="EB15" s="116">
        <f>+DA15</f>
        <v>2239474108.7599998</v>
      </c>
      <c r="EC15" s="116">
        <f>+DY15</f>
        <v>-181393834.83441979</v>
      </c>
      <c r="ED15" s="41">
        <f>SUM(EB15:EC15)</f>
        <v>2058080273.92558</v>
      </c>
    </row>
    <row r="16" spans="1:139" ht="15" customHeight="1" thickTop="1" x14ac:dyDescent="0.2">
      <c r="A16" s="135">
        <f t="shared" si="0"/>
        <v>6</v>
      </c>
      <c r="B16" s="716">
        <v>42979</v>
      </c>
      <c r="C16" s="127">
        <f>'[31]Summary Sheet'!C14</f>
        <v>1614649543</v>
      </c>
      <c r="D16" s="125">
        <f>'[31]Summary Sheet'!D14</f>
        <v>1598552638.8488054</v>
      </c>
      <c r="E16" s="125">
        <f t="shared" si="17"/>
        <v>-16096904.151194572</v>
      </c>
      <c r="F16" s="125">
        <f t="shared" ref="F16:F25" si="23">E16*(1-0.071)</f>
        <v>-14954023.956459759</v>
      </c>
      <c r="H16" s="135">
        <f t="shared" si="3"/>
        <v>6</v>
      </c>
      <c r="I16" s="226" t="s">
        <v>198</v>
      </c>
      <c r="K16" s="242">
        <f>SUM(K12:K15)</f>
        <v>52680394.848999999</v>
      </c>
      <c r="M16" s="29">
        <f t="shared" si="4"/>
        <v>5</v>
      </c>
      <c r="N16" s="145"/>
      <c r="P16" s="47" t="s">
        <v>30</v>
      </c>
      <c r="Q16" s="29">
        <f t="shared" si="5"/>
        <v>5</v>
      </c>
      <c r="T16" s="372"/>
      <c r="U16" s="29">
        <f t="shared" si="6"/>
        <v>5</v>
      </c>
      <c r="V16" s="342" t="s">
        <v>281</v>
      </c>
      <c r="W16" s="113"/>
      <c r="Y16" s="113">
        <f>'[27]Lead E'!$E15</f>
        <v>18155037.385000002</v>
      </c>
      <c r="Z16" s="29">
        <v>5</v>
      </c>
      <c r="AA16" s="145"/>
      <c r="AB16" s="425"/>
      <c r="AC16" s="137"/>
      <c r="AD16" s="421"/>
      <c r="AE16" s="605">
        <v>5</v>
      </c>
      <c r="AF16" s="226" t="s">
        <v>280</v>
      </c>
      <c r="AG16" s="113"/>
      <c r="AH16" s="113"/>
      <c r="AI16" s="113"/>
      <c r="AJ16" s="113"/>
      <c r="AK16" s="113"/>
      <c r="AL16" s="113"/>
      <c r="AM16" s="424">
        <f>ROUND(SUM(AM12:AM14)/3,6)</f>
        <v>8.0199999999999994E-3</v>
      </c>
      <c r="AN16" s="29">
        <f t="shared" si="7"/>
        <v>5</v>
      </c>
      <c r="AS16" s="29">
        <v>5</v>
      </c>
      <c r="AT16" s="423" t="s">
        <v>279</v>
      </c>
      <c r="AU16" s="422"/>
      <c r="AV16" s="40">
        <f>+'[21]Lead E'!$D$13</f>
        <v>4588723.5443399996</v>
      </c>
      <c r="AW16" s="29">
        <f t="shared" si="8"/>
        <v>5</v>
      </c>
      <c r="AX16" s="145" t="s">
        <v>139</v>
      </c>
      <c r="AY16" s="205"/>
      <c r="AZ16" s="205"/>
      <c r="BA16" s="400">
        <f>-BA14</f>
        <v>7317.3673950215161</v>
      </c>
      <c r="BB16" s="135"/>
      <c r="BF16" s="232">
        <f t="shared" si="9"/>
        <v>5</v>
      </c>
      <c r="BG16" s="38" t="s">
        <v>238</v>
      </c>
      <c r="BH16" s="150"/>
      <c r="BI16" s="127"/>
      <c r="BJ16" s="137">
        <f>-BJ14</f>
        <v>-3017876.4184555747</v>
      </c>
      <c r="BK16" s="29">
        <f t="shared" si="10"/>
        <v>5</v>
      </c>
      <c r="BL16" s="85" t="s">
        <v>278</v>
      </c>
      <c r="BM16" s="413"/>
      <c r="BN16" s="413"/>
      <c r="BO16" s="133">
        <f>BO14</f>
        <v>-982653.86918117641</v>
      </c>
      <c r="BP16" s="232">
        <f t="shared" si="11"/>
        <v>5</v>
      </c>
      <c r="BQ16" s="154"/>
      <c r="BR16" s="421"/>
      <c r="BS16" s="421"/>
      <c r="BT16" s="421"/>
      <c r="BU16" s="29">
        <f t="shared" si="12"/>
        <v>5</v>
      </c>
      <c r="BV16" s="145" t="s">
        <v>139</v>
      </c>
      <c r="BW16" s="205"/>
      <c r="BX16" s="205"/>
      <c r="BY16" s="420">
        <f>-BY14</f>
        <v>-237759.90000001015</v>
      </c>
      <c r="BZ16" s="29">
        <f t="shared" si="13"/>
        <v>5</v>
      </c>
      <c r="CA16" s="412" t="s">
        <v>277</v>
      </c>
      <c r="CB16" s="122">
        <f>'[29]Storm Lead'!C20</f>
        <v>696860.77</v>
      </c>
      <c r="CC16" s="122">
        <f>'[29]Storm Lead'!D20</f>
        <v>17310397.59</v>
      </c>
      <c r="CD16" s="122">
        <f t="shared" si="14"/>
        <v>18007258.359999999</v>
      </c>
      <c r="CE16" s="29">
        <f t="shared" si="15"/>
        <v>5</v>
      </c>
      <c r="CF16" s="226" t="s">
        <v>49</v>
      </c>
      <c r="CG16" s="47">
        <f>+'[30]Lead Sheet'!C17</f>
        <v>116538099.3</v>
      </c>
      <c r="CH16" s="47">
        <f>+'[30]Lead Sheet'!D17</f>
        <v>116538099.3</v>
      </c>
      <c r="CI16" s="47">
        <f>+'[30]Lead Sheet'!E17</f>
        <v>0</v>
      </c>
      <c r="CJ16" s="29">
        <f t="shared" si="1"/>
        <v>5</v>
      </c>
      <c r="CK16" s="410" t="s">
        <v>276</v>
      </c>
      <c r="CO16" s="29">
        <f t="shared" si="16"/>
        <v>5</v>
      </c>
      <c r="CP16" s="748" t="s">
        <v>275</v>
      </c>
      <c r="CQ16" s="242">
        <f>'[32]Lead E'!$D$17</f>
        <v>-872518.60875000001</v>
      </c>
      <c r="CR16" s="242"/>
      <c r="CS16" s="242">
        <f>CR16-CQ16</f>
        <v>872518.60875000001</v>
      </c>
      <c r="CT16" s="29">
        <v>5</v>
      </c>
      <c r="CU16" s="145" t="s">
        <v>160</v>
      </c>
      <c r="CX16" s="408">
        <f>ROUND(SUM(CX12:CX14),6)</f>
        <v>4.8443E-2</v>
      </c>
      <c r="CY16" s="29">
        <f t="shared" si="19"/>
        <v>3</v>
      </c>
      <c r="CZ16" s="145" t="s">
        <v>6</v>
      </c>
      <c r="DA16" s="47">
        <f>'[34]Allocated Summary'!$B$12</f>
        <v>342919.04</v>
      </c>
      <c r="DB16" s="47">
        <f>F36</f>
        <v>766</v>
      </c>
      <c r="DC16" s="40"/>
      <c r="DD16" s="40"/>
      <c r="DE16" s="40"/>
      <c r="DF16" s="40"/>
      <c r="DG16" s="40"/>
      <c r="DH16" s="29">
        <f t="shared" si="20"/>
        <v>3</v>
      </c>
      <c r="DI16" s="145" t="s">
        <v>6</v>
      </c>
      <c r="DJ16" s="40"/>
      <c r="DK16" s="40"/>
      <c r="DL16" s="40"/>
      <c r="DM16" s="40"/>
      <c r="DN16" s="40"/>
      <c r="DO16" s="40"/>
      <c r="DP16" s="40"/>
      <c r="DQ16" s="29">
        <f t="shared" si="21"/>
        <v>3</v>
      </c>
      <c r="DR16" s="145" t="s">
        <v>6</v>
      </c>
      <c r="DS16" s="40"/>
      <c r="DT16" s="40"/>
      <c r="DU16" s="40"/>
      <c r="DV16" s="40"/>
      <c r="DW16" s="40"/>
      <c r="DX16" s="40"/>
      <c r="DY16" s="40">
        <f>SUM(DB16:DX16)-DH16-DQ16</f>
        <v>766</v>
      </c>
      <c r="DZ16" s="29">
        <f t="shared" si="22"/>
        <v>3</v>
      </c>
      <c r="EA16" s="145" t="s">
        <v>6</v>
      </c>
      <c r="EB16" s="113">
        <f>+DA16</f>
        <v>342919.04</v>
      </c>
      <c r="EC16" s="113">
        <f>+DY16</f>
        <v>766</v>
      </c>
      <c r="ED16" s="40">
        <f>SUM(EB16:EC16)</f>
        <v>343685.04</v>
      </c>
    </row>
    <row r="17" spans="1:134" ht="15" customHeight="1" x14ac:dyDescent="0.2">
      <c r="A17" s="135">
        <f t="shared" si="0"/>
        <v>7</v>
      </c>
      <c r="B17" s="716">
        <v>43009</v>
      </c>
      <c r="C17" s="127">
        <f>'[31]Summary Sheet'!C15</f>
        <v>1788067702</v>
      </c>
      <c r="D17" s="125">
        <f>'[31]Summary Sheet'!D15</f>
        <v>1786848284.08025</v>
      </c>
      <c r="E17" s="125">
        <f t="shared" si="17"/>
        <v>-1219417.9197499752</v>
      </c>
      <c r="F17" s="125">
        <f t="shared" si="23"/>
        <v>-1132839.247447727</v>
      </c>
      <c r="H17" s="135">
        <f t="shared" si="3"/>
        <v>7</v>
      </c>
      <c r="K17" s="372"/>
      <c r="M17" s="29">
        <f t="shared" si="4"/>
        <v>6</v>
      </c>
      <c r="N17" s="226" t="s">
        <v>242</v>
      </c>
      <c r="O17" s="70" t="s">
        <v>30</v>
      </c>
      <c r="P17" s="47">
        <f>'[18]Lead E'!$D$17</f>
        <v>8191520.1240549684</v>
      </c>
      <c r="Q17" s="29">
        <f t="shared" si="5"/>
        <v>6</v>
      </c>
      <c r="U17" s="29">
        <f t="shared" si="6"/>
        <v>6</v>
      </c>
      <c r="V17" s="320" t="s">
        <v>196</v>
      </c>
      <c r="Y17" s="113">
        <f>'[27]Lead E'!$E16</f>
        <v>-81100443.699000001</v>
      </c>
      <c r="Z17" s="29">
        <v>6</v>
      </c>
      <c r="AA17" s="383" t="s">
        <v>419</v>
      </c>
      <c r="AB17" s="430"/>
      <c r="AC17" s="334">
        <f>+AC15/2</f>
        <v>548500</v>
      </c>
      <c r="AD17" s="421"/>
      <c r="AE17" s="605">
        <v>6</v>
      </c>
      <c r="AF17" s="145"/>
      <c r="AG17" s="113"/>
      <c r="AH17" s="113"/>
      <c r="AI17" s="419"/>
      <c r="AJ17" s="419"/>
      <c r="AK17" s="113"/>
      <c r="AL17" s="113"/>
      <c r="AM17" s="113"/>
      <c r="AN17" s="29">
        <f t="shared" si="7"/>
        <v>6</v>
      </c>
      <c r="AO17" s="234" t="s">
        <v>238</v>
      </c>
      <c r="AP17" s="150"/>
      <c r="AQ17" s="127"/>
      <c r="AR17" s="137">
        <f>-AR15</f>
        <v>2171449.3448179248</v>
      </c>
      <c r="AS17" s="29">
        <v>6</v>
      </c>
      <c r="AT17" s="318" t="s">
        <v>274</v>
      </c>
      <c r="AU17" s="318"/>
      <c r="AV17" s="330">
        <f>+'[21]Lead E'!$C$13</f>
        <v>4448881.7799999993</v>
      </c>
      <c r="AW17" s="29">
        <f t="shared" si="8"/>
        <v>6</v>
      </c>
      <c r="AX17" s="145"/>
      <c r="AY17" s="205"/>
      <c r="AZ17" s="205"/>
      <c r="BA17" s="400"/>
      <c r="BB17" s="49"/>
      <c r="BC17" s="49"/>
      <c r="BD17" s="49"/>
      <c r="BE17" s="49"/>
      <c r="BF17" s="232">
        <f t="shared" si="9"/>
        <v>6</v>
      </c>
      <c r="BG17" s="58" t="s">
        <v>136</v>
      </c>
      <c r="BH17" s="58"/>
      <c r="BI17" s="368">
        <f>FIT_CBR</f>
        <v>0.27999999999999997</v>
      </c>
      <c r="BJ17" s="58">
        <f>BJ16*BI17</f>
        <v>-845005.39716756076</v>
      </c>
      <c r="BK17" s="29">
        <f t="shared" si="10"/>
        <v>6</v>
      </c>
      <c r="BL17" s="226" t="s">
        <v>102</v>
      </c>
      <c r="BM17" s="413"/>
      <c r="BN17" s="368">
        <f>FIT_CBR</f>
        <v>0.27999999999999997</v>
      </c>
      <c r="BO17" s="242">
        <f>ROUND(-BO16*BN17,0)</f>
        <v>275143</v>
      </c>
      <c r="BP17" s="232">
        <f t="shared" si="11"/>
        <v>6</v>
      </c>
      <c r="BQ17" s="418"/>
      <c r="BR17" s="417"/>
      <c r="BS17" s="127"/>
      <c r="BT17" s="127"/>
      <c r="BU17" s="29">
        <f t="shared" si="12"/>
        <v>6</v>
      </c>
      <c r="BV17" s="145"/>
      <c r="BW17" s="205"/>
      <c r="BX17" s="138"/>
      <c r="BZ17" s="29">
        <f t="shared" si="13"/>
        <v>6</v>
      </c>
      <c r="CA17" s="412" t="s">
        <v>273</v>
      </c>
      <c r="CB17" s="122">
        <f>'[29]Storm Lead'!C21</f>
        <v>407421.01</v>
      </c>
      <c r="CC17" s="122">
        <f>'[29]Storm Lead'!D21</f>
        <v>8774385.2300000004</v>
      </c>
      <c r="CD17" s="133">
        <f t="shared" si="14"/>
        <v>9181806.2400000002</v>
      </c>
      <c r="CE17" s="29">
        <f t="shared" si="15"/>
        <v>6</v>
      </c>
      <c r="CF17" s="226" t="s">
        <v>7</v>
      </c>
      <c r="CG17" s="47">
        <f>+'[30]Lead Sheet'!C18</f>
        <v>-116721927.84999999</v>
      </c>
      <c r="CH17" s="47">
        <f>+'[30]Lead Sheet'!D18</f>
        <v>-116721927.84999999</v>
      </c>
      <c r="CI17" s="47">
        <f>+'[30]Lead Sheet'!E18</f>
        <v>0</v>
      </c>
      <c r="CJ17" s="29">
        <f t="shared" si="1"/>
        <v>6</v>
      </c>
      <c r="CK17" s="410" t="s">
        <v>271</v>
      </c>
      <c r="CN17" s="226">
        <v>2.0000000000000001E-4</v>
      </c>
      <c r="CO17" s="29">
        <f t="shared" si="16"/>
        <v>6</v>
      </c>
      <c r="CP17" s="105" t="s">
        <v>270</v>
      </c>
      <c r="CQ17" s="85">
        <f>SUM(CQ14:CQ16)</f>
        <v>1756001.3912499999</v>
      </c>
      <c r="CR17" s="85">
        <f>SUM(CR14:CR16)</f>
        <v>0</v>
      </c>
      <c r="CS17" s="85">
        <f>SUM(CS14:CS16)</f>
        <v>-1756001.3912499999</v>
      </c>
      <c r="CT17" s="29">
        <v>6</v>
      </c>
      <c r="CX17" s="408"/>
      <c r="CY17" s="29">
        <f t="shared" si="19"/>
        <v>4</v>
      </c>
      <c r="CZ17" s="145" t="s">
        <v>7</v>
      </c>
      <c r="DA17" s="47">
        <f>'[34]Allocated Summary'!$B$13</f>
        <v>116721927.84999999</v>
      </c>
      <c r="DB17" s="47"/>
      <c r="DC17" s="40"/>
      <c r="DD17" s="40"/>
      <c r="DE17" s="40"/>
      <c r="DF17" s="40"/>
      <c r="DG17" s="40"/>
      <c r="DH17" s="29">
        <f t="shared" si="20"/>
        <v>4</v>
      </c>
      <c r="DI17" s="145" t="s">
        <v>7</v>
      </c>
      <c r="DJ17" s="40"/>
      <c r="DK17" s="40"/>
      <c r="DL17" s="40"/>
      <c r="DM17" s="40"/>
      <c r="DN17" s="40"/>
      <c r="DO17" s="40"/>
      <c r="DP17" s="40"/>
      <c r="DQ17" s="29">
        <f t="shared" si="21"/>
        <v>4</v>
      </c>
      <c r="DR17" s="145" t="s">
        <v>7</v>
      </c>
      <c r="DS17" s="40"/>
      <c r="DT17" s="40"/>
      <c r="DU17" s="40"/>
      <c r="DV17" s="40"/>
      <c r="DW17" s="40"/>
      <c r="DX17" s="40"/>
      <c r="DY17" s="40">
        <f>SUM(DB17:DX17)-DH17-DQ17</f>
        <v>0</v>
      </c>
      <c r="DZ17" s="29">
        <f t="shared" si="22"/>
        <v>4</v>
      </c>
      <c r="EA17" s="145" t="s">
        <v>7</v>
      </c>
      <c r="EB17" s="113">
        <f>+DA17</f>
        <v>116721927.84999999</v>
      </c>
      <c r="EC17" s="113">
        <f>+DY17</f>
        <v>0</v>
      </c>
      <c r="ED17" s="40">
        <f>SUM(EB17:EC17)</f>
        <v>116721927.84999999</v>
      </c>
    </row>
    <row r="18" spans="1:134" ht="15" customHeight="1" x14ac:dyDescent="0.2">
      <c r="A18" s="135">
        <f t="shared" si="0"/>
        <v>8</v>
      </c>
      <c r="B18" s="716">
        <v>43040</v>
      </c>
      <c r="C18" s="127">
        <f>'[31]Summary Sheet'!C16</f>
        <v>2006678704</v>
      </c>
      <c r="D18" s="125">
        <f>'[31]Summary Sheet'!D16</f>
        <v>2028588920.6755638</v>
      </c>
      <c r="E18" s="125">
        <f t="shared" si="17"/>
        <v>21910216.675563812</v>
      </c>
      <c r="F18" s="125">
        <f t="shared" si="23"/>
        <v>20354591.291598782</v>
      </c>
      <c r="H18" s="135">
        <f t="shared" si="3"/>
        <v>8</v>
      </c>
      <c r="I18" s="226" t="s">
        <v>269</v>
      </c>
      <c r="M18" s="29">
        <f t="shared" si="4"/>
        <v>7</v>
      </c>
      <c r="N18" s="226" t="s">
        <v>268</v>
      </c>
      <c r="O18" s="70"/>
      <c r="P18" s="416"/>
      <c r="Q18" s="29">
        <f t="shared" si="5"/>
        <v>7</v>
      </c>
      <c r="T18" s="133"/>
      <c r="U18" s="29">
        <f t="shared" si="6"/>
        <v>7</v>
      </c>
      <c r="V18" s="337" t="s">
        <v>267</v>
      </c>
      <c r="W18" s="113"/>
      <c r="X18" s="113"/>
      <c r="Y18" s="113">
        <f>'[27]Lead E'!$E17</f>
        <v>-334257.24800000002</v>
      </c>
      <c r="Z18" s="29">
        <v>7</v>
      </c>
      <c r="AA18" s="348" t="s">
        <v>420</v>
      </c>
      <c r="AB18" s="320"/>
      <c r="AC18" s="330">
        <f>+'[33]Lead E'!$D$19</f>
        <v>705267.11716999998</v>
      </c>
      <c r="AD18" s="421"/>
      <c r="AE18" s="605">
        <v>7</v>
      </c>
      <c r="AF18" s="155" t="s">
        <v>266</v>
      </c>
      <c r="AG18" s="113"/>
      <c r="AH18" s="113">
        <f>[19]Lead!$D$20</f>
        <v>2372309109.4699993</v>
      </c>
      <c r="AI18" s="113">
        <f>[19]Lead!$E$20</f>
        <v>116721927.84999999</v>
      </c>
      <c r="AJ18" s="113">
        <f>[19]Lead!$F$20</f>
        <v>15770153.8199999</v>
      </c>
      <c r="AK18" s="113">
        <f>[19]Lead!$G$20</f>
        <v>342919.04</v>
      </c>
      <c r="AL18" s="85">
        <f>[19]Lead!$H$20</f>
        <v>2239474108.7599998</v>
      </c>
      <c r="AM18" s="133">
        <f>DA15-AL18</f>
        <v>0</v>
      </c>
      <c r="AN18" s="29">
        <f t="shared" si="7"/>
        <v>7</v>
      </c>
      <c r="AO18" s="415" t="s">
        <v>136</v>
      </c>
      <c r="AP18" s="415"/>
      <c r="AQ18" s="368">
        <f>FIT_CBR</f>
        <v>0.27999999999999997</v>
      </c>
      <c r="AR18" s="137">
        <f>AR17*AQ18</f>
        <v>608005.81654901884</v>
      </c>
      <c r="AS18" s="29">
        <v>7</v>
      </c>
      <c r="AT18" s="414" t="s">
        <v>265</v>
      </c>
      <c r="AU18" s="414"/>
      <c r="AV18" s="133">
        <f>AV16-AV17</f>
        <v>139841.76434000023</v>
      </c>
      <c r="AW18" s="29">
        <f t="shared" si="8"/>
        <v>7</v>
      </c>
      <c r="AX18" s="145" t="s">
        <v>136</v>
      </c>
      <c r="AY18" s="205"/>
      <c r="AZ18" s="368">
        <f>FIT_CBR</f>
        <v>0.27999999999999997</v>
      </c>
      <c r="BA18" s="164">
        <f>BA16*AZ18</f>
        <v>2048.8628706060244</v>
      </c>
      <c r="BF18" s="232">
        <f t="shared" si="9"/>
        <v>7</v>
      </c>
      <c r="BG18" s="307"/>
      <c r="BH18" s="307"/>
      <c r="BI18" s="307"/>
      <c r="BJ18" s="405"/>
      <c r="BK18" s="29">
        <f t="shared" si="10"/>
        <v>7</v>
      </c>
      <c r="BM18" s="413"/>
      <c r="BN18" s="413"/>
      <c r="BO18" s="344"/>
      <c r="BP18" s="232">
        <f t="shared" si="11"/>
        <v>7</v>
      </c>
      <c r="BQ18" s="105" t="s">
        <v>264</v>
      </c>
      <c r="BR18" s="106">
        <f>SUM(BR13:BR17)</f>
        <v>3655.2374749999999</v>
      </c>
      <c r="BS18" s="106">
        <f>SUM(BS13:BS17)</f>
        <v>0</v>
      </c>
      <c r="BT18" s="332">
        <f>SUM(BT13:BT17)</f>
        <v>-3655.2374749999999</v>
      </c>
      <c r="BU18" s="29">
        <f t="shared" si="12"/>
        <v>7</v>
      </c>
      <c r="BV18" s="145" t="s">
        <v>263</v>
      </c>
      <c r="BW18" s="368">
        <f>+FIT_CBR</f>
        <v>0.27999999999999997</v>
      </c>
      <c r="BX18" s="307"/>
      <c r="BY18" s="113">
        <f>BY16*BW18</f>
        <v>-66572.772000002835</v>
      </c>
      <c r="BZ18" s="29">
        <f t="shared" si="13"/>
        <v>7</v>
      </c>
      <c r="CA18" s="412" t="s">
        <v>262</v>
      </c>
      <c r="CB18" s="244">
        <f>'[29]Storm Lead'!C22</f>
        <v>279731.89999999997</v>
      </c>
      <c r="CC18" s="244">
        <f>'[29]Storm Lead'!D22</f>
        <v>5765723.3599999994</v>
      </c>
      <c r="CD18" s="242">
        <f t="shared" si="14"/>
        <v>6045455.2599999998</v>
      </c>
      <c r="CE18" s="29">
        <f t="shared" si="15"/>
        <v>7</v>
      </c>
      <c r="CF18" s="226" t="s">
        <v>272</v>
      </c>
      <c r="CG18" s="47">
        <f>+'[30]Lead Sheet'!C19</f>
        <v>-9134513.7999999989</v>
      </c>
      <c r="CH18" s="47">
        <f>+'[30]Lead Sheet'!D19</f>
        <v>-9134513.7999999989</v>
      </c>
      <c r="CI18" s="47">
        <f>+'[30]Lead Sheet'!E19</f>
        <v>0</v>
      </c>
      <c r="CJ18" s="29">
        <f t="shared" si="1"/>
        <v>7</v>
      </c>
      <c r="CK18" s="410" t="s">
        <v>260</v>
      </c>
      <c r="CN18" s="409">
        <f>+CN17*CN12</f>
        <v>890909.60000000009</v>
      </c>
      <c r="CO18" s="29">
        <f t="shared" si="16"/>
        <v>7</v>
      </c>
      <c r="CP18" s="105"/>
      <c r="CQ18" s="49"/>
      <c r="CR18" s="49"/>
      <c r="CS18" s="137"/>
      <c r="CT18" s="29">
        <v>7</v>
      </c>
      <c r="CU18" s="226" t="str">
        <f>"CONVERSION FACTOR EXCLUDING FEDERAL INCOME TAX ( 1 - LINE "&amp;CT16&amp;" )"</f>
        <v>CONVERSION FACTOR EXCLUDING FEDERAL INCOME TAX ( 1 - LINE 5 )</v>
      </c>
      <c r="CX18" s="408">
        <f>1-CX16</f>
        <v>0.95155699999999999</v>
      </c>
      <c r="CY18" s="29">
        <f t="shared" si="19"/>
        <v>5</v>
      </c>
      <c r="CZ18" s="145" t="s">
        <v>8</v>
      </c>
      <c r="DA18" s="330">
        <f>'[34]Allocated Summary'!$B$14</f>
        <v>15770153.8199999</v>
      </c>
      <c r="DB18" s="330"/>
      <c r="DC18" s="330">
        <f>K13</f>
        <v>-1638991.08</v>
      </c>
      <c r="DD18" s="330"/>
      <c r="DE18" s="330" t="s">
        <v>30</v>
      </c>
      <c r="DF18" s="330">
        <f>-SUM(Y19,Y21,Y23)</f>
        <v>28112664.940000001</v>
      </c>
      <c r="DG18" s="330"/>
      <c r="DH18" s="29">
        <f t="shared" si="20"/>
        <v>5</v>
      </c>
      <c r="DI18" s="145" t="s">
        <v>8</v>
      </c>
      <c r="DJ18" s="330"/>
      <c r="DK18" s="330"/>
      <c r="DL18" s="330"/>
      <c r="DM18" s="330"/>
      <c r="DN18" s="330"/>
      <c r="DO18" s="330"/>
      <c r="DP18" s="330"/>
      <c r="DQ18" s="29">
        <f t="shared" si="21"/>
        <v>5</v>
      </c>
      <c r="DR18" s="145" t="s">
        <v>8</v>
      </c>
      <c r="DS18" s="330"/>
      <c r="DT18" s="330"/>
      <c r="DU18" s="330"/>
      <c r="DV18" s="330"/>
      <c r="DW18" s="330"/>
      <c r="DX18" s="330"/>
      <c r="DY18" s="330">
        <f>SUM(DB18:DX18)-DH18-DQ18</f>
        <v>26473673.859999999</v>
      </c>
      <c r="DZ18" s="29">
        <f t="shared" si="22"/>
        <v>5</v>
      </c>
      <c r="EA18" s="145" t="s">
        <v>8</v>
      </c>
      <c r="EB18" s="242">
        <f>+DA18</f>
        <v>15770153.8199999</v>
      </c>
      <c r="EC18" s="242">
        <f>+DY18</f>
        <v>26473673.859999999</v>
      </c>
      <c r="ED18" s="330">
        <f>SUM(EB18:EC18)</f>
        <v>42243827.679999903</v>
      </c>
    </row>
    <row r="19" spans="1:134" ht="15" customHeight="1" thickBot="1" x14ac:dyDescent="0.25">
      <c r="A19" s="135">
        <f t="shared" si="0"/>
        <v>9</v>
      </c>
      <c r="B19" s="716">
        <v>43070</v>
      </c>
      <c r="C19" s="127">
        <f>'[31]Summary Sheet'!C17</f>
        <v>2389752569</v>
      </c>
      <c r="D19" s="125">
        <f>'[31]Summary Sheet'!D17</f>
        <v>2364363529.0372953</v>
      </c>
      <c r="E19" s="125">
        <f t="shared" si="17"/>
        <v>-25389039.962704659</v>
      </c>
      <c r="F19" s="125">
        <f t="shared" si="23"/>
        <v>-23586418.125352629</v>
      </c>
      <c r="H19" s="135">
        <f t="shared" si="3"/>
        <v>9</v>
      </c>
      <c r="L19" s="85">
        <f>K16</f>
        <v>52680394.848999999</v>
      </c>
      <c r="M19" s="29">
        <f t="shared" si="4"/>
        <v>8</v>
      </c>
      <c r="N19" s="226" t="s">
        <v>259</v>
      </c>
      <c r="O19" s="113" t="s">
        <v>30</v>
      </c>
      <c r="P19" s="133">
        <f>SUM(P15:P18)</f>
        <v>142852989.71335974</v>
      </c>
      <c r="Q19" s="29">
        <f t="shared" si="5"/>
        <v>8</v>
      </c>
      <c r="T19" s="49"/>
      <c r="U19" s="29">
        <f t="shared" si="6"/>
        <v>8</v>
      </c>
      <c r="V19" s="337" t="s">
        <v>258</v>
      </c>
      <c r="Y19" s="113">
        <f>'[27]Lead E'!$E18</f>
        <v>278269.58</v>
      </c>
      <c r="Z19" s="29">
        <v>8</v>
      </c>
      <c r="AA19" s="145" t="s">
        <v>108</v>
      </c>
      <c r="AB19" s="545"/>
      <c r="AC19" s="546">
        <f>+AC17-AC18</f>
        <v>-156767.11716999998</v>
      </c>
      <c r="AD19" s="370">
        <f>+AC19</f>
        <v>-156767.11716999998</v>
      </c>
      <c r="AE19" s="605">
        <v>8</v>
      </c>
      <c r="AF19" s="407"/>
      <c r="AG19" s="113"/>
      <c r="AH19" s="113"/>
      <c r="AI19" s="113"/>
      <c r="AJ19" s="113"/>
      <c r="AK19" s="113"/>
      <c r="AL19" s="133"/>
      <c r="AM19" s="113"/>
      <c r="AN19" s="29">
        <f t="shared" si="7"/>
        <v>8</v>
      </c>
      <c r="AO19" s="406"/>
      <c r="AP19" s="406"/>
      <c r="AQ19" s="406"/>
      <c r="AR19" s="405"/>
      <c r="AS19" s="29">
        <v>8</v>
      </c>
      <c r="AT19" s="226"/>
      <c r="AU19" s="226"/>
      <c r="AV19" s="113"/>
      <c r="AW19" s="29">
        <f t="shared" si="8"/>
        <v>8</v>
      </c>
      <c r="AX19" s="145"/>
      <c r="AY19" s="205"/>
      <c r="AZ19" s="138"/>
      <c r="BA19" s="164"/>
      <c r="BF19" s="232">
        <f t="shared" si="9"/>
        <v>8</v>
      </c>
      <c r="BG19" s="145" t="s">
        <v>84</v>
      </c>
      <c r="BJ19" s="360">
        <f>BJ16-BJ17</f>
        <v>-2172871.021288014</v>
      </c>
      <c r="BK19" s="29">
        <f t="shared" si="10"/>
        <v>8</v>
      </c>
      <c r="BL19" s="404" t="s">
        <v>84</v>
      </c>
      <c r="BM19" s="403"/>
      <c r="BN19" s="37"/>
      <c r="BO19" s="201">
        <f>-BO16-BO17</f>
        <v>707510.86918117641</v>
      </c>
      <c r="BP19" s="232">
        <f t="shared" si="11"/>
        <v>8</v>
      </c>
      <c r="BQ19" s="231"/>
      <c r="BR19" s="231"/>
      <c r="BS19" s="231"/>
      <c r="BT19" s="402"/>
      <c r="BU19" s="29">
        <f t="shared" si="12"/>
        <v>8</v>
      </c>
      <c r="BY19" s="401"/>
      <c r="BZ19" s="29">
        <f t="shared" si="13"/>
        <v>8</v>
      </c>
      <c r="CA19" s="387" t="s">
        <v>257</v>
      </c>
      <c r="CB19" s="400">
        <f>SUM(CB13:CB18)</f>
        <v>2455224.94</v>
      </c>
      <c r="CC19" s="400">
        <f>SUM(CC13:CC18)</f>
        <v>55292170.189999998</v>
      </c>
      <c r="CD19" s="400">
        <f>SUM(CD13:CD18)</f>
        <v>57747395.130000003</v>
      </c>
      <c r="CE19" s="29">
        <f t="shared" si="15"/>
        <v>8</v>
      </c>
      <c r="CF19" s="226" t="s">
        <v>261</v>
      </c>
      <c r="CG19" s="409">
        <f>SUM(CG13:CG18)</f>
        <v>683014768.05999994</v>
      </c>
      <c r="CH19" s="411">
        <f>SUM(CH13:CH18)</f>
        <v>685208322.45290351</v>
      </c>
      <c r="CI19" s="411">
        <f>SUM(CI13:CI18)</f>
        <v>2193554.3929035459</v>
      </c>
      <c r="CJ19" s="29">
        <f t="shared" si="1"/>
        <v>8</v>
      </c>
      <c r="CK19" s="399"/>
      <c r="CO19" s="29">
        <f t="shared" si="16"/>
        <v>8</v>
      </c>
      <c r="CP19" s="398" t="s">
        <v>256</v>
      </c>
      <c r="CT19" s="29">
        <v>8</v>
      </c>
      <c r="CU19" s="145" t="str">
        <f>"FEDERAL INCOME TAX ( ( 1 - LINE "&amp;CT16&amp;" ) * "&amp;FIT_CBR*100&amp;"% )"</f>
        <v>FEDERAL INCOME TAX ( ( 1 - LINE 5 ) * 28% )</v>
      </c>
      <c r="CW19" s="368">
        <f>'[3]4.01 E'!$D$21</f>
        <v>0.27999999999999997</v>
      </c>
      <c r="CX19" s="397">
        <f>ROUND((1-CX16)*FIT_CBR,6)</f>
        <v>0.26643600000000001</v>
      </c>
      <c r="CY19" s="29">
        <f t="shared" si="19"/>
        <v>6</v>
      </c>
      <c r="CZ19" s="145" t="s">
        <v>9</v>
      </c>
      <c r="DA19" s="116">
        <f>SUM(DA15:DA18)</f>
        <v>2372309109.4699993</v>
      </c>
      <c r="DB19" s="116">
        <f>SUM(DB15:DB18)</f>
        <v>-2834979</v>
      </c>
      <c r="DC19" s="116">
        <f>SUM(DC15:DC18)</f>
        <v>52680394.849000007</v>
      </c>
      <c r="DD19" s="116">
        <f>SUM(DD15:DD18)</f>
        <v>0</v>
      </c>
      <c r="DE19" s="116">
        <f>SUM(DE15:DE18)</f>
        <v>0</v>
      </c>
      <c r="DF19" s="116">
        <f>ROUND(SUM(DF15:DF18),0)</f>
        <v>-204764811</v>
      </c>
      <c r="DG19" s="116">
        <f>SUM(DG15:DG18)</f>
        <v>0</v>
      </c>
      <c r="DH19" s="29">
        <f t="shared" si="20"/>
        <v>6</v>
      </c>
      <c r="DI19" s="145" t="s">
        <v>9</v>
      </c>
      <c r="DJ19" s="116">
        <f>SUM(DJ15:DJ18)</f>
        <v>0</v>
      </c>
      <c r="DK19" s="116"/>
      <c r="DL19" s="116">
        <f>SUM(DL15:DL18)</f>
        <v>0</v>
      </c>
      <c r="DM19" s="116">
        <f>SUM(DM15:DM18)</f>
        <v>0</v>
      </c>
      <c r="DN19" s="116">
        <f>SUM(DN15:DN18)</f>
        <v>0</v>
      </c>
      <c r="DO19" s="116">
        <f>SUM(DO15:DO18)</f>
        <v>0</v>
      </c>
      <c r="DP19" s="116">
        <f>SUM(DP15:DP18)</f>
        <v>0</v>
      </c>
      <c r="DQ19" s="29">
        <f t="shared" si="21"/>
        <v>6</v>
      </c>
      <c r="DR19" s="145" t="s">
        <v>9</v>
      </c>
      <c r="DS19" s="116">
        <f t="shared" ref="DS19:DY19" si="24">SUM(DS15:DS18)</f>
        <v>0</v>
      </c>
      <c r="DT19" s="116">
        <f t="shared" si="24"/>
        <v>0</v>
      </c>
      <c r="DU19" s="116">
        <f t="shared" si="24"/>
        <v>0</v>
      </c>
      <c r="DV19" s="116">
        <f t="shared" si="24"/>
        <v>0</v>
      </c>
      <c r="DW19" s="116">
        <f t="shared" si="24"/>
        <v>0</v>
      </c>
      <c r="DX19" s="116">
        <f t="shared" si="24"/>
        <v>0</v>
      </c>
      <c r="DY19" s="116">
        <f t="shared" si="24"/>
        <v>-154919394.97441977</v>
      </c>
      <c r="DZ19" s="29">
        <f t="shared" si="22"/>
        <v>6</v>
      </c>
      <c r="EA19" s="145" t="s">
        <v>9</v>
      </c>
      <c r="EB19" s="364">
        <f>SUM(EB15:EB18)</f>
        <v>2372309109.4699993</v>
      </c>
      <c r="EC19" s="364">
        <f>SUM(EC15:EC18)</f>
        <v>-154919394.97441977</v>
      </c>
      <c r="ED19" s="364">
        <f>SUM(ED15:ED18)</f>
        <v>2217389714.4955797</v>
      </c>
    </row>
    <row r="20" spans="1:134" ht="20.25" customHeight="1" thickTop="1" thickBot="1" x14ac:dyDescent="0.3">
      <c r="A20" s="135">
        <f t="shared" si="0"/>
        <v>10</v>
      </c>
      <c r="B20" s="716">
        <v>43101</v>
      </c>
      <c r="C20" s="127">
        <f>'[31]Summary Sheet'!C18</f>
        <v>2215266167</v>
      </c>
      <c r="D20" s="125">
        <f>'[31]Summary Sheet'!D18</f>
        <v>2305584065.4216886</v>
      </c>
      <c r="E20" s="125">
        <f t="shared" si="17"/>
        <v>90317898.421688557</v>
      </c>
      <c r="F20" s="125">
        <f t="shared" si="23"/>
        <v>83905327.63374868</v>
      </c>
      <c r="H20" s="135">
        <f t="shared" si="3"/>
        <v>10</v>
      </c>
      <c r="I20" s="145" t="s">
        <v>105</v>
      </c>
      <c r="J20" s="333">
        <f>BD</f>
        <v>8.0199999999999994E-3</v>
      </c>
      <c r="K20" s="338">
        <f>L19*J20</f>
        <v>422496.76668897999</v>
      </c>
      <c r="M20" s="29">
        <f t="shared" si="4"/>
        <v>9</v>
      </c>
      <c r="N20" s="226" t="s">
        <v>255</v>
      </c>
      <c r="O20" s="44"/>
      <c r="P20" s="47" t="s">
        <v>30</v>
      </c>
      <c r="Q20" s="29">
        <f t="shared" si="5"/>
        <v>9</v>
      </c>
      <c r="R20" s="226" t="s">
        <v>238</v>
      </c>
      <c r="S20" s="307"/>
      <c r="T20" s="396">
        <f>-T15+T18</f>
        <v>-149464494.10397243</v>
      </c>
      <c r="U20" s="29">
        <f t="shared" si="6"/>
        <v>9</v>
      </c>
      <c r="V20" s="337" t="s">
        <v>254</v>
      </c>
      <c r="Y20" s="113">
        <f>'[27]Lead E'!$E19</f>
        <v>29396312.68541979</v>
      </c>
      <c r="Z20" s="29">
        <v>9</v>
      </c>
      <c r="AA20" s="145"/>
      <c r="AB20" s="320"/>
      <c r="AC20" s="547"/>
      <c r="AD20" s="421"/>
      <c r="AE20" s="605">
        <v>9</v>
      </c>
      <c r="AF20" s="387"/>
      <c r="AG20" s="113"/>
      <c r="AH20" s="113"/>
      <c r="AI20" s="113"/>
      <c r="AJ20" s="113"/>
      <c r="AK20" s="148"/>
      <c r="AL20" s="386"/>
      <c r="AM20" s="113"/>
      <c r="AN20" s="29">
        <f t="shared" si="7"/>
        <v>9</v>
      </c>
      <c r="AO20" s="105" t="s">
        <v>84</v>
      </c>
      <c r="AP20" s="395"/>
      <c r="AQ20" s="395"/>
      <c r="AR20" s="360">
        <f>AR17-AR18</f>
        <v>1563443.5282689058</v>
      </c>
      <c r="AS20" s="29">
        <v>9</v>
      </c>
      <c r="AT20" s="316" t="s">
        <v>253</v>
      </c>
      <c r="AU20" s="226"/>
      <c r="AV20" s="113">
        <f>AV14+AV18</f>
        <v>162921.71779500134</v>
      </c>
      <c r="AW20" s="29">
        <f t="shared" si="8"/>
        <v>9</v>
      </c>
      <c r="AX20" s="145" t="s">
        <v>84</v>
      </c>
      <c r="AY20" s="205"/>
      <c r="AZ20" s="205"/>
      <c r="BA20" s="266">
        <f>BA16-BA18</f>
        <v>5268.5045244154917</v>
      </c>
      <c r="BF20" s="232"/>
      <c r="BK20" s="232"/>
      <c r="BL20" s="145"/>
      <c r="BP20" s="232">
        <f t="shared" si="11"/>
        <v>9</v>
      </c>
      <c r="BQ20" s="234" t="s">
        <v>252</v>
      </c>
      <c r="BR20" s="150"/>
      <c r="BS20" s="127"/>
      <c r="BT20" s="137">
        <f>BT18</f>
        <v>-3655.2374749999999</v>
      </c>
      <c r="BU20" s="29">
        <f t="shared" si="12"/>
        <v>9</v>
      </c>
      <c r="BV20" s="145" t="s">
        <v>84</v>
      </c>
      <c r="BW20" s="148"/>
      <c r="BX20" s="58"/>
      <c r="BY20" s="360">
        <f>+BY16-BY18</f>
        <v>-171187.1280000073</v>
      </c>
      <c r="BZ20" s="29">
        <f t="shared" si="13"/>
        <v>9</v>
      </c>
      <c r="CE20" s="29">
        <f t="shared" si="15"/>
        <v>9</v>
      </c>
      <c r="CH20" s="151"/>
      <c r="CI20" s="151"/>
      <c r="CJ20" s="29">
        <f t="shared" si="1"/>
        <v>9</v>
      </c>
      <c r="CK20" s="145" t="s">
        <v>250</v>
      </c>
      <c r="CL20" s="376"/>
      <c r="CM20" s="94"/>
      <c r="CN20" s="40">
        <f>+CN18+CN15</f>
        <v>1525682.69</v>
      </c>
      <c r="CO20" s="29">
        <f t="shared" si="16"/>
        <v>9</v>
      </c>
      <c r="CP20" s="159" t="s">
        <v>249</v>
      </c>
      <c r="CQ20" s="85">
        <f>'[32]Lead E'!$D$21</f>
        <v>200943</v>
      </c>
      <c r="CR20" s="85">
        <v>0</v>
      </c>
      <c r="CS20" s="137">
        <f>CR20-CQ20</f>
        <v>-200943</v>
      </c>
      <c r="CT20" s="29">
        <v>9</v>
      </c>
      <c r="CU20" s="145" t="str">
        <f>"CONVERSION FACTOR ( 1 - LINE "&amp;CT19&amp;" )"</f>
        <v>CONVERSION FACTOR ( 1 - LINE 8 )</v>
      </c>
      <c r="CX20" s="393">
        <f>ROUND(1-CX19-CX16,6)</f>
        <v>0.68512099999999998</v>
      </c>
      <c r="CY20" s="29">
        <f t="shared" si="19"/>
        <v>7</v>
      </c>
      <c r="DA20" s="39"/>
      <c r="DB20" s="39" t="s">
        <v>30</v>
      </c>
      <c r="DC20" s="39" t="s">
        <v>30</v>
      </c>
      <c r="DD20" s="39" t="s">
        <v>30</v>
      </c>
      <c r="DE20" s="39" t="s">
        <v>30</v>
      </c>
      <c r="DF20" s="39"/>
      <c r="DG20" s="39"/>
      <c r="DH20" s="29">
        <f t="shared" si="20"/>
        <v>7</v>
      </c>
      <c r="DJ20" s="39" t="s">
        <v>30</v>
      </c>
      <c r="DK20" s="39"/>
      <c r="DL20" s="39"/>
      <c r="DM20" s="39"/>
      <c r="DN20" s="39" t="s">
        <v>30</v>
      </c>
      <c r="DO20" s="39"/>
      <c r="DP20" s="39"/>
      <c r="DQ20" s="29">
        <f t="shared" si="21"/>
        <v>7</v>
      </c>
      <c r="DS20" s="39"/>
      <c r="DT20" s="39"/>
      <c r="DU20" s="39"/>
      <c r="DV20" s="39"/>
      <c r="DW20" s="39"/>
      <c r="DX20" s="39"/>
      <c r="DY20" s="39"/>
      <c r="DZ20" s="29">
        <f t="shared" si="22"/>
        <v>7</v>
      </c>
      <c r="EB20" s="48"/>
      <c r="EC20" s="48"/>
    </row>
    <row r="21" spans="1:134" ht="15" customHeight="1" thickTop="1" thickBot="1" x14ac:dyDescent="0.25">
      <c r="A21" s="135">
        <f t="shared" si="0"/>
        <v>11</v>
      </c>
      <c r="B21" s="716">
        <v>43132</v>
      </c>
      <c r="C21" s="127">
        <f>'[31]Summary Sheet'!C19</f>
        <v>2064898700</v>
      </c>
      <c r="D21" s="125">
        <f>'[31]Summary Sheet'!D19</f>
        <v>2007991930.630203</v>
      </c>
      <c r="E21" s="125">
        <f t="shared" si="17"/>
        <v>-56906769.369796991</v>
      </c>
      <c r="F21" s="125">
        <f t="shared" si="23"/>
        <v>-52866388.744541407</v>
      </c>
      <c r="H21" s="135">
        <f t="shared" si="3"/>
        <v>11</v>
      </c>
      <c r="I21" s="145" t="s">
        <v>104</v>
      </c>
      <c r="J21" s="333">
        <f>FF</f>
        <v>2E-3</v>
      </c>
      <c r="K21" s="336">
        <f>L19*J21</f>
        <v>105360.78969800001</v>
      </c>
      <c r="L21" s="113"/>
      <c r="M21" s="29">
        <f t="shared" si="4"/>
        <v>10</v>
      </c>
      <c r="N21" s="145" t="s">
        <v>248</v>
      </c>
      <c r="O21" s="116"/>
      <c r="P21" s="137">
        <f>'[18]Lead E'!C23</f>
        <v>61778949.609999999</v>
      </c>
      <c r="Q21" s="29">
        <f t="shared" si="5"/>
        <v>10</v>
      </c>
      <c r="R21" s="226" t="s">
        <v>30</v>
      </c>
      <c r="T21" s="39" t="s">
        <v>30</v>
      </c>
      <c r="U21" s="29">
        <f t="shared" si="6"/>
        <v>10</v>
      </c>
      <c r="V21" s="337" t="s">
        <v>247</v>
      </c>
      <c r="X21" s="59"/>
      <c r="Y21" s="113">
        <f>'[27]Lead E'!$E20</f>
        <v>-27972267.109999999</v>
      </c>
      <c r="Z21" s="29">
        <v>10</v>
      </c>
      <c r="AA21" s="354" t="s">
        <v>421</v>
      </c>
      <c r="AB21" s="425"/>
      <c r="AC21" s="421"/>
      <c r="AD21" s="421"/>
      <c r="AE21" s="605">
        <v>10</v>
      </c>
      <c r="AF21" s="387" t="s">
        <v>246</v>
      </c>
      <c r="AG21" s="113"/>
      <c r="AH21" s="113"/>
      <c r="AI21" s="113"/>
      <c r="AJ21" s="113"/>
      <c r="AK21" s="148"/>
      <c r="AL21" s="392">
        <f>AM16</f>
        <v>8.0199999999999994E-3</v>
      </c>
      <c r="AM21" s="113"/>
      <c r="AS21" s="29">
        <v>10</v>
      </c>
      <c r="AT21" s="226"/>
      <c r="AU21" s="226"/>
      <c r="AV21" s="113"/>
      <c r="AW21" s="29"/>
      <c r="AX21" s="145"/>
      <c r="AY21" s="205"/>
      <c r="AZ21" s="205"/>
      <c r="BA21" s="369"/>
      <c r="BF21" s="232"/>
      <c r="BH21" s="71"/>
      <c r="BI21" s="55"/>
      <c r="BJ21" s="55"/>
      <c r="BP21" s="232">
        <f t="shared" si="11"/>
        <v>10</v>
      </c>
      <c r="BQ21" s="58" t="s">
        <v>102</v>
      </c>
      <c r="BR21" s="58"/>
      <c r="BS21" s="368">
        <f>FIT_CBR</f>
        <v>0.27999999999999997</v>
      </c>
      <c r="BT21" s="355">
        <f>BT20*-BS21</f>
        <v>1023.4664929999999</v>
      </c>
      <c r="BU21" s="58"/>
      <c r="BV21" s="58"/>
      <c r="BW21" s="58"/>
      <c r="BX21" s="58"/>
      <c r="BY21" s="58"/>
      <c r="BZ21" s="29">
        <f t="shared" si="13"/>
        <v>10</v>
      </c>
      <c r="CA21" s="226" t="s">
        <v>245</v>
      </c>
      <c r="CB21" s="151">
        <f>CB19/6</f>
        <v>409204.15666666668</v>
      </c>
      <c r="CC21" s="113">
        <f>CC19/6</f>
        <v>9215361.6983333323</v>
      </c>
      <c r="CD21" s="133">
        <f>+CD19/6</f>
        <v>9624565.8550000004</v>
      </c>
      <c r="CE21" s="29">
        <f t="shared" si="15"/>
        <v>10</v>
      </c>
      <c r="CF21" s="145" t="s">
        <v>251</v>
      </c>
      <c r="CG21" s="391"/>
      <c r="CH21" s="151"/>
      <c r="CI21" s="394">
        <f>-CI19</f>
        <v>-2193554.3929035459</v>
      </c>
      <c r="CJ21" s="605">
        <f t="shared" si="1"/>
        <v>10</v>
      </c>
      <c r="CK21" s="145" t="s">
        <v>244</v>
      </c>
      <c r="CL21" s="376"/>
      <c r="CM21" s="94"/>
      <c r="CN21" s="330">
        <f>+[26]Lead!$E$21</f>
        <v>1575476.2000000002</v>
      </c>
      <c r="CO21" s="29">
        <f t="shared" si="16"/>
        <v>10</v>
      </c>
      <c r="CP21" s="44" t="s">
        <v>243</v>
      </c>
      <c r="CQ21" s="390">
        <f>+CQ20</f>
        <v>200943</v>
      </c>
      <c r="CR21" s="390">
        <f>+CR20</f>
        <v>0</v>
      </c>
      <c r="CS21" s="390">
        <f>+CS20</f>
        <v>-200943</v>
      </c>
      <c r="CV21" s="389"/>
      <c r="CW21" s="388"/>
      <c r="CX21" s="29"/>
      <c r="CY21" s="29">
        <f t="shared" si="19"/>
        <v>8</v>
      </c>
      <c r="CZ21" s="145" t="s">
        <v>10</v>
      </c>
      <c r="DA21" s="39"/>
      <c r="DB21" s="39"/>
      <c r="DC21" s="39"/>
      <c r="DD21" s="39"/>
      <c r="DE21" s="39"/>
      <c r="DF21" s="39"/>
      <c r="DG21" s="39"/>
      <c r="DH21" s="29">
        <f t="shared" si="20"/>
        <v>8</v>
      </c>
      <c r="DI21" s="145" t="s">
        <v>10</v>
      </c>
      <c r="DJ21" s="39"/>
      <c r="DK21" s="39"/>
      <c r="DL21" s="39"/>
      <c r="DM21" s="39"/>
      <c r="DN21" s="39"/>
      <c r="DO21" s="39"/>
      <c r="DP21" s="39"/>
      <c r="DQ21" s="29">
        <f t="shared" si="21"/>
        <v>8</v>
      </c>
      <c r="DR21" s="145" t="s">
        <v>10</v>
      </c>
      <c r="DS21" s="39"/>
      <c r="DT21" s="39"/>
      <c r="DU21" s="39"/>
      <c r="DV21" s="39"/>
      <c r="DW21" s="39"/>
      <c r="DX21" s="39"/>
      <c r="DY21" s="39"/>
      <c r="DZ21" s="29">
        <f t="shared" si="22"/>
        <v>8</v>
      </c>
      <c r="EA21" s="44" t="s">
        <v>10</v>
      </c>
      <c r="EB21" s="48"/>
      <c r="EC21" s="48"/>
      <c r="ED21" s="39"/>
    </row>
    <row r="22" spans="1:134" ht="15" customHeight="1" thickTop="1" x14ac:dyDescent="0.25">
      <c r="A22" s="135">
        <f t="shared" si="0"/>
        <v>12</v>
      </c>
      <c r="B22" s="716">
        <v>43160</v>
      </c>
      <c r="C22" s="127">
        <f>'[31]Summary Sheet'!C20</f>
        <v>2062414077</v>
      </c>
      <c r="D22" s="125">
        <f>'[31]Summary Sheet'!D20</f>
        <v>2068533333.0722306</v>
      </c>
      <c r="E22" s="125">
        <f t="shared" si="17"/>
        <v>6119256.0722305775</v>
      </c>
      <c r="F22" s="125">
        <f t="shared" si="23"/>
        <v>5684788.8911022069</v>
      </c>
      <c r="H22" s="135">
        <f t="shared" si="3"/>
        <v>12</v>
      </c>
      <c r="I22" s="38" t="s">
        <v>108</v>
      </c>
      <c r="J22" s="333"/>
      <c r="K22" s="58"/>
      <c r="L22" s="113"/>
      <c r="M22" s="29">
        <f t="shared" si="4"/>
        <v>11</v>
      </c>
      <c r="N22" s="226" t="s">
        <v>242</v>
      </c>
      <c r="O22" s="47"/>
      <c r="P22" s="137">
        <f>'[18]Lead E'!C24</f>
        <v>602312497.13999903</v>
      </c>
      <c r="Q22" s="29">
        <f t="shared" si="5"/>
        <v>11</v>
      </c>
      <c r="R22" s="226" t="s">
        <v>230</v>
      </c>
      <c r="S22" s="322">
        <f>FIT_CBR</f>
        <v>0.27999999999999997</v>
      </c>
      <c r="T22" s="64">
        <f>+T20*S22</f>
        <v>-41850058.34911228</v>
      </c>
      <c r="U22" s="29">
        <f t="shared" si="6"/>
        <v>11</v>
      </c>
      <c r="V22" s="316" t="s">
        <v>241</v>
      </c>
      <c r="Y22" s="113">
        <f>'[27]Lead E'!$E21</f>
        <v>4314632.99</v>
      </c>
      <c r="Z22" s="29">
        <v>11</v>
      </c>
      <c r="AA22" s="145" t="s">
        <v>422</v>
      </c>
      <c r="AB22" s="425"/>
      <c r="AC22" s="64">
        <f>+'[33]Lead E'!$D$23</f>
        <v>273000</v>
      </c>
      <c r="AD22" s="421"/>
      <c r="AE22" s="605">
        <v>11</v>
      </c>
      <c r="AF22" s="387" t="s">
        <v>240</v>
      </c>
      <c r="AG22" s="113"/>
      <c r="AH22" s="113"/>
      <c r="AI22" s="113"/>
      <c r="AJ22" s="113"/>
      <c r="AK22" s="113"/>
      <c r="AL22" s="386">
        <f>AL18*AL21</f>
        <v>17960582.352255195</v>
      </c>
      <c r="AM22" s="85"/>
      <c r="AS22" s="29">
        <v>11</v>
      </c>
      <c r="AT22" s="226" t="s">
        <v>239</v>
      </c>
      <c r="AU22" s="226"/>
      <c r="AV22" s="113">
        <f>-(AV14+AV18)</f>
        <v>-162921.71779500134</v>
      </c>
      <c r="AW22" s="145" t="s">
        <v>30</v>
      </c>
      <c r="AX22" s="145"/>
      <c r="AY22" s="205"/>
      <c r="AZ22" s="205"/>
      <c r="BA22" s="205"/>
      <c r="BF22" s="232"/>
      <c r="BG22" s="145"/>
      <c r="BH22" s="376"/>
      <c r="BI22" s="55"/>
      <c r="BJ22" s="55"/>
      <c r="BK22" s="55"/>
      <c r="BL22" s="55"/>
      <c r="BM22" s="55"/>
      <c r="BN22" s="55"/>
      <c r="BO22" s="55"/>
      <c r="BP22" s="232">
        <f t="shared" si="11"/>
        <v>11</v>
      </c>
      <c r="BQ22" s="365"/>
      <c r="BR22" s="365"/>
      <c r="BS22" s="365"/>
      <c r="BT22" s="365"/>
      <c r="BU22" s="231"/>
      <c r="BV22" s="231"/>
      <c r="BW22" s="231"/>
      <c r="BX22" s="231"/>
      <c r="BY22" s="231"/>
      <c r="BZ22" s="29">
        <f t="shared" si="13"/>
        <v>11</v>
      </c>
      <c r="CB22" s="85"/>
      <c r="CC22" s="85"/>
      <c r="CD22" s="85"/>
      <c r="CE22" s="29">
        <f t="shared" si="15"/>
        <v>11</v>
      </c>
      <c r="CF22" s="391"/>
      <c r="CG22" s="391"/>
      <c r="CH22" s="48" t="s">
        <v>30</v>
      </c>
      <c r="CI22" s="48"/>
      <c r="CJ22" s="605">
        <f t="shared" si="1"/>
        <v>11</v>
      </c>
      <c r="CK22" s="145" t="s">
        <v>238</v>
      </c>
      <c r="CL22" s="385"/>
      <c r="CM22" s="94"/>
      <c r="CN22" s="41">
        <f>CN21-CN20</f>
        <v>49793.510000000242</v>
      </c>
      <c r="CO22" s="29">
        <f t="shared" si="16"/>
        <v>11</v>
      </c>
      <c r="CP22" s="44"/>
      <c r="CQ22" s="85"/>
      <c r="CR22" s="85"/>
      <c r="CS22" s="85"/>
      <c r="CX22" s="25"/>
      <c r="CY22" s="29">
        <f t="shared" si="19"/>
        <v>9</v>
      </c>
      <c r="DH22" s="29">
        <f t="shared" si="20"/>
        <v>9</v>
      </c>
      <c r="DQ22" s="29">
        <f t="shared" si="21"/>
        <v>9</v>
      </c>
      <c r="DZ22" s="29">
        <f t="shared" si="22"/>
        <v>9</v>
      </c>
      <c r="EB22" s="48"/>
      <c r="EC22" s="48"/>
    </row>
    <row r="23" spans="1:134" ht="15" customHeight="1" x14ac:dyDescent="0.2">
      <c r="A23" s="135">
        <f t="shared" si="0"/>
        <v>13</v>
      </c>
      <c r="B23" s="716">
        <v>43191</v>
      </c>
      <c r="C23" s="127">
        <f>'[31]Summary Sheet'!C21</f>
        <v>1768077599</v>
      </c>
      <c r="D23" s="125">
        <f>'[31]Summary Sheet'!D21</f>
        <v>1779404185.600157</v>
      </c>
      <c r="E23" s="125">
        <f t="shared" si="17"/>
        <v>11326586.600157022</v>
      </c>
      <c r="F23" s="125">
        <f t="shared" si="23"/>
        <v>10522398.951545874</v>
      </c>
      <c r="H23" s="135">
        <f t="shared" si="3"/>
        <v>13</v>
      </c>
      <c r="I23" s="145"/>
      <c r="J23" s="333"/>
      <c r="K23" s="137"/>
      <c r="L23" s="113">
        <f>SUM(K20:K21)</f>
        <v>527857.55638698</v>
      </c>
      <c r="M23" s="29">
        <f t="shared" si="4"/>
        <v>12</v>
      </c>
      <c r="N23" s="226" t="s">
        <v>237</v>
      </c>
      <c r="O23" s="47"/>
      <c r="P23" s="137">
        <f>'[18]Lead E'!C25</f>
        <v>-517275075.02999997</v>
      </c>
      <c r="Q23" s="29">
        <f t="shared" si="5"/>
        <v>12</v>
      </c>
      <c r="R23" s="49"/>
      <c r="S23" s="340"/>
      <c r="T23" s="384"/>
      <c r="U23" s="29">
        <f t="shared" si="6"/>
        <v>12</v>
      </c>
      <c r="V23" s="316" t="s">
        <v>236</v>
      </c>
      <c r="W23" s="148"/>
      <c r="Y23" s="113">
        <f>'[27]Lead E'!$E22</f>
        <v>-418667.41</v>
      </c>
      <c r="Z23" s="29">
        <v>12</v>
      </c>
      <c r="AA23" s="145"/>
      <c r="AB23" s="425"/>
      <c r="AC23" s="64"/>
      <c r="AD23" s="421"/>
      <c r="AE23" s="605">
        <v>12</v>
      </c>
      <c r="AR23" s="116"/>
      <c r="AS23" s="29">
        <v>12</v>
      </c>
      <c r="AT23" s="226"/>
      <c r="AU23" s="226"/>
      <c r="AV23" s="113"/>
      <c r="AW23" s="145"/>
      <c r="AX23" s="145"/>
      <c r="AY23" s="205"/>
      <c r="AZ23" s="205"/>
      <c r="BA23" s="205"/>
      <c r="BF23" s="359"/>
      <c r="BG23" s="382"/>
      <c r="BH23" s="340"/>
      <c r="BI23" s="340"/>
      <c r="BJ23" s="340"/>
      <c r="BK23" s="55"/>
      <c r="BL23" s="55"/>
      <c r="BM23" s="55"/>
      <c r="BN23" s="55"/>
      <c r="BO23" s="55"/>
      <c r="BP23" s="232">
        <f t="shared" si="11"/>
        <v>12</v>
      </c>
      <c r="BQ23" s="381" t="s">
        <v>84</v>
      </c>
      <c r="BR23" s="320"/>
      <c r="BS23" s="358"/>
      <c r="BT23" s="357">
        <f>-BT20-BT21</f>
        <v>2631.770982</v>
      </c>
      <c r="BU23" s="357"/>
      <c r="BV23" s="357"/>
      <c r="BW23" s="357"/>
      <c r="BX23" s="357"/>
      <c r="BY23" s="357"/>
      <c r="BZ23" s="29">
        <f t="shared" si="13"/>
        <v>12</v>
      </c>
      <c r="CA23" s="354" t="s">
        <v>235</v>
      </c>
      <c r="CB23" s="133"/>
      <c r="CC23" s="133"/>
      <c r="CD23" s="133"/>
      <c r="CE23" s="29">
        <f t="shared" si="15"/>
        <v>12</v>
      </c>
      <c r="CF23" s="145" t="s">
        <v>214</v>
      </c>
      <c r="CG23" s="368">
        <f>FIT_CBR</f>
        <v>0.27999999999999997</v>
      </c>
      <c r="CH23" s="151"/>
      <c r="CI23" s="330">
        <f>CI21*CG23</f>
        <v>-614195.23001299275</v>
      </c>
      <c r="CJ23" s="605">
        <f t="shared" si="1"/>
        <v>12</v>
      </c>
      <c r="CL23" s="39"/>
      <c r="CM23" s="94"/>
      <c r="CN23" s="39" t="s">
        <v>30</v>
      </c>
      <c r="CO23" s="29">
        <f t="shared" si="16"/>
        <v>12</v>
      </c>
      <c r="CP23" s="226" t="s">
        <v>136</v>
      </c>
      <c r="CQ23" s="127"/>
      <c r="CR23" s="368">
        <f>FIT_CBR</f>
        <v>0.27999999999999997</v>
      </c>
      <c r="CS23" s="355">
        <f>-CS21*CR23</f>
        <v>56264.039999999994</v>
      </c>
      <c r="CX23" s="380"/>
      <c r="CY23" s="29">
        <f t="shared" si="19"/>
        <v>10</v>
      </c>
      <c r="CZ23" s="145" t="s">
        <v>11</v>
      </c>
      <c r="DA23" s="39"/>
      <c r="DB23" s="39"/>
      <c r="DC23" s="39"/>
      <c r="DD23" s="39"/>
      <c r="DE23" s="39"/>
      <c r="DF23" s="39"/>
      <c r="DG23" s="39"/>
      <c r="DH23" s="29">
        <f t="shared" si="20"/>
        <v>10</v>
      </c>
      <c r="DI23" s="145" t="s">
        <v>11</v>
      </c>
      <c r="DJ23" s="39"/>
      <c r="DK23" s="39"/>
      <c r="DL23" s="39"/>
      <c r="DM23" s="39"/>
      <c r="DN23" s="39"/>
      <c r="DO23" s="39"/>
      <c r="DP23" s="39"/>
      <c r="DQ23" s="29">
        <f t="shared" si="21"/>
        <v>10</v>
      </c>
      <c r="DR23" s="145" t="s">
        <v>11</v>
      </c>
      <c r="DS23" s="39"/>
      <c r="DT23" s="39"/>
      <c r="DU23" s="39"/>
      <c r="DV23" s="39"/>
      <c r="DW23" s="39"/>
      <c r="DX23" s="39"/>
      <c r="DY23" s="39"/>
      <c r="DZ23" s="29">
        <f t="shared" si="22"/>
        <v>10</v>
      </c>
      <c r="EA23" s="42" t="s">
        <v>11</v>
      </c>
      <c r="EB23" s="48"/>
      <c r="EC23" s="48"/>
      <c r="ED23" s="39"/>
    </row>
    <row r="24" spans="1:134" ht="15" customHeight="1" thickBot="1" x14ac:dyDescent="0.25">
      <c r="A24" s="135">
        <f t="shared" si="0"/>
        <v>14</v>
      </c>
      <c r="B24" s="716">
        <v>43221</v>
      </c>
      <c r="C24" s="127">
        <f>'[31]Summary Sheet'!C22</f>
        <v>1593061438</v>
      </c>
      <c r="D24" s="125">
        <f>'[31]Summary Sheet'!D22</f>
        <v>1611520006.8019745</v>
      </c>
      <c r="E24" s="125">
        <f t="shared" si="17"/>
        <v>18458568.801974535</v>
      </c>
      <c r="F24" s="125">
        <f t="shared" si="23"/>
        <v>17148010.417034343</v>
      </c>
      <c r="H24" s="135">
        <f t="shared" si="3"/>
        <v>14</v>
      </c>
      <c r="I24" s="145" t="s">
        <v>103</v>
      </c>
      <c r="J24" s="333">
        <f>UTN</f>
        <v>3.8422999999999999E-2</v>
      </c>
      <c r="K24" s="332">
        <f>L19*J24</f>
        <v>2024138.8112831269</v>
      </c>
      <c r="L24" s="113"/>
      <c r="M24" s="29">
        <f t="shared" si="4"/>
        <v>13</v>
      </c>
      <c r="N24" s="226" t="s">
        <v>234</v>
      </c>
      <c r="O24" s="145"/>
      <c r="P24" s="330">
        <v>0</v>
      </c>
      <c r="Q24" s="29">
        <f t="shared" si="5"/>
        <v>13</v>
      </c>
      <c r="R24" s="145" t="s">
        <v>140</v>
      </c>
      <c r="S24" s="363"/>
      <c r="T24" s="379">
        <f>-T22</f>
        <v>41850058.34911228</v>
      </c>
      <c r="U24" s="29">
        <f t="shared" si="6"/>
        <v>13</v>
      </c>
      <c r="V24" s="316" t="s">
        <v>233</v>
      </c>
      <c r="W24" s="49"/>
      <c r="X24" s="85"/>
      <c r="Y24" s="113">
        <f>'[27]Lead E'!$E23</f>
        <v>807.76</v>
      </c>
      <c r="Z24" s="29">
        <v>13</v>
      </c>
      <c r="AA24" s="383" t="s">
        <v>423</v>
      </c>
      <c r="AB24" s="430"/>
      <c r="AC24" s="334">
        <f>+AC22/4</f>
        <v>68250</v>
      </c>
      <c r="AD24" s="421"/>
      <c r="AE24" s="605">
        <v>13</v>
      </c>
      <c r="AF24" s="226" t="s">
        <v>232</v>
      </c>
      <c r="AL24" s="378">
        <f>[19]Lead!$H$27</f>
        <v>17630570.899999999</v>
      </c>
      <c r="AR24" s="113"/>
      <c r="AS24" s="29">
        <v>13</v>
      </c>
      <c r="AT24" s="226" t="s">
        <v>226</v>
      </c>
      <c r="AU24" s="368">
        <f>FIT_CBR</f>
        <v>0.27999999999999997</v>
      </c>
      <c r="AV24" s="133">
        <f>ROUND(AV22*AU24,0)</f>
        <v>-45618</v>
      </c>
      <c r="AW24" s="145"/>
      <c r="AX24" s="145"/>
      <c r="AY24" s="205"/>
      <c r="AZ24" s="205"/>
      <c r="BA24" s="205"/>
      <c r="BF24" s="359"/>
      <c r="BG24" s="49"/>
      <c r="BH24" s="85"/>
      <c r="BI24" s="85"/>
      <c r="BJ24" s="85"/>
      <c r="BK24" s="340"/>
      <c r="BL24" s="340"/>
      <c r="BM24" s="340"/>
      <c r="BN24" s="340"/>
      <c r="BO24" s="340"/>
      <c r="BP24" s="340"/>
      <c r="BQ24" s="340"/>
      <c r="BR24" s="340"/>
      <c r="BS24" s="340"/>
      <c r="BT24" s="340"/>
      <c r="BU24" s="340"/>
      <c r="BV24" s="340"/>
      <c r="BW24" s="340"/>
      <c r="BX24" s="340"/>
      <c r="BY24" s="340"/>
      <c r="BZ24" s="29">
        <f t="shared" si="13"/>
        <v>13</v>
      </c>
      <c r="CA24" s="377" t="s">
        <v>231</v>
      </c>
      <c r="CB24" s="242">
        <f>CB18</f>
        <v>279731.89999999997</v>
      </c>
      <c r="CC24" s="242">
        <f>CC18</f>
        <v>5765723.3599999994</v>
      </c>
      <c r="CD24" s="242">
        <f>CD18</f>
        <v>6045455.2599999998</v>
      </c>
      <c r="CE24" s="29">
        <f t="shared" si="15"/>
        <v>13</v>
      </c>
      <c r="CF24" s="145" t="s">
        <v>211</v>
      </c>
      <c r="CG24" s="48" t="s">
        <v>30</v>
      </c>
      <c r="CH24" s="48"/>
      <c r="CI24" s="360">
        <f>CI21-CI23</f>
        <v>-1579359.162890553</v>
      </c>
      <c r="CJ24" s="605">
        <f t="shared" si="1"/>
        <v>13</v>
      </c>
      <c r="CK24" s="145" t="s">
        <v>230</v>
      </c>
      <c r="CL24" s="368">
        <f>FIT_CBR</f>
        <v>0.27999999999999997</v>
      </c>
      <c r="CM24" s="307"/>
      <c r="CN24" s="242">
        <f>CN22*CL24</f>
        <v>13942.182800000066</v>
      </c>
      <c r="CO24" s="29">
        <f t="shared" si="16"/>
        <v>13</v>
      </c>
      <c r="CP24" s="145" t="s">
        <v>84</v>
      </c>
      <c r="CQ24" s="127"/>
      <c r="CR24" s="127"/>
      <c r="CS24" s="142">
        <f>-CS21-CS23</f>
        <v>144678.96000000002</v>
      </c>
      <c r="CX24" s="25"/>
      <c r="CY24" s="29">
        <f t="shared" si="19"/>
        <v>11</v>
      </c>
      <c r="CZ24" s="145" t="s">
        <v>12</v>
      </c>
      <c r="DA24" s="64">
        <f>'[34]Allocated Summary'!$B$20</f>
        <v>192974971.49000001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29">
        <f t="shared" si="20"/>
        <v>11</v>
      </c>
      <c r="DI24" s="145" t="s">
        <v>12</v>
      </c>
      <c r="DJ24" s="41">
        <v>0</v>
      </c>
      <c r="DK24" s="41"/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29">
        <f t="shared" si="21"/>
        <v>11</v>
      </c>
      <c r="DR24" s="145" t="s">
        <v>12</v>
      </c>
      <c r="DS24" s="41">
        <v>0</v>
      </c>
      <c r="DT24" s="41">
        <v>0</v>
      </c>
      <c r="DU24" s="41">
        <v>0</v>
      </c>
      <c r="DV24" s="41">
        <f>+CI13</f>
        <v>-1703775.51</v>
      </c>
      <c r="DW24" s="41">
        <v>0</v>
      </c>
      <c r="DX24" s="41">
        <v>0</v>
      </c>
      <c r="DY24" s="41">
        <f>SUM(DB24:DX24)-DH24-DQ24</f>
        <v>-1703775.51</v>
      </c>
      <c r="DZ24" s="29">
        <f t="shared" si="22"/>
        <v>11</v>
      </c>
      <c r="EA24" s="145" t="s">
        <v>46</v>
      </c>
      <c r="EB24" s="116">
        <f>+DA24</f>
        <v>192974971.49000001</v>
      </c>
      <c r="EC24" s="116">
        <f>+DY24</f>
        <v>-1703775.51</v>
      </c>
      <c r="ED24" s="41">
        <f>SUM(EB24:EC24)</f>
        <v>191271195.98000002</v>
      </c>
    </row>
    <row r="25" spans="1:134" ht="15" customHeight="1" thickTop="1" thickBot="1" x14ac:dyDescent="0.25">
      <c r="A25" s="135">
        <f t="shared" si="0"/>
        <v>15</v>
      </c>
      <c r="B25" s="716">
        <v>43252</v>
      </c>
      <c r="C25" s="246">
        <f>'[31]Summary Sheet'!C23</f>
        <v>1565951960</v>
      </c>
      <c r="D25" s="125">
        <f>'[31]Summary Sheet'!D23</f>
        <v>1559953299.7715843</v>
      </c>
      <c r="E25" s="125">
        <f t="shared" si="17"/>
        <v>-5998660.2284157276</v>
      </c>
      <c r="F25" s="125">
        <f t="shared" si="23"/>
        <v>-5572755.3521982115</v>
      </c>
      <c r="H25" s="135">
        <f t="shared" si="3"/>
        <v>15</v>
      </c>
      <c r="I25" s="38" t="s">
        <v>138</v>
      </c>
      <c r="K25" s="137"/>
      <c r="L25" s="113"/>
      <c r="M25" s="29">
        <f t="shared" si="4"/>
        <v>14</v>
      </c>
      <c r="N25" s="145" t="s">
        <v>229</v>
      </c>
      <c r="O25" s="107"/>
      <c r="P25" s="137">
        <f>P21+P22+P23+P24</f>
        <v>146816371.71999907</v>
      </c>
      <c r="Q25" s="29"/>
      <c r="U25" s="29">
        <f t="shared" si="6"/>
        <v>14</v>
      </c>
      <c r="V25" s="376" t="s">
        <v>228</v>
      </c>
      <c r="W25" s="375"/>
      <c r="X25" s="334"/>
      <c r="Y25" s="596">
        <f>SUM(Y13:Y24)</f>
        <v>204764810.82341978</v>
      </c>
      <c r="Z25" s="29">
        <v>14</v>
      </c>
      <c r="AA25" s="348" t="s">
        <v>424</v>
      </c>
      <c r="AB25" s="320"/>
      <c r="AC25" s="330">
        <f>+'[33]Lead E'!$D$26</f>
        <v>0</v>
      </c>
      <c r="AD25" s="421"/>
      <c r="AE25" s="605">
        <v>14</v>
      </c>
      <c r="AF25" s="226" t="s">
        <v>108</v>
      </c>
      <c r="AM25" s="85">
        <f>ROUND(AL22-AL24,0)</f>
        <v>330011</v>
      </c>
      <c r="AR25" s="113"/>
      <c r="AS25" s="29">
        <v>14</v>
      </c>
      <c r="AT25" s="226"/>
      <c r="AU25" s="107"/>
      <c r="AV25" s="150"/>
      <c r="AW25" s="145"/>
      <c r="AX25" s="145"/>
      <c r="AY25" s="145"/>
      <c r="AZ25" s="374"/>
      <c r="BA25" s="205"/>
      <c r="BF25" s="359"/>
      <c r="BG25" s="49"/>
      <c r="BH25" s="133"/>
      <c r="BI25" s="133"/>
      <c r="BJ25" s="127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29">
        <f t="shared" si="13"/>
        <v>14</v>
      </c>
      <c r="CB25" s="113"/>
      <c r="CC25" s="113"/>
      <c r="CD25" s="113"/>
      <c r="CE25" s="113"/>
      <c r="CJ25" s="605">
        <f t="shared" si="1"/>
        <v>14</v>
      </c>
      <c r="CK25" s="145" t="s">
        <v>84</v>
      </c>
      <c r="CL25" s="148"/>
      <c r="CM25" s="58"/>
      <c r="CN25" s="360">
        <f>CN22-CN24</f>
        <v>35851.327200000174</v>
      </c>
      <c r="CO25" s="127"/>
      <c r="CX25" s="25"/>
      <c r="CY25" s="29">
        <f t="shared" si="19"/>
        <v>12</v>
      </c>
      <c r="CZ25" s="145" t="s">
        <v>13</v>
      </c>
      <c r="DA25" s="47">
        <f>'[34]Allocated Summary'!$B$21</f>
        <v>499358138.91999996</v>
      </c>
      <c r="DB25" s="40"/>
      <c r="DC25" s="40"/>
      <c r="DD25" s="40"/>
      <c r="DE25" s="40"/>
      <c r="DF25" s="40">
        <f>Y40</f>
        <v>-2413218.2599999998</v>
      </c>
      <c r="DG25" s="40"/>
      <c r="DH25" s="29">
        <f t="shared" si="20"/>
        <v>12</v>
      </c>
      <c r="DI25" s="145" t="s">
        <v>13</v>
      </c>
      <c r="DJ25" s="40"/>
      <c r="DK25" s="40">
        <f>'[20]Lead E'!$G$12</f>
        <v>-31485.941259909945</v>
      </c>
      <c r="DL25" s="40"/>
      <c r="DM25" s="40"/>
      <c r="DN25" s="40"/>
      <c r="DO25" s="40"/>
      <c r="DP25" s="40"/>
      <c r="DQ25" s="29">
        <f t="shared" si="21"/>
        <v>12</v>
      </c>
      <c r="DR25" s="145" t="s">
        <v>13</v>
      </c>
      <c r="DS25" s="40"/>
      <c r="DT25" s="40"/>
      <c r="DU25" s="40"/>
      <c r="DV25" s="41">
        <f>+CI14+CI15</f>
        <v>3897329.9029035456</v>
      </c>
      <c r="DW25" s="40"/>
      <c r="DX25" s="40"/>
      <c r="DY25" s="40">
        <f>SUM(DB25:DX25)-DH25-DQ25</f>
        <v>1452625.701643636</v>
      </c>
      <c r="DZ25" s="29">
        <f t="shared" si="22"/>
        <v>12</v>
      </c>
      <c r="EA25" s="145" t="s">
        <v>0</v>
      </c>
      <c r="EB25" s="113">
        <f>+DA25</f>
        <v>499358138.91999996</v>
      </c>
      <c r="EC25" s="113">
        <f>+DY25</f>
        <v>1452625.701643636</v>
      </c>
      <c r="ED25" s="40">
        <f>SUM(EB25:EC25)</f>
        <v>500810764.6216436</v>
      </c>
    </row>
    <row r="26" spans="1:134" ht="15" customHeight="1" thickTop="1" thickBot="1" x14ac:dyDescent="0.25">
      <c r="A26" s="135">
        <f t="shared" si="0"/>
        <v>16</v>
      </c>
      <c r="C26" s="373">
        <f>SUM(C14:C25)</f>
        <v>22506009885</v>
      </c>
      <c r="D26" s="373">
        <f>SUM(D14:D25)</f>
        <v>22482264585.188564</v>
      </c>
      <c r="E26" s="373">
        <f>SUM(E14:E25)</f>
        <v>-23745299.811438322</v>
      </c>
      <c r="F26" s="373">
        <f>SUM(F14:F25)</f>
        <v>-21926849.455323808</v>
      </c>
      <c r="H26" s="135">
        <f t="shared" si="3"/>
        <v>16</v>
      </c>
      <c r="I26" s="145"/>
      <c r="L26" s="133">
        <f>SUM(K24:K24)</f>
        <v>2024138.8112831269</v>
      </c>
      <c r="M26" s="29">
        <f t="shared" si="4"/>
        <v>15</v>
      </c>
      <c r="O26" s="107"/>
      <c r="P26" s="137"/>
      <c r="Q26" s="29"/>
      <c r="R26" s="363"/>
      <c r="S26" s="362"/>
      <c r="T26" s="361"/>
      <c r="U26" s="29">
        <f t="shared" si="6"/>
        <v>15</v>
      </c>
      <c r="V26" s="141"/>
      <c r="W26" s="49"/>
      <c r="Y26" s="123"/>
      <c r="Z26" s="29">
        <v>15</v>
      </c>
      <c r="AA26" s="145" t="s">
        <v>108</v>
      </c>
      <c r="AB26" s="545"/>
      <c r="AC26" s="546">
        <f>+AC24-AC25</f>
        <v>68250</v>
      </c>
      <c r="AD26" s="370">
        <f>+AC26</f>
        <v>68250</v>
      </c>
      <c r="AE26" s="605">
        <v>15</v>
      </c>
      <c r="AS26" s="29">
        <v>15</v>
      </c>
      <c r="AT26" s="226" t="s">
        <v>211</v>
      </c>
      <c r="AU26" s="226"/>
      <c r="AV26" s="266">
        <f>AV22-AV24</f>
        <v>-117303.71779500134</v>
      </c>
      <c r="AW26" s="145"/>
      <c r="AX26" s="145"/>
      <c r="AY26" s="145"/>
      <c r="AZ26" s="145"/>
      <c r="BA26" s="205"/>
      <c r="BF26" s="359"/>
      <c r="BG26" s="235"/>
      <c r="BH26" s="133"/>
      <c r="BI26" s="133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29">
        <f t="shared" si="13"/>
        <v>15</v>
      </c>
      <c r="CA26" s="155" t="s">
        <v>227</v>
      </c>
      <c r="CB26" s="133">
        <f>CB21-CB24</f>
        <v>129472.25666666671</v>
      </c>
      <c r="CC26" s="133">
        <f>CC21-CC24</f>
        <v>3449638.3383333329</v>
      </c>
      <c r="CD26" s="133">
        <f>CD21-CD24</f>
        <v>3579110.5950000007</v>
      </c>
      <c r="CE26" s="133"/>
      <c r="CF26" s="113"/>
      <c r="CG26" s="113"/>
      <c r="CH26" s="113"/>
      <c r="CI26" s="113"/>
      <c r="CJ26" s="133"/>
      <c r="CK26" s="133"/>
      <c r="CL26" s="133"/>
      <c r="CM26" s="133"/>
      <c r="CN26" s="133"/>
      <c r="CO26" s="127"/>
      <c r="CP26" s="94"/>
      <c r="CQ26" s="94"/>
      <c r="CR26" s="94"/>
      <c r="CS26" s="94"/>
      <c r="CX26" s="25"/>
      <c r="CY26" s="29">
        <f t="shared" si="19"/>
        <v>13</v>
      </c>
      <c r="CZ26" s="145" t="s">
        <v>14</v>
      </c>
      <c r="DA26" s="47">
        <f>'[34]Allocated Summary'!$B$22</f>
        <v>116538099.3</v>
      </c>
      <c r="DB26" s="40"/>
      <c r="DC26" s="40"/>
      <c r="DD26" s="40"/>
      <c r="DE26" s="40"/>
      <c r="DF26" s="40"/>
      <c r="DG26" s="40"/>
      <c r="DH26" s="29">
        <f t="shared" si="20"/>
        <v>13</v>
      </c>
      <c r="DI26" s="145" t="s">
        <v>14</v>
      </c>
      <c r="DJ26" s="40"/>
      <c r="DK26" s="40"/>
      <c r="DL26" s="40"/>
      <c r="DM26" s="40"/>
      <c r="DN26" s="40"/>
      <c r="DO26" s="40"/>
      <c r="DP26" s="40"/>
      <c r="DQ26" s="29">
        <f t="shared" si="21"/>
        <v>13</v>
      </c>
      <c r="DR26" s="145" t="s">
        <v>14</v>
      </c>
      <c r="DS26" s="40"/>
      <c r="DT26" s="40"/>
      <c r="DU26" s="40"/>
      <c r="DV26" s="40"/>
      <c r="DW26" s="40"/>
      <c r="DX26" s="40"/>
      <c r="DY26" s="40">
        <f>SUM(DB26:DX26)-DH26-DQ26</f>
        <v>0</v>
      </c>
      <c r="DZ26" s="29">
        <f t="shared" si="22"/>
        <v>13</v>
      </c>
      <c r="EA26" s="145" t="s">
        <v>49</v>
      </c>
      <c r="EB26" s="113">
        <f>+DA26</f>
        <v>116538099.3</v>
      </c>
      <c r="EC26" s="113">
        <f>+DY26</f>
        <v>0</v>
      </c>
      <c r="ED26" s="40">
        <f>SUM(EB26:EC26)</f>
        <v>116538099.3</v>
      </c>
    </row>
    <row r="27" spans="1:134" ht="15" customHeight="1" thickTop="1" x14ac:dyDescent="0.2">
      <c r="A27" s="135">
        <f t="shared" si="0"/>
        <v>17</v>
      </c>
      <c r="C27" s="157"/>
      <c r="D27" s="157"/>
      <c r="H27" s="135">
        <f t="shared" si="3"/>
        <v>17</v>
      </c>
      <c r="I27" s="145"/>
      <c r="K27" s="58"/>
      <c r="L27" s="133"/>
      <c r="M27" s="29">
        <f t="shared" si="4"/>
        <v>16</v>
      </c>
      <c r="N27" s="145" t="s">
        <v>226</v>
      </c>
      <c r="O27" s="107"/>
      <c r="P27" s="137">
        <f>P15-P21</f>
        <v>72882519.979304776</v>
      </c>
      <c r="Q27" s="29"/>
      <c r="R27" s="363"/>
      <c r="S27" s="362"/>
      <c r="T27" s="361"/>
      <c r="U27" s="29">
        <f t="shared" si="6"/>
        <v>16</v>
      </c>
      <c r="V27" s="371" t="s">
        <v>225</v>
      </c>
      <c r="W27" s="49"/>
      <c r="Y27" s="349"/>
      <c r="Z27" s="29">
        <v>16</v>
      </c>
      <c r="AA27" s="145"/>
      <c r="AB27" s="545"/>
      <c r="AC27" s="370"/>
      <c r="AD27" s="548"/>
      <c r="AE27" s="605">
        <v>16</v>
      </c>
      <c r="AF27" s="226" t="s">
        <v>84</v>
      </c>
      <c r="AM27" s="116">
        <f>-AM25</f>
        <v>-330011</v>
      </c>
      <c r="AS27" s="29"/>
      <c r="AT27" s="226"/>
      <c r="AU27" s="226"/>
      <c r="AV27" s="125"/>
      <c r="AW27" s="145"/>
      <c r="AX27" s="145"/>
      <c r="AY27" s="145"/>
      <c r="AZ27" s="145"/>
      <c r="BA27" s="205"/>
      <c r="BF27" s="359"/>
      <c r="BG27" s="235"/>
      <c r="BH27" s="133"/>
      <c r="BI27" s="133"/>
      <c r="BJ27" s="133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29">
        <f t="shared" si="13"/>
        <v>16</v>
      </c>
      <c r="CB27" s="113"/>
      <c r="CC27" s="113"/>
      <c r="CD27" s="113"/>
      <c r="CE27" s="113"/>
      <c r="CF27" s="133"/>
      <c r="CG27" s="133"/>
      <c r="CH27" s="133"/>
      <c r="CI27" s="133"/>
      <c r="CJ27" s="113"/>
      <c r="CK27" s="113"/>
      <c r="CL27" s="113"/>
      <c r="CM27" s="113"/>
      <c r="CN27" s="113"/>
      <c r="CO27" s="133"/>
      <c r="CP27" s="94"/>
      <c r="CQ27" s="94"/>
      <c r="CR27" s="94"/>
      <c r="CS27" s="94"/>
      <c r="CX27" s="25"/>
      <c r="CY27" s="29">
        <f t="shared" si="19"/>
        <v>14</v>
      </c>
      <c r="CZ27" s="226" t="s">
        <v>50</v>
      </c>
      <c r="DA27" s="330">
        <f>'[34]Allocated Summary'!$B$23</f>
        <v>-77400560.560000002</v>
      </c>
      <c r="DB27" s="330"/>
      <c r="DC27" s="330"/>
      <c r="DD27" s="330"/>
      <c r="DE27" s="330"/>
      <c r="DF27" s="330">
        <f>Y38</f>
        <v>77400560.560000002</v>
      </c>
      <c r="DG27" s="330"/>
      <c r="DH27" s="29">
        <f t="shared" si="20"/>
        <v>14</v>
      </c>
      <c r="DI27" s="226" t="s">
        <v>50</v>
      </c>
      <c r="DJ27" s="330"/>
      <c r="DK27" s="330"/>
      <c r="DL27" s="330"/>
      <c r="DM27" s="330"/>
      <c r="DN27" s="330"/>
      <c r="DO27" s="330"/>
      <c r="DP27" s="330"/>
      <c r="DQ27" s="29">
        <f t="shared" si="21"/>
        <v>14</v>
      </c>
      <c r="DR27" s="226" t="s">
        <v>50</v>
      </c>
      <c r="DS27" s="330"/>
      <c r="DT27" s="330"/>
      <c r="DU27" s="330"/>
      <c r="DV27" s="330"/>
      <c r="DW27" s="330"/>
      <c r="DX27" s="330"/>
      <c r="DY27" s="330">
        <f>SUM(DB27:DX27)-DH27-DQ27</f>
        <v>77400560.560000002</v>
      </c>
      <c r="DZ27" s="29">
        <f t="shared" si="22"/>
        <v>14</v>
      </c>
      <c r="EA27" s="226" t="s">
        <v>15</v>
      </c>
      <c r="EB27" s="242">
        <f>+DA27</f>
        <v>-77400560.560000002</v>
      </c>
      <c r="EC27" s="242">
        <f>+DY27</f>
        <v>77400560.560000002</v>
      </c>
      <c r="ED27" s="330">
        <f>SUM(EB27:EC27)</f>
        <v>0</v>
      </c>
    </row>
    <row r="28" spans="1:134" ht="15" customHeight="1" x14ac:dyDescent="0.2">
      <c r="A28" s="135">
        <f t="shared" si="0"/>
        <v>18</v>
      </c>
      <c r="B28" s="226" t="s">
        <v>224</v>
      </c>
      <c r="C28" s="226" t="s">
        <v>223</v>
      </c>
      <c r="D28" s="58"/>
      <c r="E28" s="345">
        <f>'[31]Summary Sheet'!E26</f>
        <v>-855.29145687678829</v>
      </c>
      <c r="F28" s="345">
        <f>'[31]Summary Sheet'!F26</f>
        <v>-1267807</v>
      </c>
      <c r="H28" s="135">
        <f t="shared" si="3"/>
        <v>18</v>
      </c>
      <c r="I28" s="145"/>
      <c r="K28" s="58"/>
      <c r="L28" s="133"/>
      <c r="M28" s="29">
        <f t="shared" si="4"/>
        <v>17</v>
      </c>
      <c r="N28" s="145" t="s">
        <v>222</v>
      </c>
      <c r="O28" s="107"/>
      <c r="P28" s="137">
        <f>P17+P18-P22-P23-P24</f>
        <v>-76845901.985944033</v>
      </c>
      <c r="Q28" s="29"/>
      <c r="R28" s="363"/>
      <c r="S28" s="362"/>
      <c r="T28" s="361"/>
      <c r="U28" s="29">
        <f t="shared" si="6"/>
        <v>17</v>
      </c>
      <c r="V28" s="316" t="s">
        <v>158</v>
      </c>
      <c r="X28" s="356">
        <f>BD</f>
        <v>8.0199999999999994E-3</v>
      </c>
      <c r="Y28" s="116">
        <f>-SUM(Y13:Y18,Y22,Y23,Y24)*X28</f>
        <v>-1628561.2152573597</v>
      </c>
      <c r="Z28" s="29">
        <v>17</v>
      </c>
      <c r="AA28" s="145" t="s">
        <v>189</v>
      </c>
      <c r="AB28" s="320"/>
      <c r="AC28" s="421"/>
      <c r="AD28" s="64">
        <f>+AD19+AD26</f>
        <v>-88517.117169999983</v>
      </c>
      <c r="AE28" s="605">
        <v>17</v>
      </c>
      <c r="AF28" s="226" t="s">
        <v>102</v>
      </c>
      <c r="AL28" s="368">
        <f>FIT_CBR</f>
        <v>0.27999999999999997</v>
      </c>
      <c r="AM28" s="355">
        <f>ROUND(-AM25*AL28,0)</f>
        <v>-92403</v>
      </c>
      <c r="AS28" s="29"/>
      <c r="AT28" s="226"/>
      <c r="AU28" s="226"/>
      <c r="AV28" s="125"/>
      <c r="AW28" s="85"/>
      <c r="AX28" s="85"/>
      <c r="AY28" s="85"/>
      <c r="AZ28" s="85"/>
      <c r="BA28" s="85"/>
      <c r="BF28" s="359"/>
      <c r="BG28" s="49"/>
      <c r="BH28" s="85"/>
      <c r="BI28" s="85"/>
      <c r="BJ28" s="85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29">
        <f t="shared" si="13"/>
        <v>17</v>
      </c>
      <c r="CA28" s="154" t="s">
        <v>221</v>
      </c>
      <c r="CB28" s="113"/>
      <c r="CC28" s="368">
        <f>FIT_CBR</f>
        <v>0.27999999999999997</v>
      </c>
      <c r="CD28" s="242">
        <f>-CD26*CC28</f>
        <v>-1002150.9666</v>
      </c>
      <c r="CE28" s="133"/>
      <c r="CF28" s="113"/>
      <c r="CG28" s="113"/>
      <c r="CH28" s="113"/>
      <c r="CI28" s="113"/>
      <c r="CJ28" s="133"/>
      <c r="CK28" s="133"/>
      <c r="CL28" s="133"/>
      <c r="CM28" s="133"/>
      <c r="CN28" s="133"/>
      <c r="CO28" s="359"/>
      <c r="CP28" s="358"/>
      <c r="CQ28" s="367"/>
      <c r="CR28" s="366"/>
      <c r="CS28" s="365"/>
      <c r="CX28" s="25"/>
      <c r="CY28" s="29">
        <f t="shared" si="19"/>
        <v>15</v>
      </c>
      <c r="CZ28" s="145" t="s">
        <v>16</v>
      </c>
      <c r="DA28" s="116">
        <f t="shared" ref="DA28:DG28" si="25">SUM(DA24:DA27)</f>
        <v>731470649.14999986</v>
      </c>
      <c r="DB28" s="116">
        <f t="shared" si="25"/>
        <v>0</v>
      </c>
      <c r="DC28" s="116">
        <f t="shared" si="25"/>
        <v>0</v>
      </c>
      <c r="DD28" s="116">
        <f t="shared" si="25"/>
        <v>0</v>
      </c>
      <c r="DE28" s="116">
        <f t="shared" si="25"/>
        <v>0</v>
      </c>
      <c r="DF28" s="116">
        <f t="shared" si="25"/>
        <v>74987342.299999997</v>
      </c>
      <c r="DG28" s="116">
        <f t="shared" si="25"/>
        <v>0</v>
      </c>
      <c r="DH28" s="29">
        <f t="shared" si="20"/>
        <v>15</v>
      </c>
      <c r="DI28" s="145" t="s">
        <v>16</v>
      </c>
      <c r="DJ28" s="116">
        <f>SUM(DJ24:DJ27)</f>
        <v>0</v>
      </c>
      <c r="DK28" s="116">
        <f>SUM(DK23:DK27)</f>
        <v>-31485.941259909945</v>
      </c>
      <c r="DL28" s="116">
        <f>SUM(DL23:DL27)</f>
        <v>0</v>
      </c>
      <c r="DM28" s="116">
        <f>SUM(DM24:DM27)</f>
        <v>0</v>
      </c>
      <c r="DN28" s="116">
        <f>SUM(DN23:DN27)</f>
        <v>0</v>
      </c>
      <c r="DO28" s="116">
        <f>SUM(DO23:DO27)</f>
        <v>0</v>
      </c>
      <c r="DP28" s="116">
        <f>SUM(DP23:DP27)</f>
        <v>0</v>
      </c>
      <c r="DQ28" s="29">
        <f t="shared" si="21"/>
        <v>15</v>
      </c>
      <c r="DR28" s="145" t="s">
        <v>16</v>
      </c>
      <c r="DS28" s="116">
        <f t="shared" ref="DS28:DY28" si="26">SUM(DS23:DS27)</f>
        <v>0</v>
      </c>
      <c r="DT28" s="116">
        <f t="shared" si="26"/>
        <v>0</v>
      </c>
      <c r="DU28" s="116">
        <f t="shared" si="26"/>
        <v>0</v>
      </c>
      <c r="DV28" s="116">
        <f t="shared" si="26"/>
        <v>2193554.3929035459</v>
      </c>
      <c r="DW28" s="116">
        <f t="shared" si="26"/>
        <v>0</v>
      </c>
      <c r="DX28" s="116">
        <f t="shared" si="26"/>
        <v>0</v>
      </c>
      <c r="DY28" s="116">
        <f t="shared" si="26"/>
        <v>77149410.751643643</v>
      </c>
      <c r="DZ28" s="29">
        <f t="shared" si="22"/>
        <v>15</v>
      </c>
      <c r="EA28" s="145" t="s">
        <v>16</v>
      </c>
      <c r="EB28" s="364">
        <f>SUM(EB24:EB27)</f>
        <v>731470649.14999986</v>
      </c>
      <c r="EC28" s="364">
        <f>SUM(EC24:EC27)</f>
        <v>77149410.751643643</v>
      </c>
      <c r="ED28" s="364">
        <f>SUM(ED24:ED27)</f>
        <v>808620059.90164351</v>
      </c>
    </row>
    <row r="29" spans="1:134" ht="15" customHeight="1" thickBot="1" x14ac:dyDescent="0.25">
      <c r="A29" s="135">
        <f t="shared" si="0"/>
        <v>19</v>
      </c>
      <c r="C29" s="226" t="s">
        <v>220</v>
      </c>
      <c r="E29" s="345">
        <f>'[31]Summary Sheet'!E27</f>
        <v>-5449847.9603477279</v>
      </c>
      <c r="F29" s="345">
        <f>'[31]Summary Sheet'!F27</f>
        <v>-454912</v>
      </c>
      <c r="H29" s="135">
        <f t="shared" si="3"/>
        <v>19</v>
      </c>
      <c r="I29" s="177" t="s">
        <v>219</v>
      </c>
      <c r="K29" s="58"/>
      <c r="L29" s="133"/>
      <c r="M29" s="29">
        <f t="shared" si="4"/>
        <v>18</v>
      </c>
      <c r="N29" s="145" t="s">
        <v>218</v>
      </c>
      <c r="P29" s="266">
        <f>-SUM(P27:P28)</f>
        <v>3963382.0066392571</v>
      </c>
      <c r="Q29" s="29"/>
      <c r="R29" s="363"/>
      <c r="S29" s="362"/>
      <c r="T29" s="361"/>
      <c r="U29" s="29">
        <f t="shared" si="6"/>
        <v>18</v>
      </c>
      <c r="V29" s="316" t="s">
        <v>159</v>
      </c>
      <c r="X29" s="356">
        <f>FF</f>
        <v>2E-3</v>
      </c>
      <c r="Y29" s="331">
        <f>-SUM(Y13:Y18,Y22:Y24)*X29</f>
        <v>-406124.99133599998</v>
      </c>
      <c r="Z29" s="29">
        <v>18</v>
      </c>
      <c r="AB29" s="320"/>
      <c r="AC29" s="421"/>
      <c r="AD29" s="137"/>
      <c r="AE29" s="605">
        <v>18</v>
      </c>
      <c r="AF29" s="316" t="s">
        <v>84</v>
      </c>
      <c r="AM29" s="360">
        <f>AM27-AM28</f>
        <v>-237608</v>
      </c>
      <c r="AS29" s="226"/>
      <c r="AT29" s="226"/>
      <c r="AU29" s="226"/>
      <c r="AV29" s="226"/>
      <c r="AW29" s="226"/>
      <c r="AX29" s="226"/>
      <c r="AY29" s="226"/>
      <c r="AZ29" s="226"/>
      <c r="BA29" s="226"/>
      <c r="BB29" s="29"/>
      <c r="BF29" s="49"/>
      <c r="BG29" s="49"/>
      <c r="BH29" s="49"/>
      <c r="BI29" s="49"/>
      <c r="BJ29" s="49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29">
        <f t="shared" si="13"/>
        <v>18</v>
      </c>
      <c r="CB29" s="113"/>
      <c r="CC29" s="113"/>
      <c r="CD29" s="113"/>
      <c r="CE29" s="113"/>
      <c r="CF29" s="133"/>
      <c r="CG29" s="133"/>
      <c r="CH29" s="133"/>
      <c r="CI29" s="133"/>
      <c r="CJ29" s="113"/>
      <c r="CK29" s="113"/>
      <c r="CL29" s="113"/>
      <c r="CM29" s="113"/>
      <c r="CN29" s="113"/>
      <c r="CO29" s="359"/>
      <c r="CP29" s="358"/>
      <c r="CQ29" s="133"/>
      <c r="CR29" s="358"/>
      <c r="CS29" s="357"/>
      <c r="CX29" s="25"/>
      <c r="CY29" s="29">
        <f t="shared" si="19"/>
        <v>16</v>
      </c>
      <c r="CZ29" s="145"/>
      <c r="DA29" s="48"/>
      <c r="DB29" s="48"/>
      <c r="DC29" s="48"/>
      <c r="DD29" s="48"/>
      <c r="DE29" s="48"/>
      <c r="DF29" s="48"/>
      <c r="DG29" s="48"/>
      <c r="DH29" s="29">
        <f t="shared" si="20"/>
        <v>16</v>
      </c>
      <c r="DI29" s="145"/>
      <c r="DJ29" s="48"/>
      <c r="DK29" s="48"/>
      <c r="DL29" s="48"/>
      <c r="DM29" s="48"/>
      <c r="DN29" s="48"/>
      <c r="DO29" s="48"/>
      <c r="DP29" s="48"/>
      <c r="DQ29" s="29">
        <f t="shared" si="21"/>
        <v>16</v>
      </c>
      <c r="DR29" s="145"/>
      <c r="DS29" s="48"/>
      <c r="DT29" s="48"/>
      <c r="DU29" s="48"/>
      <c r="DV29" s="48"/>
      <c r="DW29" s="48"/>
      <c r="DX29" s="48"/>
      <c r="DY29" s="48"/>
      <c r="DZ29" s="29">
        <f t="shared" si="22"/>
        <v>16</v>
      </c>
      <c r="EA29" s="145"/>
      <c r="EB29" s="116"/>
      <c r="EC29" s="116"/>
      <c r="ED29" s="48"/>
    </row>
    <row r="30" spans="1:134" ht="15" customHeight="1" thickTop="1" thickBot="1" x14ac:dyDescent="0.25">
      <c r="A30" s="135">
        <f t="shared" si="0"/>
        <v>20</v>
      </c>
      <c r="B30" s="29"/>
      <c r="C30" s="226" t="s">
        <v>217</v>
      </c>
      <c r="E30" s="345">
        <f>'[31]Summary Sheet'!E28</f>
        <v>-7162081.5665613385</v>
      </c>
      <c r="F30" s="345">
        <f>'[31]Summary Sheet'!F28</f>
        <v>-497113</v>
      </c>
      <c r="H30" s="135">
        <f t="shared" si="3"/>
        <v>20</v>
      </c>
      <c r="I30" s="348" t="s">
        <v>216</v>
      </c>
      <c r="K30" s="113">
        <f>'[17]Lead E'!$D$33</f>
        <v>34578086.299999997</v>
      </c>
      <c r="L30" s="133"/>
      <c r="Q30" s="29"/>
      <c r="R30" s="94"/>
      <c r="S30" s="94"/>
      <c r="T30" s="94"/>
      <c r="U30" s="29">
        <f t="shared" si="6"/>
        <v>19</v>
      </c>
      <c r="V30" s="316" t="s">
        <v>215</v>
      </c>
      <c r="X30" s="356">
        <f>UTN</f>
        <v>3.8422999999999999E-2</v>
      </c>
      <c r="Y30" s="331">
        <f>-SUM(Y13:Y18,Y22:Y24)*X30</f>
        <v>-7802270.2710515633</v>
      </c>
      <c r="Z30" s="29">
        <v>19</v>
      </c>
      <c r="AA30" s="226" t="s">
        <v>214</v>
      </c>
      <c r="AB30" s="322">
        <f>FIT_CBR</f>
        <v>0.27999999999999997</v>
      </c>
      <c r="AC30" s="421"/>
      <c r="AD30" s="355">
        <f>-AD28*AB30</f>
        <v>24784.792807599992</v>
      </c>
      <c r="AE30" s="29"/>
      <c r="AF30" s="307"/>
      <c r="AG30" s="307"/>
      <c r="AH30" s="307"/>
      <c r="AI30" s="307"/>
      <c r="AJ30" s="307"/>
      <c r="AK30" s="307"/>
      <c r="AL30" s="307"/>
      <c r="AM30" s="307"/>
      <c r="AS30" s="226"/>
      <c r="AT30" s="226"/>
      <c r="AU30" s="226"/>
      <c r="AV30" s="226"/>
      <c r="AW30" s="226"/>
      <c r="AX30" s="226"/>
      <c r="AY30" s="226"/>
      <c r="AZ30" s="226"/>
      <c r="BA30" s="226"/>
      <c r="BB30" s="29"/>
      <c r="BF30" s="232"/>
      <c r="BJ30" s="113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29">
        <f t="shared" si="13"/>
        <v>19</v>
      </c>
      <c r="CA30" s="154" t="s">
        <v>84</v>
      </c>
      <c r="CB30" s="113"/>
      <c r="CC30" s="113"/>
      <c r="CD30" s="201">
        <f>-CD26-CD28</f>
        <v>-2576959.6284000007</v>
      </c>
      <c r="CE30" s="85"/>
      <c r="CF30" s="113"/>
      <c r="CG30" s="113"/>
      <c r="CH30" s="113"/>
      <c r="CI30" s="113"/>
      <c r="CJ30" s="85"/>
      <c r="CK30" s="85"/>
      <c r="CL30" s="85"/>
      <c r="CM30" s="85"/>
      <c r="CN30" s="85"/>
      <c r="CO30" s="29"/>
      <c r="CP30" s="113"/>
      <c r="CQ30" s="113"/>
      <c r="CR30" s="113"/>
      <c r="CS30" s="113"/>
      <c r="CX30" s="25"/>
      <c r="CY30" s="29">
        <f t="shared" si="19"/>
        <v>17</v>
      </c>
      <c r="CZ30" s="38" t="s">
        <v>1</v>
      </c>
      <c r="DA30" s="64">
        <f>'[34]Allocated Summary'!$B$26</f>
        <v>125620030.10999976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29">
        <f t="shared" si="20"/>
        <v>17</v>
      </c>
      <c r="DI30" s="38" t="s">
        <v>1</v>
      </c>
      <c r="DJ30" s="41">
        <v>0</v>
      </c>
      <c r="DK30" s="41">
        <f>'[20]Lead E'!$G$13</f>
        <v>-498851.37094650435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29">
        <f t="shared" si="21"/>
        <v>17</v>
      </c>
      <c r="DR30" s="38" t="s">
        <v>1</v>
      </c>
      <c r="DS30" s="41">
        <f>+BT13</f>
        <v>-3200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f t="shared" ref="DY30:DY44" si="27">SUM(DB30:DX30)-DH30-DQ30</f>
        <v>-502051.37094650435</v>
      </c>
      <c r="DZ30" s="29">
        <f t="shared" si="22"/>
        <v>17</v>
      </c>
      <c r="EA30" s="44" t="s">
        <v>1</v>
      </c>
      <c r="EB30" s="116">
        <f t="shared" ref="EB30:EB44" si="28">+DA30</f>
        <v>125620030.10999976</v>
      </c>
      <c r="EC30" s="116">
        <f t="shared" ref="EC30:EC44" si="29">+DY30</f>
        <v>-502051.37094650435</v>
      </c>
      <c r="ED30" s="41">
        <f t="shared" ref="ED30:ED44" si="30">SUM(EB30:EC30)</f>
        <v>125117978.73905325</v>
      </c>
    </row>
    <row r="31" spans="1:134" ht="15" customHeight="1" thickTop="1" thickBot="1" x14ac:dyDescent="0.25">
      <c r="A31" s="135">
        <f t="shared" si="0"/>
        <v>21</v>
      </c>
      <c r="C31" s="145" t="s">
        <v>213</v>
      </c>
      <c r="D31" s="354"/>
      <c r="E31" s="345">
        <f>'[31]Summary Sheet'!E29</f>
        <v>-5569549.819963485</v>
      </c>
      <c r="F31" s="345">
        <f>'[31]Summary Sheet'!F29</f>
        <v>-354984</v>
      </c>
      <c r="H31" s="135">
        <f t="shared" si="3"/>
        <v>21</v>
      </c>
      <c r="I31" s="353" t="s">
        <v>212</v>
      </c>
      <c r="J31" s="352"/>
      <c r="K31" s="143"/>
      <c r="P31" s="113"/>
      <c r="Q31" s="29"/>
      <c r="R31" s="94"/>
      <c r="S31" s="94"/>
      <c r="T31" s="94"/>
      <c r="U31" s="29">
        <f t="shared" si="6"/>
        <v>20</v>
      </c>
      <c r="V31" s="350" t="s">
        <v>174</v>
      </c>
      <c r="Y31" s="329">
        <f>SUM(Y28:Y30)</f>
        <v>-9836956.4776449222</v>
      </c>
      <c r="Z31" s="29">
        <v>20</v>
      </c>
      <c r="AA31" s="226" t="s">
        <v>211</v>
      </c>
      <c r="AB31" s="320"/>
      <c r="AC31" s="421"/>
      <c r="AD31" s="351">
        <f>-AD28-AD30</f>
        <v>63732.324362399988</v>
      </c>
      <c r="AE31" s="29"/>
      <c r="AF31" s="307"/>
      <c r="AG31" s="307"/>
      <c r="AH31" s="307"/>
      <c r="AI31" s="307"/>
      <c r="AJ31" s="307"/>
      <c r="AK31" s="307"/>
      <c r="AL31" s="307"/>
      <c r="AM31" s="307"/>
      <c r="AS31" s="55"/>
      <c r="AT31" s="55"/>
      <c r="AU31" s="55"/>
      <c r="AV31" s="55"/>
      <c r="AW31" s="55"/>
      <c r="AX31" s="55"/>
      <c r="AY31" s="55"/>
      <c r="AZ31" s="55"/>
      <c r="BA31" s="55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29"/>
      <c r="CA31" s="52"/>
      <c r="CB31" s="113"/>
      <c r="CC31" s="113"/>
      <c r="CD31" s="94"/>
      <c r="CE31" s="94"/>
      <c r="CF31" s="85"/>
      <c r="CG31" s="85"/>
      <c r="CH31" s="85"/>
      <c r="CI31" s="85"/>
      <c r="CJ31" s="94"/>
      <c r="CK31" s="94"/>
      <c r="CL31" s="94"/>
      <c r="CM31" s="94"/>
      <c r="CN31" s="94"/>
      <c r="CO31" s="29"/>
      <c r="CX31" s="25"/>
      <c r="CY31" s="29">
        <f t="shared" si="19"/>
        <v>18</v>
      </c>
      <c r="CZ31" s="145" t="s">
        <v>17</v>
      </c>
      <c r="DA31" s="47">
        <f>'[34]Allocated Summary'!$B27</f>
        <v>21791677.05999998</v>
      </c>
      <c r="DB31" s="40"/>
      <c r="DC31" s="40"/>
      <c r="DD31" s="40"/>
      <c r="DE31" s="40"/>
      <c r="DF31" s="40" t="s">
        <v>30</v>
      </c>
      <c r="DG31" s="40"/>
      <c r="DH31" s="29">
        <f t="shared" si="20"/>
        <v>18</v>
      </c>
      <c r="DI31" s="145" t="s">
        <v>17</v>
      </c>
      <c r="DJ31" s="40">
        <v>0</v>
      </c>
      <c r="DK31" s="40"/>
      <c r="DL31" s="40"/>
      <c r="DM31" s="40"/>
      <c r="DN31" s="40"/>
      <c r="DO31" s="40"/>
      <c r="DP31" s="40"/>
      <c r="DQ31" s="29">
        <f t="shared" si="21"/>
        <v>18</v>
      </c>
      <c r="DR31" s="145" t="s">
        <v>17</v>
      </c>
      <c r="DS31" s="40"/>
      <c r="DT31" s="40"/>
      <c r="DU31" s="40">
        <f>+CB26</f>
        <v>129472.25666666671</v>
      </c>
      <c r="DV31" s="40"/>
      <c r="DW31" s="40"/>
      <c r="DX31" s="40">
        <f>+CE26</f>
        <v>0</v>
      </c>
      <c r="DY31" s="40">
        <f t="shared" si="27"/>
        <v>129472.25666666671</v>
      </c>
      <c r="DZ31" s="29">
        <f t="shared" si="22"/>
        <v>18</v>
      </c>
      <c r="EA31" s="145" t="s">
        <v>17</v>
      </c>
      <c r="EB31" s="113">
        <f t="shared" si="28"/>
        <v>21791677.05999998</v>
      </c>
      <c r="EC31" s="113">
        <f t="shared" si="29"/>
        <v>129472.25666666671</v>
      </c>
      <c r="ED31" s="40">
        <f t="shared" si="30"/>
        <v>21921149.316666648</v>
      </c>
    </row>
    <row r="32" spans="1:134" ht="15" customHeight="1" thickTop="1" x14ac:dyDescent="0.2">
      <c r="A32" s="135">
        <f t="shared" si="0"/>
        <v>22</v>
      </c>
      <c r="C32" s="226" t="s">
        <v>210</v>
      </c>
      <c r="D32" s="145"/>
      <c r="E32" s="345">
        <f>'[31]Summary Sheet'!E30</f>
        <v>-403837.91482737212</v>
      </c>
      <c r="F32" s="345">
        <f>'[31]Summary Sheet'!F30</f>
        <v>-24405</v>
      </c>
      <c r="H32" s="135">
        <f t="shared" si="3"/>
        <v>22</v>
      </c>
      <c r="I32" s="348" t="s">
        <v>209</v>
      </c>
      <c r="K32" s="113"/>
      <c r="M32" s="606"/>
      <c r="N32" s="606"/>
      <c r="O32" s="606"/>
      <c r="P32" s="113"/>
      <c r="Q32" s="29"/>
      <c r="R32" s="94"/>
      <c r="S32" s="94"/>
      <c r="T32" s="94"/>
      <c r="U32" s="29">
        <f t="shared" si="6"/>
        <v>21</v>
      </c>
      <c r="V32" s="350"/>
      <c r="X32" s="59"/>
      <c r="Y32" s="349"/>
      <c r="AA32" s="421"/>
      <c r="AB32" s="421"/>
      <c r="AC32" s="421"/>
      <c r="AD32" s="421"/>
      <c r="AE32" s="29"/>
      <c r="AF32" s="307"/>
      <c r="AG32" s="307"/>
      <c r="AH32" s="307"/>
      <c r="AI32" s="307"/>
      <c r="AJ32" s="307"/>
      <c r="AK32" s="307"/>
      <c r="AL32" s="307"/>
      <c r="AM32" s="307"/>
      <c r="BZ32" s="52"/>
      <c r="CA32" s="52"/>
      <c r="CB32" s="52"/>
      <c r="CC32" s="52"/>
      <c r="CD32" s="52"/>
      <c r="CE32" s="52"/>
      <c r="CF32" s="94"/>
      <c r="CG32" s="94"/>
      <c r="CH32" s="94"/>
      <c r="CI32" s="94"/>
      <c r="CJ32" s="52"/>
      <c r="CK32" s="52"/>
      <c r="CL32" s="52"/>
      <c r="CM32" s="52"/>
      <c r="CN32" s="52"/>
      <c r="CO32" s="29"/>
      <c r="CX32" s="25"/>
      <c r="CY32" s="29">
        <f t="shared" si="19"/>
        <v>19</v>
      </c>
      <c r="CZ32" s="145" t="s">
        <v>18</v>
      </c>
      <c r="DA32" s="47">
        <f>'[34]Allocated Summary'!$B28</f>
        <v>79064740.699999675</v>
      </c>
      <c r="DB32" s="40"/>
      <c r="DC32" s="40"/>
      <c r="DD32" s="40"/>
      <c r="DE32" s="40"/>
      <c r="DF32" s="40" t="s">
        <v>30</v>
      </c>
      <c r="DG32" s="40"/>
      <c r="DH32" s="29">
        <f t="shared" si="20"/>
        <v>19</v>
      </c>
      <c r="DI32" s="145" t="s">
        <v>18</v>
      </c>
      <c r="DJ32" s="40">
        <v>0</v>
      </c>
      <c r="DK32" s="40"/>
      <c r="DL32" s="40"/>
      <c r="DM32" s="40"/>
      <c r="DN32" s="40"/>
      <c r="DO32" s="40"/>
      <c r="DP32" s="40"/>
      <c r="DQ32" s="29">
        <f t="shared" si="21"/>
        <v>19</v>
      </c>
      <c r="DR32" s="145" t="s">
        <v>18</v>
      </c>
      <c r="DS32" s="40"/>
      <c r="DT32" s="40"/>
      <c r="DU32" s="40">
        <f>+CC26</f>
        <v>3449638.3383333329</v>
      </c>
      <c r="DV32" s="40"/>
      <c r="DW32" s="40"/>
      <c r="DX32" s="40">
        <f>+CF27</f>
        <v>0</v>
      </c>
      <c r="DY32" s="40">
        <f t="shared" si="27"/>
        <v>3449638.3383333329</v>
      </c>
      <c r="DZ32" s="29">
        <f t="shared" si="22"/>
        <v>19</v>
      </c>
      <c r="EA32" s="145" t="s">
        <v>18</v>
      </c>
      <c r="EB32" s="113">
        <f t="shared" si="28"/>
        <v>79064740.699999675</v>
      </c>
      <c r="EC32" s="113">
        <f t="shared" si="29"/>
        <v>3449638.3383333329</v>
      </c>
      <c r="ED32" s="40">
        <f t="shared" si="30"/>
        <v>82514379.038333014</v>
      </c>
    </row>
    <row r="33" spans="1:135" ht="15" customHeight="1" x14ac:dyDescent="0.2">
      <c r="A33" s="135">
        <f t="shared" si="0"/>
        <v>23</v>
      </c>
      <c r="C33" s="145" t="s">
        <v>208</v>
      </c>
      <c r="E33" s="345">
        <f>'[31]Summary Sheet'!E31</f>
        <v>-2089863.5634308262</v>
      </c>
      <c r="F33" s="345">
        <f>'[31]Summary Sheet'!F31</f>
        <v>-126784</v>
      </c>
      <c r="H33" s="135">
        <f t="shared" si="3"/>
        <v>23</v>
      </c>
      <c r="I33" s="348" t="s">
        <v>207</v>
      </c>
      <c r="K33" s="143">
        <f>'[17]Lead E'!$D$35</f>
        <v>51208247.939999998</v>
      </c>
      <c r="M33" s="606"/>
      <c r="N33" s="606"/>
      <c r="O33" s="606"/>
      <c r="P33" s="113"/>
      <c r="Q33" s="29"/>
      <c r="R33" s="94"/>
      <c r="S33" s="94"/>
      <c r="T33" s="94"/>
      <c r="U33" s="29">
        <f t="shared" si="6"/>
        <v>22</v>
      </c>
      <c r="V33" s="347" t="s">
        <v>206</v>
      </c>
      <c r="X33" s="59"/>
      <c r="Y33" s="123"/>
      <c r="AA33" s="421"/>
      <c r="AB33" s="421"/>
      <c r="AC33" s="421"/>
      <c r="AD33" s="421"/>
      <c r="AE33" s="421"/>
      <c r="AF33" s="307"/>
      <c r="AG33" s="307"/>
      <c r="AH33" s="307"/>
      <c r="AI33" s="307"/>
      <c r="AJ33" s="307"/>
      <c r="AK33" s="307"/>
      <c r="AL33" s="307"/>
      <c r="AM33" s="307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29"/>
      <c r="CX33" s="25"/>
      <c r="CY33" s="29">
        <f t="shared" si="19"/>
        <v>20</v>
      </c>
      <c r="CZ33" s="145" t="s">
        <v>19</v>
      </c>
      <c r="DA33" s="47">
        <f>'[34]Allocated Summary'!$B29</f>
        <v>52024798.43</v>
      </c>
      <c r="DB33" s="40">
        <f>F39</f>
        <v>-22737</v>
      </c>
      <c r="DC33" s="40">
        <f>+K20</f>
        <v>422496.76668897999</v>
      </c>
      <c r="DD33" s="40"/>
      <c r="DE33" s="40"/>
      <c r="DF33" s="40">
        <f>Y28</f>
        <v>-1628561.2152573597</v>
      </c>
      <c r="DG33" s="40"/>
      <c r="DH33" s="29">
        <f t="shared" si="20"/>
        <v>20</v>
      </c>
      <c r="DI33" s="145" t="s">
        <v>19</v>
      </c>
      <c r="DJ33" s="40">
        <f>AM25</f>
        <v>330011</v>
      </c>
      <c r="DK33" s="40"/>
      <c r="DL33" s="40"/>
      <c r="DM33" s="40"/>
      <c r="DN33" s="40">
        <f>BE12</f>
        <v>395844.34257240192</v>
      </c>
      <c r="DO33" s="40"/>
      <c r="DP33" s="40"/>
      <c r="DQ33" s="29">
        <f t="shared" si="21"/>
        <v>20</v>
      </c>
      <c r="DR33" s="145" t="s">
        <v>19</v>
      </c>
      <c r="DS33" s="40"/>
      <c r="DT33" s="40"/>
      <c r="DU33" s="40"/>
      <c r="DV33" s="40"/>
      <c r="DW33" s="40"/>
      <c r="DX33" s="40"/>
      <c r="DY33" s="40">
        <f t="shared" si="27"/>
        <v>-502946.10599597782</v>
      </c>
      <c r="DZ33" s="29">
        <f t="shared" si="22"/>
        <v>20</v>
      </c>
      <c r="EA33" s="145" t="s">
        <v>3</v>
      </c>
      <c r="EB33" s="113">
        <f t="shared" si="28"/>
        <v>52024798.43</v>
      </c>
      <c r="EC33" s="113">
        <f t="shared" si="29"/>
        <v>-502946.10599597782</v>
      </c>
      <c r="ED33" s="40">
        <f t="shared" si="30"/>
        <v>51521852.324004024</v>
      </c>
    </row>
    <row r="34" spans="1:135" ht="15" customHeight="1" x14ac:dyDescent="0.2">
      <c r="A34" s="135">
        <f t="shared" si="0"/>
        <v>24</v>
      </c>
      <c r="C34" s="145" t="s">
        <v>205</v>
      </c>
      <c r="E34" s="345">
        <f>'[31]Summary Sheet'!E32</f>
        <v>-1733687.0572225826</v>
      </c>
      <c r="F34" s="345">
        <f>'[31]Summary Sheet'!F32</f>
        <v>-113543</v>
      </c>
      <c r="H34" s="135">
        <f t="shared" si="3"/>
        <v>24</v>
      </c>
      <c r="I34" s="38" t="s">
        <v>204</v>
      </c>
      <c r="K34" s="346"/>
      <c r="L34" s="49"/>
      <c r="M34" s="606"/>
      <c r="N34" s="606"/>
      <c r="O34" s="606"/>
      <c r="P34" s="113"/>
      <c r="Q34" s="29"/>
      <c r="R34" s="94"/>
      <c r="S34" s="94"/>
      <c r="T34" s="94"/>
      <c r="U34" s="29">
        <f t="shared" si="6"/>
        <v>23</v>
      </c>
      <c r="V34" s="342" t="s">
        <v>203</v>
      </c>
      <c r="X34" s="59"/>
      <c r="Y34" s="113">
        <f>'[27]Lead E'!$E33</f>
        <v>-106701547.08</v>
      </c>
      <c r="AA34" s="421"/>
      <c r="AB34" s="421"/>
      <c r="AC34" s="421"/>
      <c r="AD34" s="421"/>
      <c r="AE34" s="421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29"/>
      <c r="CX34" s="25"/>
      <c r="CY34" s="29">
        <f t="shared" si="19"/>
        <v>21</v>
      </c>
      <c r="CZ34" s="145" t="s">
        <v>20</v>
      </c>
      <c r="DA34" s="47">
        <f>'[34]Allocated Summary'!$B30</f>
        <v>21813620.449999992</v>
      </c>
      <c r="DB34" s="40"/>
      <c r="DC34" s="40"/>
      <c r="DD34" s="40"/>
      <c r="DE34" s="40"/>
      <c r="DF34" s="40">
        <f>Y37+Y41</f>
        <v>-18463659.789999999</v>
      </c>
      <c r="DG34" s="40"/>
      <c r="DH34" s="29">
        <f t="shared" si="20"/>
        <v>21</v>
      </c>
      <c r="DI34" s="145" t="s">
        <v>20</v>
      </c>
      <c r="DJ34" s="40"/>
      <c r="DK34" s="40"/>
      <c r="DL34" s="40"/>
      <c r="DM34" s="40"/>
      <c r="DN34" s="40"/>
      <c r="DO34" s="40"/>
      <c r="DP34" s="40"/>
      <c r="DQ34" s="29">
        <f t="shared" si="21"/>
        <v>21</v>
      </c>
      <c r="DR34" s="145" t="s">
        <v>20</v>
      </c>
      <c r="DS34" s="40"/>
      <c r="DT34" s="40"/>
      <c r="DU34" s="40"/>
      <c r="DV34" s="40"/>
      <c r="DW34" s="40"/>
      <c r="DX34" s="40"/>
      <c r="DY34" s="40">
        <f t="shared" si="27"/>
        <v>-18463659.789999999</v>
      </c>
      <c r="DZ34" s="29">
        <f t="shared" si="22"/>
        <v>21</v>
      </c>
      <c r="EA34" s="145" t="s">
        <v>20</v>
      </c>
      <c r="EB34" s="113">
        <f t="shared" si="28"/>
        <v>21813620.449999992</v>
      </c>
      <c r="EC34" s="113">
        <f t="shared" si="29"/>
        <v>-18463659.789999999</v>
      </c>
      <c r="ED34" s="40">
        <f t="shared" si="30"/>
        <v>3349960.6599999927</v>
      </c>
    </row>
    <row r="35" spans="1:135" ht="15" customHeight="1" x14ac:dyDescent="0.2">
      <c r="A35" s="135">
        <f t="shared" si="0"/>
        <v>25</v>
      </c>
      <c r="C35" s="145" t="s">
        <v>202</v>
      </c>
      <c r="D35" s="308"/>
      <c r="E35" s="345">
        <f>'[31]Summary Sheet'!E33</f>
        <v>461100.14024450601</v>
      </c>
      <c r="F35" s="345">
        <f>'[31]Summary Sheet'!F33</f>
        <v>3803</v>
      </c>
      <c r="H35" s="135">
        <f t="shared" si="3"/>
        <v>25</v>
      </c>
      <c r="I35" s="145"/>
      <c r="K35" s="58"/>
      <c r="L35" s="242">
        <f>SUM(K30:K33)</f>
        <v>85786334.239999995</v>
      </c>
      <c r="M35" s="606"/>
      <c r="N35" s="606"/>
      <c r="O35" s="606"/>
      <c r="P35" s="113"/>
      <c r="Q35" s="29"/>
      <c r="R35" s="94"/>
      <c r="S35" s="94"/>
      <c r="T35" s="94"/>
      <c r="U35" s="29">
        <f t="shared" si="6"/>
        <v>24</v>
      </c>
      <c r="V35" s="105" t="s">
        <v>201</v>
      </c>
      <c r="X35" s="59"/>
      <c r="Y35" s="113">
        <f>'[27]Lead E'!$E34</f>
        <v>-60527271.019999996</v>
      </c>
      <c r="AA35" s="421"/>
      <c r="AB35" s="421"/>
      <c r="AC35" s="421"/>
      <c r="AD35" s="421"/>
      <c r="AE35" s="421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226"/>
      <c r="AT35" s="226"/>
      <c r="AU35" s="226"/>
      <c r="AV35" s="226"/>
      <c r="AW35" s="226"/>
      <c r="AX35" s="226"/>
      <c r="AY35" s="226"/>
      <c r="AZ35" s="226"/>
      <c r="BA35" s="226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29"/>
      <c r="CX35" s="25"/>
      <c r="CY35" s="29">
        <f t="shared" si="19"/>
        <v>22</v>
      </c>
      <c r="CZ35" s="145" t="s">
        <v>21</v>
      </c>
      <c r="DA35" s="47">
        <f>'[34]Allocated Summary'!$B31</f>
        <v>106701547.08</v>
      </c>
      <c r="DB35" s="40"/>
      <c r="DC35" s="40"/>
      <c r="DD35" s="40"/>
      <c r="DE35" s="40"/>
      <c r="DF35" s="40">
        <f>Y34</f>
        <v>-106701547.08</v>
      </c>
      <c r="DG35" s="40"/>
      <c r="DH35" s="29">
        <f t="shared" si="20"/>
        <v>22</v>
      </c>
      <c r="DI35" s="145" t="s">
        <v>21</v>
      </c>
      <c r="DJ35" s="40"/>
      <c r="DK35" s="40"/>
      <c r="DL35" s="40"/>
      <c r="DM35" s="40"/>
      <c r="DN35" s="40"/>
      <c r="DO35" s="40"/>
      <c r="DP35" s="40"/>
      <c r="DQ35" s="29">
        <f t="shared" si="21"/>
        <v>22</v>
      </c>
      <c r="DR35" s="145" t="s">
        <v>21</v>
      </c>
      <c r="DS35" s="40"/>
      <c r="DT35" s="40"/>
      <c r="DU35" s="40"/>
      <c r="DV35" s="40"/>
      <c r="DW35" s="40"/>
      <c r="DX35" s="40"/>
      <c r="DY35" s="40">
        <f t="shared" si="27"/>
        <v>-106701547.08</v>
      </c>
      <c r="DZ35" s="29">
        <f t="shared" si="22"/>
        <v>22</v>
      </c>
      <c r="EA35" s="145" t="s">
        <v>21</v>
      </c>
      <c r="EB35" s="113">
        <f t="shared" si="28"/>
        <v>106701547.08</v>
      </c>
      <c r="EC35" s="113">
        <f t="shared" si="29"/>
        <v>-106701547.08</v>
      </c>
      <c r="ED35" s="40">
        <f t="shared" si="30"/>
        <v>0</v>
      </c>
    </row>
    <row r="36" spans="1:135" ht="15" customHeight="1" x14ac:dyDescent="0.2">
      <c r="A36" s="135">
        <f t="shared" si="0"/>
        <v>26</v>
      </c>
      <c r="C36" s="226" t="s">
        <v>200</v>
      </c>
      <c r="E36" s="345">
        <f>'[31]Summary Sheet'!E34</f>
        <v>21773.578241899635</v>
      </c>
      <c r="F36" s="345">
        <f>'[31]Summary Sheet'!F34</f>
        <v>766</v>
      </c>
      <c r="H36" s="135">
        <f t="shared" si="3"/>
        <v>26</v>
      </c>
      <c r="K36" s="58"/>
      <c r="L36" s="344"/>
      <c r="M36" s="606"/>
      <c r="N36" s="606"/>
      <c r="O36" s="606"/>
      <c r="P36" s="113"/>
      <c r="Q36" s="29"/>
      <c r="R36" s="94"/>
      <c r="S36" s="94"/>
      <c r="T36" s="94"/>
      <c r="U36" s="29">
        <f t="shared" si="6"/>
        <v>25</v>
      </c>
      <c r="V36" s="342" t="s">
        <v>199</v>
      </c>
      <c r="W36" s="49"/>
      <c r="X36" s="59"/>
      <c r="Y36" s="113">
        <f>'[27]Lead E'!$E35</f>
        <v>-83747985.879999995</v>
      </c>
      <c r="AA36" s="421"/>
      <c r="AB36" s="421"/>
      <c r="AC36" s="421"/>
      <c r="AD36" s="421"/>
      <c r="AE36" s="421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137"/>
      <c r="AT36" s="137"/>
      <c r="AU36" s="137"/>
      <c r="AV36" s="137"/>
      <c r="AW36" s="137"/>
      <c r="AX36" s="137"/>
      <c r="AY36" s="137"/>
      <c r="AZ36" s="137"/>
      <c r="BA36" s="137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29"/>
      <c r="CX36" s="25"/>
      <c r="CY36" s="29">
        <f t="shared" si="19"/>
        <v>23</v>
      </c>
      <c r="CZ36" s="145" t="s">
        <v>22</v>
      </c>
      <c r="DA36" s="47">
        <f>'[34]Allocated Summary'!$B32</f>
        <v>123469095.73999998</v>
      </c>
      <c r="DB36" s="40">
        <f>F40</f>
        <v>-5670</v>
      </c>
      <c r="DC36" s="40">
        <f>+K21</f>
        <v>105360.78969800001</v>
      </c>
      <c r="DD36" s="40"/>
      <c r="DE36" s="40"/>
      <c r="DF36" s="40">
        <f>Y29+Y42</f>
        <v>-434898.06133599998</v>
      </c>
      <c r="DG36" s="40">
        <f>AD28</f>
        <v>-88517.117169999983</v>
      </c>
      <c r="DH36" s="29">
        <f t="shared" si="20"/>
        <v>23</v>
      </c>
      <c r="DI36" s="145" t="s">
        <v>22</v>
      </c>
      <c r="DJ36" s="40"/>
      <c r="DK36" s="40">
        <f>'[20]Lead E'!$G$14</f>
        <v>-1471676.7910588842</v>
      </c>
      <c r="DL36" s="40">
        <f>+AV18</f>
        <v>139841.76434000023</v>
      </c>
      <c r="DM36" s="40">
        <f>BA14</f>
        <v>-7317.3673950215161</v>
      </c>
      <c r="DN36" s="40"/>
      <c r="DO36" s="40">
        <f>+BJ14</f>
        <v>3017876.4184555747</v>
      </c>
      <c r="DP36" s="40">
        <f>BO16</f>
        <v>-982653.86918117641</v>
      </c>
      <c r="DQ36" s="29">
        <f t="shared" si="21"/>
        <v>23</v>
      </c>
      <c r="DR36" s="145" t="s">
        <v>22</v>
      </c>
      <c r="DS36" s="40">
        <f>+BT14</f>
        <v>-455.23747499999996</v>
      </c>
      <c r="DT36" s="40"/>
      <c r="DU36" s="40"/>
      <c r="DV36" s="40"/>
      <c r="DW36" s="40"/>
      <c r="DX36" s="40"/>
      <c r="DY36" s="40">
        <f t="shared" si="27"/>
        <v>271890.52887749288</v>
      </c>
      <c r="DZ36" s="29">
        <f t="shared" si="22"/>
        <v>23</v>
      </c>
      <c r="EA36" s="145" t="s">
        <v>22</v>
      </c>
      <c r="EB36" s="113">
        <f t="shared" si="28"/>
        <v>123469095.73999998</v>
      </c>
      <c r="EC36" s="113">
        <f t="shared" si="29"/>
        <v>271890.52887749288</v>
      </c>
      <c r="ED36" s="40">
        <f t="shared" si="30"/>
        <v>123740986.26887748</v>
      </c>
      <c r="EE36" s="113"/>
    </row>
    <row r="37" spans="1:135" ht="15" customHeight="1" x14ac:dyDescent="0.2">
      <c r="A37" s="135">
        <f t="shared" si="0"/>
        <v>27</v>
      </c>
      <c r="B37" s="226" t="s">
        <v>198</v>
      </c>
      <c r="E37" s="343">
        <f>ROUND(SUM(E28:E36),0)</f>
        <v>-21926849</v>
      </c>
      <c r="F37" s="326">
        <f>SUM(F28:F36)</f>
        <v>-2834979</v>
      </c>
      <c r="G37" s="116">
        <f>SUM(F28:F36)</f>
        <v>-2834979</v>
      </c>
      <c r="H37" s="135">
        <f t="shared" si="3"/>
        <v>27</v>
      </c>
      <c r="I37" s="145" t="s">
        <v>188</v>
      </c>
      <c r="K37" s="58"/>
      <c r="L37" s="58">
        <f>L19-L23-L26-L35</f>
        <v>-35657935.758670099</v>
      </c>
      <c r="M37" s="606"/>
      <c r="N37" s="606"/>
      <c r="O37" s="606"/>
      <c r="P37" s="113"/>
      <c r="Q37" s="29"/>
      <c r="R37" s="94"/>
      <c r="S37" s="94"/>
      <c r="T37" s="94"/>
      <c r="U37" s="29">
        <f t="shared" si="6"/>
        <v>26</v>
      </c>
      <c r="V37" s="342" t="s">
        <v>197</v>
      </c>
      <c r="W37" s="49"/>
      <c r="X37" s="59"/>
      <c r="Y37" s="113">
        <f>'[27]Lead E'!$E36</f>
        <v>-17326786.41</v>
      </c>
      <c r="AA37" s="421"/>
      <c r="AB37" s="421"/>
      <c r="AC37" s="421"/>
      <c r="AD37" s="421"/>
      <c r="AE37" s="421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41"/>
      <c r="AT37" s="341"/>
      <c r="AU37" s="341"/>
      <c r="AV37" s="341"/>
      <c r="AW37" s="341"/>
      <c r="AX37" s="341"/>
      <c r="AY37" s="341"/>
      <c r="AZ37" s="341"/>
      <c r="BA37" s="341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29"/>
      <c r="CX37" s="25"/>
      <c r="CY37" s="29">
        <f t="shared" si="19"/>
        <v>24</v>
      </c>
      <c r="CZ37" s="145" t="s">
        <v>59</v>
      </c>
      <c r="DA37" s="47">
        <f>'[34]Allocated Summary'!$B33</f>
        <v>316187695.34999996</v>
      </c>
      <c r="DB37" s="40"/>
      <c r="DC37" s="40"/>
      <c r="DD37" s="40"/>
      <c r="DE37" s="40"/>
      <c r="DH37" s="29">
        <f t="shared" si="20"/>
        <v>24</v>
      </c>
      <c r="DI37" s="145" t="s">
        <v>59</v>
      </c>
      <c r="DJ37" s="40"/>
      <c r="DK37" s="40"/>
      <c r="DL37" s="40"/>
      <c r="DM37" s="40"/>
      <c r="DN37" s="40"/>
      <c r="DO37" s="40"/>
      <c r="DP37" s="40"/>
      <c r="DQ37" s="29">
        <f t="shared" si="21"/>
        <v>24</v>
      </c>
      <c r="DR37" s="145" t="s">
        <v>59</v>
      </c>
      <c r="DS37" s="40"/>
      <c r="DT37" s="40"/>
      <c r="DU37" s="40"/>
      <c r="DV37" s="40"/>
      <c r="DW37" s="40"/>
      <c r="DX37" s="40">
        <f>CS20</f>
        <v>-200943</v>
      </c>
      <c r="DY37" s="40">
        <f t="shared" si="27"/>
        <v>-200943</v>
      </c>
      <c r="DZ37" s="29">
        <f t="shared" si="22"/>
        <v>24</v>
      </c>
      <c r="EA37" s="145" t="s">
        <v>59</v>
      </c>
      <c r="EB37" s="113">
        <f t="shared" si="28"/>
        <v>316187695.34999996</v>
      </c>
      <c r="EC37" s="113">
        <f t="shared" si="29"/>
        <v>-200943</v>
      </c>
      <c r="ED37" s="40">
        <f t="shared" si="30"/>
        <v>315986752.34999996</v>
      </c>
    </row>
    <row r="38" spans="1:135" ht="13.5" customHeight="1" x14ac:dyDescent="0.2">
      <c r="A38" s="135">
        <f t="shared" si="0"/>
        <v>28</v>
      </c>
      <c r="B38" s="340"/>
      <c r="C38" s="340"/>
      <c r="E38" s="339"/>
      <c r="F38" s="85"/>
      <c r="H38" s="135">
        <f t="shared" si="3"/>
        <v>28</v>
      </c>
      <c r="I38" s="145"/>
      <c r="K38" s="58"/>
      <c r="L38" s="58"/>
      <c r="M38" s="606"/>
      <c r="N38" s="606"/>
      <c r="O38" s="606"/>
      <c r="P38" s="113"/>
      <c r="Q38" s="29"/>
      <c r="R38" s="94"/>
      <c r="S38" s="94"/>
      <c r="T38" s="94"/>
      <c r="U38" s="29">
        <f t="shared" si="6"/>
        <v>27</v>
      </c>
      <c r="V38" s="320" t="s">
        <v>196</v>
      </c>
      <c r="W38" s="49"/>
      <c r="X38" s="59"/>
      <c r="Y38" s="113">
        <f>'[27]Lead E'!$E37</f>
        <v>77400560.560000002</v>
      </c>
      <c r="AA38" s="421"/>
      <c r="AB38" s="421"/>
      <c r="AC38" s="421"/>
      <c r="AD38" s="421"/>
      <c r="AE38" s="421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07"/>
      <c r="AT38" s="307"/>
      <c r="AU38" s="307"/>
      <c r="AV38" s="307"/>
      <c r="AW38" s="307"/>
      <c r="AX38" s="307"/>
      <c r="AY38" s="307"/>
      <c r="AZ38" s="307"/>
      <c r="BA38" s="307"/>
      <c r="CF38" s="52"/>
      <c r="CG38" s="52"/>
      <c r="CH38" s="52"/>
      <c r="CI38" s="52"/>
      <c r="CX38" s="25"/>
      <c r="CY38" s="29">
        <f t="shared" si="19"/>
        <v>25</v>
      </c>
      <c r="CZ38" s="145" t="s">
        <v>41</v>
      </c>
      <c r="DA38" s="47">
        <f>'[34]Allocated Summary'!$B34</f>
        <v>63634800.319999993</v>
      </c>
      <c r="DB38" s="40"/>
      <c r="DC38" s="40"/>
      <c r="DD38" s="40"/>
      <c r="DE38" s="40"/>
      <c r="DF38" s="40"/>
      <c r="DG38" s="40"/>
      <c r="DH38" s="29">
        <f t="shared" si="20"/>
        <v>25</v>
      </c>
      <c r="DI38" s="145" t="s">
        <v>41</v>
      </c>
      <c r="DJ38" s="40"/>
      <c r="DK38" s="40"/>
      <c r="DL38" s="40"/>
      <c r="DM38" s="40"/>
      <c r="DN38" s="40"/>
      <c r="DO38" s="40"/>
      <c r="DP38" s="40"/>
      <c r="DQ38" s="29">
        <f t="shared" si="21"/>
        <v>25</v>
      </c>
      <c r="DR38" s="145" t="s">
        <v>41</v>
      </c>
      <c r="DS38" s="40"/>
      <c r="DT38" s="40"/>
      <c r="DU38" s="40"/>
      <c r="DV38" s="40"/>
      <c r="DW38" s="40"/>
      <c r="DX38" s="40"/>
      <c r="DY38" s="40">
        <f t="shared" si="27"/>
        <v>0</v>
      </c>
      <c r="DZ38" s="29">
        <f t="shared" si="22"/>
        <v>25</v>
      </c>
      <c r="EA38" s="145" t="s">
        <v>41</v>
      </c>
      <c r="EB38" s="113">
        <f t="shared" si="28"/>
        <v>63634800.319999993</v>
      </c>
      <c r="EC38" s="113">
        <f t="shared" si="29"/>
        <v>0</v>
      </c>
      <c r="ED38" s="40">
        <f t="shared" si="30"/>
        <v>63634800.319999993</v>
      </c>
    </row>
    <row r="39" spans="1:135" ht="15" customHeight="1" x14ac:dyDescent="0.2">
      <c r="A39" s="135">
        <f t="shared" si="0"/>
        <v>29</v>
      </c>
      <c r="B39" s="145" t="s">
        <v>105</v>
      </c>
      <c r="C39" s="145"/>
      <c r="D39" s="145"/>
      <c r="E39" s="333">
        <f>BD</f>
        <v>8.0199999999999994E-3</v>
      </c>
      <c r="F39" s="338">
        <f>ROUND(G37*E39,0)</f>
        <v>-22737</v>
      </c>
      <c r="G39" s="113"/>
      <c r="H39" s="135">
        <f t="shared" si="3"/>
        <v>29</v>
      </c>
      <c r="I39" s="145" t="s">
        <v>136</v>
      </c>
      <c r="J39" s="322">
        <f>FIT_CBR</f>
        <v>0.27999999999999997</v>
      </c>
      <c r="K39" s="58"/>
      <c r="L39" s="242">
        <f>ROUND(L37*J39,0)</f>
        <v>-9984222</v>
      </c>
      <c r="M39" s="606"/>
      <c r="N39" s="606"/>
      <c r="O39" s="606"/>
      <c r="P39" s="113"/>
      <c r="Q39" s="29"/>
      <c r="R39" s="94"/>
      <c r="S39" s="94"/>
      <c r="T39" s="94"/>
      <c r="U39" s="29">
        <f t="shared" si="6"/>
        <v>28</v>
      </c>
      <c r="V39" s="337" t="s">
        <v>195</v>
      </c>
      <c r="W39" s="49"/>
      <c r="X39" s="59"/>
      <c r="Y39" s="113">
        <f>'[27]Lead E'!$E38</f>
        <v>42465.649999999994</v>
      </c>
      <c r="AA39" s="421"/>
      <c r="AB39" s="421"/>
      <c r="AC39" s="421"/>
      <c r="AD39" s="519"/>
      <c r="AE39" s="421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  <c r="AP39" s="307"/>
      <c r="AQ39" s="307"/>
      <c r="AR39" s="113"/>
      <c r="AS39" s="307"/>
      <c r="AT39" s="307"/>
      <c r="AU39" s="307"/>
      <c r="AV39" s="307"/>
      <c r="AW39" s="307"/>
      <c r="AX39" s="307"/>
      <c r="AY39" s="307"/>
      <c r="AZ39" s="307"/>
      <c r="BA39" s="307"/>
      <c r="CX39" s="25"/>
      <c r="CY39" s="29">
        <f t="shared" si="19"/>
        <v>26</v>
      </c>
      <c r="CZ39" s="38" t="s">
        <v>58</v>
      </c>
      <c r="DA39" s="47">
        <f>'[34]Allocated Summary'!$B35</f>
        <v>28310947.7099999</v>
      </c>
      <c r="DB39" s="40"/>
      <c r="DC39" s="40"/>
      <c r="DD39" s="40"/>
      <c r="DE39" s="40"/>
      <c r="DF39" s="40"/>
      <c r="DG39" s="40"/>
      <c r="DH39" s="29">
        <f t="shared" si="20"/>
        <v>26</v>
      </c>
      <c r="DI39" s="38" t="s">
        <v>58</v>
      </c>
      <c r="DJ39" s="40"/>
      <c r="DK39" s="40"/>
      <c r="DL39" s="40"/>
      <c r="DM39" s="40"/>
      <c r="DN39" s="40"/>
      <c r="DO39" s="40"/>
      <c r="DP39" s="40"/>
      <c r="DQ39" s="29">
        <f t="shared" si="21"/>
        <v>26</v>
      </c>
      <c r="DR39" s="38" t="s">
        <v>58</v>
      </c>
      <c r="DS39" s="40"/>
      <c r="DT39" s="40"/>
      <c r="DU39" s="40"/>
      <c r="DV39" s="40"/>
      <c r="DW39" s="40"/>
      <c r="DX39" s="40"/>
      <c r="DY39" s="40">
        <f t="shared" si="27"/>
        <v>0</v>
      </c>
      <c r="DZ39" s="29">
        <f t="shared" si="22"/>
        <v>26</v>
      </c>
      <c r="EA39" s="38" t="s">
        <v>58</v>
      </c>
      <c r="EB39" s="113">
        <f t="shared" si="28"/>
        <v>28310947.7099999</v>
      </c>
      <c r="EC39" s="113">
        <f t="shared" si="29"/>
        <v>0</v>
      </c>
      <c r="ED39" s="40">
        <f t="shared" si="30"/>
        <v>28310947.7099999</v>
      </c>
    </row>
    <row r="40" spans="1:135" ht="15" customHeight="1" x14ac:dyDescent="0.2">
      <c r="A40" s="135">
        <f t="shared" si="0"/>
        <v>30</v>
      </c>
      <c r="B40" s="145" t="s">
        <v>104</v>
      </c>
      <c r="C40" s="145"/>
      <c r="D40" s="145"/>
      <c r="E40" s="333">
        <f>FF</f>
        <v>2E-3</v>
      </c>
      <c r="F40" s="336">
        <f>ROUND(G37*E40,0)</f>
        <v>-5670</v>
      </c>
      <c r="G40" s="113"/>
      <c r="H40" s="135">
        <f t="shared" si="3"/>
        <v>30</v>
      </c>
      <c r="I40" s="145"/>
      <c r="K40" s="58"/>
      <c r="L40" s="133"/>
      <c r="M40" s="606"/>
      <c r="N40" s="606"/>
      <c r="O40" s="606"/>
      <c r="P40" s="113"/>
      <c r="Q40" s="29"/>
      <c r="R40" s="94"/>
      <c r="S40" s="94"/>
      <c r="T40" s="94"/>
      <c r="U40" s="29">
        <f t="shared" si="6"/>
        <v>29</v>
      </c>
      <c r="V40" s="320" t="s">
        <v>194</v>
      </c>
      <c r="W40" s="133"/>
      <c r="X40" s="59"/>
      <c r="Y40" s="113">
        <f>'[27]Lead E'!$E39</f>
        <v>-2413218.2599999998</v>
      </c>
      <c r="AA40" s="421"/>
      <c r="AB40" s="421"/>
      <c r="AC40" s="421"/>
      <c r="AD40" s="421"/>
      <c r="AE40" s="421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35"/>
      <c r="AT40" s="335"/>
      <c r="AU40" s="335"/>
      <c r="AV40" s="335"/>
      <c r="AW40" s="335"/>
      <c r="AX40" s="335"/>
      <c r="AY40" s="335"/>
      <c r="AZ40" s="335"/>
      <c r="BA40" s="335"/>
      <c r="CX40" s="25"/>
      <c r="CY40" s="29">
        <f t="shared" si="19"/>
        <v>27</v>
      </c>
      <c r="CZ40" s="145" t="s">
        <v>23</v>
      </c>
      <c r="DA40" s="47">
        <f>'[34]Allocated Summary'!$B36</f>
        <v>-77871386.200000018</v>
      </c>
      <c r="DB40" s="40"/>
      <c r="DC40" s="40">
        <f>L35</f>
        <v>85786334.239999995</v>
      </c>
      <c r="DD40" s="40"/>
      <c r="DE40" s="40"/>
      <c r="DF40" s="40">
        <f>Y39+Y44</f>
        <v>42465.649999999994</v>
      </c>
      <c r="DG40" s="40"/>
      <c r="DH40" s="29">
        <f t="shared" si="20"/>
        <v>27</v>
      </c>
      <c r="DI40" s="145" t="s">
        <v>23</v>
      </c>
      <c r="DJ40" s="40"/>
      <c r="DK40" s="40"/>
      <c r="DL40" s="40"/>
      <c r="DM40" s="40"/>
      <c r="DN40" s="40"/>
      <c r="DO40" s="40"/>
      <c r="DP40" s="40"/>
      <c r="DQ40" s="29">
        <f t="shared" si="21"/>
        <v>27</v>
      </c>
      <c r="DR40" s="145" t="s">
        <v>23</v>
      </c>
      <c r="DS40" s="40"/>
      <c r="DU40" s="40"/>
      <c r="DV40" s="40"/>
      <c r="DW40" s="40"/>
      <c r="DX40" s="40"/>
      <c r="DY40" s="40">
        <f t="shared" si="27"/>
        <v>85828799.890000001</v>
      </c>
      <c r="DZ40" s="29">
        <f t="shared" si="22"/>
        <v>27</v>
      </c>
      <c r="EA40" s="145" t="s">
        <v>23</v>
      </c>
      <c r="EB40" s="113">
        <f t="shared" si="28"/>
        <v>-77871386.200000018</v>
      </c>
      <c r="EC40" s="113">
        <f t="shared" si="29"/>
        <v>85828799.890000001</v>
      </c>
      <c r="ED40" s="40">
        <f t="shared" si="30"/>
        <v>7957413.6899999827</v>
      </c>
    </row>
    <row r="41" spans="1:135" ht="15" customHeight="1" thickBot="1" x14ac:dyDescent="0.25">
      <c r="A41" s="135">
        <f t="shared" si="0"/>
        <v>31</v>
      </c>
      <c r="B41" s="38" t="s">
        <v>108</v>
      </c>
      <c r="C41" s="145"/>
      <c r="D41" s="145"/>
      <c r="E41" s="333"/>
      <c r="F41" s="58"/>
      <c r="G41" s="113">
        <f>SUM(F39:F40)</f>
        <v>-28407</v>
      </c>
      <c r="H41" s="135">
        <f t="shared" si="3"/>
        <v>31</v>
      </c>
      <c r="I41" s="145" t="s">
        <v>84</v>
      </c>
      <c r="L41" s="201">
        <f>L37-L39</f>
        <v>-25673713.758670099</v>
      </c>
      <c r="M41" s="606"/>
      <c r="N41" s="606"/>
      <c r="O41" s="606"/>
      <c r="P41" s="113"/>
      <c r="Q41" s="29"/>
      <c r="R41" s="94"/>
      <c r="S41" s="94"/>
      <c r="T41" s="94"/>
      <c r="U41" s="29">
        <f t="shared" si="6"/>
        <v>30</v>
      </c>
      <c r="V41" s="316" t="s">
        <v>193</v>
      </c>
      <c r="X41" s="59"/>
      <c r="Y41" s="113">
        <f>'[27]Lead E'!$E40</f>
        <v>-1136873.3799999999</v>
      </c>
      <c r="AA41" s="421"/>
      <c r="AB41" s="421"/>
      <c r="AC41" s="421"/>
      <c r="AD41" s="421"/>
      <c r="AE41" s="421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25"/>
      <c r="AT41" s="325"/>
      <c r="AU41" s="325"/>
      <c r="AV41" s="325"/>
      <c r="AW41" s="325"/>
      <c r="AX41" s="325"/>
      <c r="AY41" s="325"/>
      <c r="AZ41" s="325"/>
      <c r="BA41" s="325"/>
      <c r="CX41" s="25"/>
      <c r="CY41" s="29">
        <f t="shared" si="19"/>
        <v>28</v>
      </c>
      <c r="CZ41" s="145" t="s">
        <v>60</v>
      </c>
      <c r="DA41" s="47">
        <f>'[34]Allocated Summary'!$B37</f>
        <v>-237759.90000001015</v>
      </c>
      <c r="DB41" s="40"/>
      <c r="DC41" s="40"/>
      <c r="DD41" s="40"/>
      <c r="DE41" s="40"/>
      <c r="DF41" s="40"/>
      <c r="DG41" s="40"/>
      <c r="DH41" s="29">
        <f t="shared" si="20"/>
        <v>28</v>
      </c>
      <c r="DI41" s="145" t="s">
        <v>82</v>
      </c>
      <c r="DJ41" s="40"/>
      <c r="DK41" s="40"/>
      <c r="DL41" s="40"/>
      <c r="DM41" s="40"/>
      <c r="DN41" s="40"/>
      <c r="DO41" s="40"/>
      <c r="DP41" s="40"/>
      <c r="DQ41" s="29">
        <f t="shared" si="21"/>
        <v>28</v>
      </c>
      <c r="DR41" s="145" t="s">
        <v>82</v>
      </c>
      <c r="DS41" s="40"/>
      <c r="DT41" s="40">
        <f>BY12</f>
        <v>237759.90000001015</v>
      </c>
      <c r="DU41" s="40"/>
      <c r="DV41" s="40"/>
      <c r="DW41" s="40"/>
      <c r="DX41" s="40"/>
      <c r="DY41" s="40">
        <f t="shared" si="27"/>
        <v>237759.90000001015</v>
      </c>
      <c r="DZ41" s="29">
        <f t="shared" si="22"/>
        <v>28</v>
      </c>
      <c r="EA41" s="226" t="s">
        <v>82</v>
      </c>
      <c r="EB41" s="113">
        <f t="shared" si="28"/>
        <v>-237759.90000001015</v>
      </c>
      <c r="EC41" s="113">
        <f t="shared" si="29"/>
        <v>237759.90000001015</v>
      </c>
      <c r="ED41" s="40">
        <f t="shared" si="30"/>
        <v>0</v>
      </c>
    </row>
    <row r="42" spans="1:135" ht="15" customHeight="1" thickTop="1" x14ac:dyDescent="0.2">
      <c r="A42" s="135">
        <f t="shared" si="0"/>
        <v>32</v>
      </c>
      <c r="B42" s="145"/>
      <c r="C42" s="145"/>
      <c r="D42" s="145"/>
      <c r="E42" s="333"/>
      <c r="F42" s="137"/>
      <c r="G42" s="113"/>
      <c r="H42" s="135"/>
      <c r="M42" s="606"/>
      <c r="N42" s="606"/>
      <c r="O42" s="606"/>
      <c r="P42" s="113"/>
      <c r="Q42" s="608"/>
      <c r="R42" s="94"/>
      <c r="S42" s="94"/>
      <c r="T42" s="94"/>
      <c r="U42" s="29">
        <f t="shared" si="6"/>
        <v>31</v>
      </c>
      <c r="V42" s="316" t="s">
        <v>192</v>
      </c>
      <c r="X42" s="334"/>
      <c r="Y42" s="113">
        <f>'[27]Lead E'!$E41</f>
        <v>-28773.07</v>
      </c>
      <c r="AA42" s="421"/>
      <c r="AB42" s="421"/>
      <c r="AC42" s="421"/>
      <c r="AD42" s="421"/>
      <c r="AE42" s="421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25"/>
      <c r="AT42" s="325"/>
      <c r="AU42" s="325"/>
      <c r="AV42" s="325"/>
      <c r="AW42" s="325"/>
      <c r="AX42" s="325"/>
      <c r="AY42" s="325"/>
      <c r="AZ42" s="325"/>
      <c r="BA42" s="325"/>
      <c r="CX42" s="25"/>
      <c r="CY42" s="29">
        <f t="shared" si="19"/>
        <v>29</v>
      </c>
      <c r="CZ42" s="145" t="s">
        <v>52</v>
      </c>
      <c r="DA42" s="47">
        <f>'[34]Allocated Summary'!$B38</f>
        <v>242620498.299999</v>
      </c>
      <c r="DB42" s="40">
        <f>+G44</f>
        <v>-108928</v>
      </c>
      <c r="DC42" s="40">
        <f>+L26</f>
        <v>2024138.8112831269</v>
      </c>
      <c r="DD42" s="40"/>
      <c r="DE42" s="40"/>
      <c r="DF42" s="40">
        <f>Y30+Y36+Y43+Y35</f>
        <v>-152085589.05105156</v>
      </c>
      <c r="DG42" s="40"/>
      <c r="DH42" s="29">
        <f t="shared" si="20"/>
        <v>29</v>
      </c>
      <c r="DI42" s="145" t="s">
        <v>52</v>
      </c>
      <c r="DJ42" s="40"/>
      <c r="DK42" s="40">
        <f>AR14</f>
        <v>-169435.24155262625</v>
      </c>
      <c r="DL42" s="40">
        <f>AV14</f>
        <v>23079.953455001116</v>
      </c>
      <c r="DM42" s="40"/>
      <c r="DN42" s="40"/>
      <c r="DO42" s="40"/>
      <c r="DP42" s="40"/>
      <c r="DQ42" s="29">
        <f t="shared" si="21"/>
        <v>29</v>
      </c>
      <c r="DR42" s="145" t="s">
        <v>52</v>
      </c>
      <c r="DS42" s="40"/>
      <c r="DT42" s="40"/>
      <c r="DU42" s="40"/>
      <c r="DV42" s="40"/>
      <c r="DW42" s="40">
        <f>-CN22</f>
        <v>-49793.510000000242</v>
      </c>
      <c r="DX42" s="40"/>
      <c r="DY42" s="40">
        <f t="shared" si="27"/>
        <v>-150366527.03786603</v>
      </c>
      <c r="DZ42" s="29">
        <f t="shared" si="22"/>
        <v>29</v>
      </c>
      <c r="EA42" s="145" t="s">
        <v>52</v>
      </c>
      <c r="EB42" s="113">
        <f t="shared" si="28"/>
        <v>242620498.299999</v>
      </c>
      <c r="EC42" s="113">
        <f t="shared" si="29"/>
        <v>-150366527.03786603</v>
      </c>
      <c r="ED42" s="40">
        <f t="shared" si="30"/>
        <v>92253971.262132972</v>
      </c>
    </row>
    <row r="43" spans="1:135" ht="15" customHeight="1" x14ac:dyDescent="0.2">
      <c r="A43" s="135">
        <f t="shared" si="0"/>
        <v>33</v>
      </c>
      <c r="B43" s="145" t="s">
        <v>103</v>
      </c>
      <c r="C43" s="145"/>
      <c r="D43" s="145"/>
      <c r="E43" s="333">
        <f>+UTN</f>
        <v>3.8422999999999999E-2</v>
      </c>
      <c r="F43" s="332">
        <f>ROUND(G37*E43,0)</f>
        <v>-108928</v>
      </c>
      <c r="G43" s="113"/>
      <c r="H43" s="135"/>
      <c r="M43" s="606"/>
      <c r="N43" s="606"/>
      <c r="O43" s="606"/>
      <c r="P43" s="113"/>
      <c r="Q43" s="29"/>
      <c r="R43" s="94"/>
      <c r="S43" s="94"/>
      <c r="T43" s="94"/>
      <c r="U43" s="29">
        <f t="shared" si="6"/>
        <v>32</v>
      </c>
      <c r="V43" s="316" t="s">
        <v>191</v>
      </c>
      <c r="Y43" s="113">
        <f>'[27]Lead E'!$E42</f>
        <v>-8061.88</v>
      </c>
      <c r="AA43" s="421"/>
      <c r="AB43" s="421"/>
      <c r="AC43" s="421"/>
      <c r="AD43" s="421"/>
      <c r="AE43" s="421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25"/>
      <c r="AT43" s="325"/>
      <c r="AU43" s="325"/>
      <c r="AV43" s="325"/>
      <c r="AW43" s="325"/>
      <c r="AX43" s="325"/>
      <c r="AY43" s="325"/>
      <c r="AZ43" s="325"/>
      <c r="BA43" s="325"/>
      <c r="CX43" s="25"/>
      <c r="CY43" s="29">
        <f t="shared" si="19"/>
        <v>30</v>
      </c>
      <c r="CZ43" s="145" t="s">
        <v>24</v>
      </c>
      <c r="DA43" s="47">
        <f>'[34]Allocated Summary'!$B39</f>
        <v>61778949.609999999</v>
      </c>
      <c r="DB43" s="40">
        <f>G48</f>
        <v>-755340</v>
      </c>
      <c r="DC43" s="40">
        <f>L39</f>
        <v>-9984222</v>
      </c>
      <c r="DD43" s="40">
        <f>P27</f>
        <v>72882519.979304776</v>
      </c>
      <c r="DE43" s="40">
        <f>T22</f>
        <v>-41850058.34911228</v>
      </c>
      <c r="DF43" s="40">
        <f>Y48</f>
        <v>-134501.80121697424</v>
      </c>
      <c r="DG43" s="40">
        <f>AD30</f>
        <v>24784.792807599992</v>
      </c>
      <c r="DH43" s="29">
        <f t="shared" si="20"/>
        <v>30</v>
      </c>
      <c r="DI43" s="145" t="s">
        <v>24</v>
      </c>
      <c r="DJ43" s="40">
        <f>AM28</f>
        <v>-92403</v>
      </c>
      <c r="DK43" s="40">
        <f>AR18</f>
        <v>608005.81654901884</v>
      </c>
      <c r="DL43" s="40">
        <f>AV24</f>
        <v>-45618</v>
      </c>
      <c r="DM43" s="40">
        <f>BA18</f>
        <v>2048.8628706060244</v>
      </c>
      <c r="DN43" s="40"/>
      <c r="DO43" s="40">
        <f>+BJ17</f>
        <v>-845005.39716756076</v>
      </c>
      <c r="DP43" s="40">
        <f>BO17</f>
        <v>275143</v>
      </c>
      <c r="DQ43" s="29">
        <f t="shared" si="21"/>
        <v>30</v>
      </c>
      <c r="DR43" s="145" t="s">
        <v>24</v>
      </c>
      <c r="DS43" s="40">
        <f>+BT21</f>
        <v>1023.4664929999999</v>
      </c>
      <c r="DT43" s="40"/>
      <c r="DU43" s="40">
        <f>+CD28</f>
        <v>-1002150.9666</v>
      </c>
      <c r="DV43" s="40">
        <f>+CI23</f>
        <v>-614195.23001299275</v>
      </c>
      <c r="DW43" s="40">
        <f>+CN24</f>
        <v>13942.182800000066</v>
      </c>
      <c r="DX43" s="40">
        <f>CS23</f>
        <v>56264.039999999994</v>
      </c>
      <c r="DY43" s="40">
        <f t="shared" si="27"/>
        <v>18540237.39671519</v>
      </c>
      <c r="DZ43" s="29">
        <f t="shared" si="22"/>
        <v>30</v>
      </c>
      <c r="EA43" s="145" t="s">
        <v>24</v>
      </c>
      <c r="EB43" s="113">
        <f t="shared" si="28"/>
        <v>61778949.609999999</v>
      </c>
      <c r="EC43" s="113">
        <f t="shared" si="29"/>
        <v>18540237.39671519</v>
      </c>
      <c r="ED43" s="40">
        <f t="shared" si="30"/>
        <v>80319187.006715193</v>
      </c>
    </row>
    <row r="44" spans="1:135" ht="15" customHeight="1" x14ac:dyDescent="0.2">
      <c r="A44" s="135">
        <f t="shared" si="0"/>
        <v>34</v>
      </c>
      <c r="B44" s="38" t="s">
        <v>138</v>
      </c>
      <c r="C44" s="145"/>
      <c r="D44" s="145"/>
      <c r="F44" s="137"/>
      <c r="G44" s="242">
        <f>SUM(F43:F43)</f>
        <v>-108928</v>
      </c>
      <c r="H44" s="135"/>
      <c r="M44" s="606"/>
      <c r="N44" s="606"/>
      <c r="O44" s="606"/>
      <c r="P44" s="113"/>
      <c r="R44" s="94"/>
      <c r="S44" s="94"/>
      <c r="T44" s="94"/>
      <c r="U44" s="29">
        <f t="shared" si="6"/>
        <v>33</v>
      </c>
      <c r="V44" s="316" t="s">
        <v>190</v>
      </c>
      <c r="W44" s="49"/>
      <c r="X44" s="49"/>
      <c r="Y44" s="113">
        <f>'[27]Lead E'!$E43</f>
        <v>0</v>
      </c>
      <c r="AA44" s="421"/>
      <c r="AB44" s="421"/>
      <c r="AC44" s="421"/>
      <c r="AD44" s="421"/>
      <c r="AE44" s="421"/>
      <c r="AF44" s="307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25"/>
      <c r="AT44" s="325"/>
      <c r="AU44" s="325"/>
      <c r="AV44" s="325"/>
      <c r="AW44" s="325"/>
      <c r="AX44" s="325"/>
      <c r="AY44" s="325"/>
      <c r="AZ44" s="325"/>
      <c r="BA44" s="325"/>
      <c r="CT44" s="49"/>
      <c r="CU44" s="49"/>
      <c r="CV44" s="49"/>
      <c r="CW44" s="49"/>
      <c r="CX44" s="327"/>
      <c r="CY44" s="29">
        <f t="shared" si="19"/>
        <v>31</v>
      </c>
      <c r="CZ44" s="226" t="s">
        <v>25</v>
      </c>
      <c r="DA44" s="47">
        <f>'[34]Allocated Summary'!$B40</f>
        <v>85037422.109999061</v>
      </c>
      <c r="DB44" s="330"/>
      <c r="DC44" s="330"/>
      <c r="DD44" s="330">
        <f>P28</f>
        <v>-76845901.985944033</v>
      </c>
      <c r="DE44" s="330"/>
      <c r="DF44" s="330"/>
      <c r="DG44" s="330"/>
      <c r="DH44" s="29">
        <f t="shared" si="20"/>
        <v>31</v>
      </c>
      <c r="DI44" s="226" t="s">
        <v>25</v>
      </c>
      <c r="DJ44" s="330"/>
      <c r="DK44" s="40"/>
      <c r="DL44" s="330"/>
      <c r="DM44" s="330"/>
      <c r="DN44" s="330"/>
      <c r="DO44" s="40"/>
      <c r="DP44" s="40"/>
      <c r="DQ44" s="29">
        <f t="shared" si="21"/>
        <v>31</v>
      </c>
      <c r="DR44" s="226" t="s">
        <v>25</v>
      </c>
      <c r="DS44" s="40"/>
      <c r="DT44" s="40">
        <f>BY18</f>
        <v>-66572.772000002835</v>
      </c>
      <c r="DU44" s="40"/>
      <c r="DV44" s="40"/>
      <c r="DW44" s="40"/>
      <c r="DX44" s="40"/>
      <c r="DY44" s="330">
        <f t="shared" si="27"/>
        <v>-76912474.757944033</v>
      </c>
      <c r="DZ44" s="29">
        <f t="shared" si="22"/>
        <v>31</v>
      </c>
      <c r="EA44" s="226" t="s">
        <v>25</v>
      </c>
      <c r="EB44" s="113">
        <f t="shared" si="28"/>
        <v>85037422.109999061</v>
      </c>
      <c r="EC44" s="113">
        <f t="shared" si="29"/>
        <v>-76912474.757944033</v>
      </c>
      <c r="ED44" s="40">
        <f t="shared" si="30"/>
        <v>8124947.3520550281</v>
      </c>
    </row>
    <row r="45" spans="1:135" ht="15" customHeight="1" x14ac:dyDescent="0.25">
      <c r="A45" s="135">
        <f t="shared" si="0"/>
        <v>35</v>
      </c>
      <c r="B45" s="145"/>
      <c r="C45" s="145"/>
      <c r="D45" s="145"/>
      <c r="E45" s="125"/>
      <c r="G45" s="113"/>
      <c r="H45" s="135"/>
      <c r="M45" s="606"/>
      <c r="N45" s="606"/>
      <c r="O45" s="606"/>
      <c r="P45" s="113"/>
      <c r="R45" s="94"/>
      <c r="S45" s="94"/>
      <c r="T45" s="94"/>
      <c r="U45" s="29">
        <f t="shared" si="6"/>
        <v>34</v>
      </c>
      <c r="V45" s="320" t="s">
        <v>189</v>
      </c>
      <c r="W45" s="49"/>
      <c r="X45" s="49"/>
      <c r="Y45" s="329">
        <f>SUM(Y34:Y44)</f>
        <v>-194447490.76999995</v>
      </c>
      <c r="AA45" s="94"/>
      <c r="AB45" s="94"/>
      <c r="AC45" s="94"/>
      <c r="AD45" s="94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25"/>
      <c r="AT45" s="325"/>
      <c r="AU45" s="325"/>
      <c r="AV45" s="325"/>
      <c r="AW45" s="325"/>
      <c r="AX45" s="325"/>
      <c r="AY45" s="325"/>
      <c r="AZ45" s="325"/>
      <c r="BA45" s="325"/>
      <c r="BF45" s="307"/>
      <c r="BG45" s="307"/>
      <c r="BH45" s="307"/>
      <c r="BI45" s="307"/>
      <c r="BJ45" s="307"/>
      <c r="BZ45" s="307"/>
      <c r="CA45" s="307"/>
      <c r="CB45" s="307"/>
      <c r="CC45" s="307"/>
      <c r="CD45" s="307"/>
      <c r="CE45" s="307"/>
      <c r="CJ45" s="307"/>
      <c r="CK45" s="307"/>
      <c r="CL45" s="307"/>
      <c r="CM45" s="307"/>
      <c r="CN45" s="307"/>
      <c r="CO45" s="307"/>
      <c r="CP45" s="307"/>
      <c r="CQ45" s="307"/>
      <c r="CR45" s="307"/>
      <c r="CS45" s="307"/>
      <c r="CT45" s="328"/>
      <c r="CU45" s="271"/>
      <c r="CV45" s="43"/>
      <c r="CW45" s="271"/>
      <c r="CX45" s="327"/>
      <c r="CY45" s="29">
        <f t="shared" si="19"/>
        <v>32</v>
      </c>
      <c r="CZ45" s="145" t="s">
        <v>26</v>
      </c>
      <c r="DA45" s="326">
        <f t="shared" ref="DA45:DG45" si="31">SUM(DA28:DA44)</f>
        <v>1981417326.0199966</v>
      </c>
      <c r="DB45" s="326">
        <f t="shared" si="31"/>
        <v>-892675</v>
      </c>
      <c r="DC45" s="326">
        <f t="shared" si="31"/>
        <v>78354108.607670099</v>
      </c>
      <c r="DD45" s="326">
        <f t="shared" si="31"/>
        <v>-3963382.0066392571</v>
      </c>
      <c r="DE45" s="326">
        <f t="shared" si="31"/>
        <v>-41850058.34911228</v>
      </c>
      <c r="DF45" s="326">
        <f t="shared" si="31"/>
        <v>-204418949.04886189</v>
      </c>
      <c r="DG45" s="326">
        <f t="shared" si="31"/>
        <v>-63732.324362399988</v>
      </c>
      <c r="DH45" s="29">
        <f t="shared" si="20"/>
        <v>32</v>
      </c>
      <c r="DI45" s="145" t="s">
        <v>26</v>
      </c>
      <c r="DJ45" s="326">
        <f t="shared" ref="DJ45:DP45" si="32">SUM(DJ28:DJ44)</f>
        <v>237608</v>
      </c>
      <c r="DK45" s="326">
        <f t="shared" si="32"/>
        <v>-1563443.5282689058</v>
      </c>
      <c r="DL45" s="326">
        <f t="shared" si="32"/>
        <v>117303.71779500134</v>
      </c>
      <c r="DM45" s="326">
        <f t="shared" si="32"/>
        <v>-5268.5045244154917</v>
      </c>
      <c r="DN45" s="326">
        <f t="shared" si="32"/>
        <v>395844.34257240192</v>
      </c>
      <c r="DO45" s="326">
        <f t="shared" si="32"/>
        <v>2172871.021288014</v>
      </c>
      <c r="DP45" s="326">
        <f t="shared" si="32"/>
        <v>-707510.86918117641</v>
      </c>
      <c r="DQ45" s="29">
        <f t="shared" si="21"/>
        <v>32</v>
      </c>
      <c r="DR45" s="145" t="s">
        <v>26</v>
      </c>
      <c r="DS45" s="326">
        <f t="shared" ref="DS45:DY45" si="33">SUM(DS28:DS44)</f>
        <v>-2631.770982</v>
      </c>
      <c r="DT45" s="326">
        <f t="shared" si="33"/>
        <v>171187.1280000073</v>
      </c>
      <c r="DU45" s="326">
        <f t="shared" si="33"/>
        <v>2576959.6283999998</v>
      </c>
      <c r="DV45" s="326">
        <f t="shared" si="33"/>
        <v>1579359.162890553</v>
      </c>
      <c r="DW45" s="326">
        <f t="shared" si="33"/>
        <v>-35851.327200000174</v>
      </c>
      <c r="DX45" s="326">
        <f t="shared" si="33"/>
        <v>-144678.96000000002</v>
      </c>
      <c r="DY45" s="326">
        <f t="shared" si="33"/>
        <v>-168042940.08051622</v>
      </c>
      <c r="DZ45" s="29">
        <f t="shared" si="22"/>
        <v>32</v>
      </c>
      <c r="EA45" s="145" t="s">
        <v>26</v>
      </c>
      <c r="EB45" s="326">
        <f>SUM(EB28:EB44)</f>
        <v>1981417326.0199966</v>
      </c>
      <c r="EC45" s="326">
        <f>SUM(EC28:EC44)</f>
        <v>-168042940.08051622</v>
      </c>
      <c r="ED45" s="326">
        <f>SUM(ED28:ED44)</f>
        <v>1813374385.939481</v>
      </c>
    </row>
    <row r="46" spans="1:135" ht="15" customHeight="1" x14ac:dyDescent="0.2">
      <c r="A46" s="135">
        <f t="shared" si="0"/>
        <v>36</v>
      </c>
      <c r="B46" s="145" t="s">
        <v>139</v>
      </c>
      <c r="C46" s="145"/>
      <c r="D46" s="145"/>
      <c r="E46" s="125"/>
      <c r="F46" s="58"/>
      <c r="G46" s="133">
        <f>G37-G41-G44</f>
        <v>-2697644</v>
      </c>
      <c r="H46" s="135"/>
      <c r="M46" s="606"/>
      <c r="N46" s="606"/>
      <c r="O46" s="606"/>
      <c r="P46" s="113"/>
      <c r="R46" s="94"/>
      <c r="S46" s="94"/>
      <c r="T46" s="94"/>
      <c r="U46" s="29">
        <f t="shared" si="6"/>
        <v>35</v>
      </c>
      <c r="V46" s="320"/>
      <c r="W46" s="49"/>
      <c r="X46" s="49"/>
      <c r="Y46" s="123"/>
      <c r="AA46" s="94"/>
      <c r="AB46" s="94"/>
      <c r="AC46" s="94"/>
      <c r="AD46" s="94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25"/>
      <c r="AT46" s="325"/>
      <c r="AU46" s="325"/>
      <c r="AV46" s="325"/>
      <c r="AW46" s="325"/>
      <c r="AX46" s="325"/>
      <c r="AY46" s="325"/>
      <c r="AZ46" s="325"/>
      <c r="BA46" s="325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  <c r="BU46" s="307"/>
      <c r="BV46" s="307"/>
      <c r="BW46" s="307"/>
      <c r="BX46" s="307"/>
      <c r="BY46" s="307"/>
      <c r="BZ46" s="307"/>
      <c r="CA46" s="307"/>
      <c r="CB46" s="307"/>
      <c r="CC46" s="307"/>
      <c r="CD46" s="307"/>
      <c r="CE46" s="307"/>
      <c r="CF46" s="307"/>
      <c r="CG46" s="307"/>
      <c r="CH46" s="307"/>
      <c r="CI46" s="307"/>
      <c r="CJ46" s="307"/>
      <c r="CK46" s="307"/>
      <c r="CL46" s="307"/>
      <c r="CM46" s="307"/>
      <c r="CN46" s="307"/>
      <c r="CO46" s="307"/>
      <c r="CP46" s="307"/>
      <c r="CQ46" s="307"/>
      <c r="CR46" s="307"/>
      <c r="CS46" s="307"/>
      <c r="CT46" s="62"/>
      <c r="CU46" s="271"/>
      <c r="CV46" s="43"/>
      <c r="CW46" s="271"/>
      <c r="CX46" s="324"/>
      <c r="CY46" s="29">
        <f t="shared" si="19"/>
        <v>33</v>
      </c>
      <c r="DA46" s="116"/>
      <c r="DB46" s="116" t="s">
        <v>30</v>
      </c>
      <c r="DC46" s="116" t="s">
        <v>30</v>
      </c>
      <c r="DD46" s="116" t="s">
        <v>30</v>
      </c>
      <c r="DE46" s="116" t="s">
        <v>30</v>
      </c>
      <c r="DF46" s="116" t="s">
        <v>30</v>
      </c>
      <c r="DG46" s="116" t="s">
        <v>30</v>
      </c>
      <c r="DH46" s="29">
        <f t="shared" si="20"/>
        <v>33</v>
      </c>
      <c r="DJ46" s="116" t="s">
        <v>30</v>
      </c>
      <c r="DK46" s="116"/>
      <c r="DL46" s="116" t="s">
        <v>30</v>
      </c>
      <c r="DM46" s="116"/>
      <c r="DN46" s="116" t="s">
        <v>30</v>
      </c>
      <c r="DO46" s="116"/>
      <c r="DP46" s="116"/>
      <c r="DQ46" s="29">
        <f t="shared" si="21"/>
        <v>33</v>
      </c>
      <c r="DS46" s="116"/>
      <c r="DT46" s="116"/>
      <c r="DU46" s="116"/>
      <c r="DV46" s="116"/>
      <c r="DW46" s="116"/>
      <c r="DX46" s="116"/>
      <c r="DY46" s="116"/>
      <c r="DZ46" s="29">
        <f t="shared" si="22"/>
        <v>33</v>
      </c>
      <c r="EB46" s="116"/>
      <c r="EC46" s="116"/>
      <c r="ED46" s="116"/>
    </row>
    <row r="47" spans="1:135" ht="15" customHeight="1" x14ac:dyDescent="0.2">
      <c r="A47" s="135">
        <f t="shared" si="0"/>
        <v>37</v>
      </c>
      <c r="B47" s="145"/>
      <c r="C47" s="145"/>
      <c r="D47" s="145"/>
      <c r="E47" s="125"/>
      <c r="F47" s="58"/>
      <c r="G47" s="58"/>
      <c r="H47" s="135"/>
      <c r="L47" s="113"/>
      <c r="M47" s="606"/>
      <c r="N47" s="606"/>
      <c r="O47" s="606"/>
      <c r="P47" s="113"/>
      <c r="R47" s="94"/>
      <c r="S47" s="94"/>
      <c r="T47" s="94"/>
      <c r="U47" s="29">
        <f t="shared" si="6"/>
        <v>36</v>
      </c>
      <c r="V47" s="320" t="s">
        <v>188</v>
      </c>
      <c r="Y47" s="323">
        <f>-Y25-Y31-Y45</f>
        <v>-480363.57577490807</v>
      </c>
      <c r="AA47" s="94"/>
      <c r="AB47" s="94"/>
      <c r="AC47" s="94"/>
      <c r="AD47" s="94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  <c r="BT47" s="307"/>
      <c r="BU47" s="307"/>
      <c r="BV47" s="307"/>
      <c r="BW47" s="307"/>
      <c r="BX47" s="307"/>
      <c r="BY47" s="307"/>
      <c r="BZ47" s="307"/>
      <c r="CA47" s="307"/>
      <c r="CB47" s="307"/>
      <c r="CC47" s="307"/>
      <c r="CD47" s="307"/>
      <c r="CE47" s="307"/>
      <c r="CF47" s="307"/>
      <c r="CG47" s="307"/>
      <c r="CH47" s="307"/>
      <c r="CI47" s="307"/>
      <c r="CJ47" s="307"/>
      <c r="CK47" s="307"/>
      <c r="CL47" s="307"/>
      <c r="CM47" s="307"/>
      <c r="CN47" s="307"/>
      <c r="CO47" s="307"/>
      <c r="CP47" s="307"/>
      <c r="CQ47" s="307"/>
      <c r="CR47" s="307"/>
      <c r="CS47" s="307"/>
      <c r="CT47" s="62"/>
      <c r="CU47" s="271"/>
      <c r="CV47" s="43"/>
      <c r="CW47" s="271"/>
      <c r="CX47" s="271"/>
      <c r="CY47" s="29">
        <f t="shared" si="19"/>
        <v>34</v>
      </c>
      <c r="CZ47" s="145" t="s">
        <v>27</v>
      </c>
      <c r="DA47" s="41">
        <f>DA19-DA45</f>
        <v>390891783.45000267</v>
      </c>
      <c r="DB47" s="41">
        <f>DB19-DB45</f>
        <v>-1942304</v>
      </c>
      <c r="DC47" s="41">
        <f>DC19-DC45</f>
        <v>-25673713.758670092</v>
      </c>
      <c r="DD47" s="41">
        <f>DD19-DD45</f>
        <v>3963382.0066392571</v>
      </c>
      <c r="DE47" s="41">
        <f>DE19-DE45</f>
        <v>41850058.34911228</v>
      </c>
      <c r="DF47" s="41">
        <f>ROUND(DF19-DF45,0)</f>
        <v>-345862</v>
      </c>
      <c r="DG47" s="41">
        <f>ROUND(DG19-DG45,0)</f>
        <v>63732</v>
      </c>
      <c r="DH47" s="29">
        <f t="shared" si="20"/>
        <v>34</v>
      </c>
      <c r="DI47" s="145" t="s">
        <v>27</v>
      </c>
      <c r="DJ47" s="41">
        <f t="shared" ref="DJ47:DP47" si="34">DJ19-DJ45</f>
        <v>-237608</v>
      </c>
      <c r="DK47" s="41">
        <f t="shared" si="34"/>
        <v>1563443.5282689058</v>
      </c>
      <c r="DL47" s="41">
        <f t="shared" si="34"/>
        <v>-117303.71779500134</v>
      </c>
      <c r="DM47" s="41">
        <f t="shared" si="34"/>
        <v>5268.5045244154917</v>
      </c>
      <c r="DN47" s="41">
        <f t="shared" si="34"/>
        <v>-395844.34257240192</v>
      </c>
      <c r="DO47" s="41">
        <f t="shared" si="34"/>
        <v>-2172871.021288014</v>
      </c>
      <c r="DP47" s="41">
        <f t="shared" si="34"/>
        <v>707510.86918117641</v>
      </c>
      <c r="DQ47" s="29">
        <f t="shared" si="21"/>
        <v>34</v>
      </c>
      <c r="DR47" s="145" t="s">
        <v>27</v>
      </c>
      <c r="DS47" s="41">
        <f t="shared" ref="DS47:DY47" si="35">DS19-DS45</f>
        <v>2631.770982</v>
      </c>
      <c r="DT47" s="41">
        <f t="shared" si="35"/>
        <v>-171187.1280000073</v>
      </c>
      <c r="DU47" s="41">
        <f t="shared" si="35"/>
        <v>-2576959.6283999998</v>
      </c>
      <c r="DV47" s="41">
        <f t="shared" si="35"/>
        <v>-1579359.162890553</v>
      </c>
      <c r="DW47" s="41">
        <f t="shared" si="35"/>
        <v>35851.327200000174</v>
      </c>
      <c r="DX47" s="41">
        <f t="shared" si="35"/>
        <v>144678.96000000002</v>
      </c>
      <c r="DY47" s="41">
        <f t="shared" si="35"/>
        <v>13123545.106096447</v>
      </c>
      <c r="DZ47" s="29">
        <f t="shared" si="22"/>
        <v>34</v>
      </c>
      <c r="EA47" s="226" t="str">
        <f>CZ47</f>
        <v>NET OPERATING INCOME</v>
      </c>
      <c r="EB47" s="41">
        <f>EB19-EB45</f>
        <v>390891783.45000267</v>
      </c>
      <c r="EC47" s="41">
        <f>EC19-EC45</f>
        <v>13123545.106096447</v>
      </c>
      <c r="ED47" s="41">
        <f>ED19-ED45</f>
        <v>404015328.5560987</v>
      </c>
    </row>
    <row r="48" spans="1:135" ht="15" customHeight="1" x14ac:dyDescent="0.2">
      <c r="A48" s="135">
        <f t="shared" si="0"/>
        <v>38</v>
      </c>
      <c r="B48" s="145" t="s">
        <v>136</v>
      </c>
      <c r="C48" s="145"/>
      <c r="D48" s="145"/>
      <c r="E48" s="322">
        <f>FIT_CBR</f>
        <v>0.27999999999999997</v>
      </c>
      <c r="F48" s="58"/>
      <c r="G48" s="242">
        <f>ROUND(G46*E48,0)</f>
        <v>-755340</v>
      </c>
      <c r="H48" s="135"/>
      <c r="L48" s="113"/>
      <c r="M48" s="606"/>
      <c r="N48" s="606"/>
      <c r="O48" s="606"/>
      <c r="P48" s="113"/>
      <c r="R48" s="94"/>
      <c r="S48" s="94"/>
      <c r="T48" s="94"/>
      <c r="U48" s="29">
        <f t="shared" si="6"/>
        <v>37</v>
      </c>
      <c r="V48" s="320" t="s">
        <v>102</v>
      </c>
      <c r="X48" s="322">
        <f>FIT_CBR</f>
        <v>0.27999999999999997</v>
      </c>
      <c r="Y48" s="321">
        <f>Y47*X48</f>
        <v>-134501.80121697424</v>
      </c>
      <c r="AA48" s="94"/>
      <c r="AB48" s="94"/>
      <c r="AC48" s="94"/>
      <c r="AD48" s="94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  <c r="BU48" s="307"/>
      <c r="BV48" s="307"/>
      <c r="BW48" s="307"/>
      <c r="BX48" s="307"/>
      <c r="BY48" s="307"/>
      <c r="BZ48" s="307"/>
      <c r="CA48" s="307"/>
      <c r="CB48" s="307"/>
      <c r="CC48" s="307"/>
      <c r="CD48" s="307"/>
      <c r="CE48" s="307"/>
      <c r="CF48" s="307"/>
      <c r="CG48" s="307"/>
      <c r="CH48" s="307"/>
      <c r="CI48" s="307"/>
      <c r="CJ48" s="307"/>
      <c r="CK48" s="307"/>
      <c r="CL48" s="307"/>
      <c r="CM48" s="307"/>
      <c r="CN48" s="307"/>
      <c r="CO48" s="307"/>
      <c r="CP48" s="307"/>
      <c r="CQ48" s="307"/>
      <c r="CR48" s="307"/>
      <c r="CS48" s="307"/>
      <c r="CT48" s="43"/>
      <c r="CU48" s="271"/>
      <c r="CV48" s="43"/>
      <c r="CW48" s="271"/>
      <c r="CX48" s="271"/>
      <c r="CY48" s="29">
        <f t="shared" si="19"/>
        <v>35</v>
      </c>
      <c r="DA48" s="36"/>
      <c r="DB48" s="36"/>
      <c r="DC48" s="36"/>
      <c r="DD48" s="36"/>
      <c r="DE48" s="36"/>
      <c r="DF48" s="36"/>
      <c r="DG48" s="36"/>
      <c r="DH48" s="29">
        <f t="shared" si="20"/>
        <v>35</v>
      </c>
      <c r="DJ48" s="36"/>
      <c r="DK48" s="36"/>
      <c r="DL48" s="36"/>
      <c r="DM48" s="36"/>
      <c r="DN48" s="36"/>
      <c r="DO48" s="36"/>
      <c r="DP48" s="36"/>
      <c r="DQ48" s="29">
        <f t="shared" si="21"/>
        <v>35</v>
      </c>
      <c r="DS48" s="36"/>
      <c r="DT48" s="36"/>
      <c r="DU48" s="36"/>
      <c r="DV48" s="36"/>
      <c r="DW48" s="36"/>
      <c r="DX48" s="36"/>
      <c r="DY48" s="36"/>
      <c r="DZ48" s="29">
        <f t="shared" si="22"/>
        <v>35</v>
      </c>
      <c r="EA48" s="145"/>
      <c r="EB48" s="36"/>
      <c r="EC48" s="36"/>
      <c r="ED48" s="36"/>
    </row>
    <row r="49" spans="1:144" ht="15" customHeight="1" thickBot="1" x14ac:dyDescent="0.25">
      <c r="A49" s="135">
        <f t="shared" si="0"/>
        <v>39</v>
      </c>
      <c r="B49" s="145" t="s">
        <v>84</v>
      </c>
      <c r="C49" s="145"/>
      <c r="D49" s="145"/>
      <c r="F49" s="58"/>
      <c r="G49" s="201">
        <f>G46-G48</f>
        <v>-1942304</v>
      </c>
      <c r="H49" s="135"/>
      <c r="L49" s="113"/>
      <c r="M49" s="606"/>
      <c r="N49" s="606"/>
      <c r="O49" s="606"/>
      <c r="P49" s="113"/>
      <c r="R49" s="94"/>
      <c r="S49" s="94"/>
      <c r="T49" s="94"/>
      <c r="U49" s="29">
        <f t="shared" si="6"/>
        <v>38</v>
      </c>
      <c r="V49" s="320" t="s">
        <v>84</v>
      </c>
      <c r="Y49" s="266">
        <f>Y47-Y48</f>
        <v>-345861.77455793379</v>
      </c>
      <c r="AA49" s="94"/>
      <c r="AB49" s="94"/>
      <c r="AC49" s="94"/>
      <c r="AD49" s="94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  <c r="CF49" s="307"/>
      <c r="CG49" s="307"/>
      <c r="CH49" s="307"/>
      <c r="CI49" s="307"/>
      <c r="CJ49" s="307"/>
      <c r="CK49" s="307"/>
      <c r="CL49" s="307"/>
      <c r="CM49" s="307"/>
      <c r="CN49" s="307"/>
      <c r="CO49" s="307"/>
      <c r="CP49" s="307"/>
      <c r="CQ49" s="307"/>
      <c r="CR49" s="307"/>
      <c r="CS49" s="307"/>
      <c r="CT49" s="62"/>
      <c r="CU49" s="319"/>
      <c r="CV49" s="271"/>
      <c r="CW49" s="271"/>
      <c r="CX49" s="271"/>
      <c r="CY49" s="29">
        <f t="shared" si="19"/>
        <v>36</v>
      </c>
      <c r="CZ49" s="145" t="s">
        <v>28</v>
      </c>
      <c r="DA49" s="116">
        <f t="shared" ref="DA49:DG49" si="36">DA60</f>
        <v>5173537804.2968702</v>
      </c>
      <c r="DB49" s="116">
        <f t="shared" si="36"/>
        <v>0</v>
      </c>
      <c r="DC49" s="116">
        <f t="shared" si="36"/>
        <v>0</v>
      </c>
      <c r="DD49" s="116">
        <f t="shared" si="36"/>
        <v>0</v>
      </c>
      <c r="DE49" s="116">
        <f t="shared" si="36"/>
        <v>0</v>
      </c>
      <c r="DF49" s="116">
        <f t="shared" si="36"/>
        <v>0</v>
      </c>
      <c r="DG49" s="116">
        <f t="shared" si="36"/>
        <v>0</v>
      </c>
      <c r="DH49" s="29">
        <f t="shared" si="20"/>
        <v>36</v>
      </c>
      <c r="DI49" s="145" t="s">
        <v>28</v>
      </c>
      <c r="DJ49" s="116">
        <f t="shared" ref="DJ49:DP49" si="37">DJ60</f>
        <v>0</v>
      </c>
      <c r="DK49" s="116">
        <f t="shared" si="37"/>
        <v>0</v>
      </c>
      <c r="DL49" s="116">
        <f t="shared" si="37"/>
        <v>0</v>
      </c>
      <c r="DM49" s="116">
        <f t="shared" si="37"/>
        <v>0</v>
      </c>
      <c r="DN49" s="116">
        <f t="shared" si="37"/>
        <v>0</v>
      </c>
      <c r="DO49" s="116">
        <f t="shared" si="37"/>
        <v>0</v>
      </c>
      <c r="DP49" s="116">
        <f t="shared" si="37"/>
        <v>0</v>
      </c>
      <c r="DQ49" s="29">
        <f t="shared" si="21"/>
        <v>36</v>
      </c>
      <c r="DR49" s="145" t="s">
        <v>28</v>
      </c>
      <c r="DS49" s="116">
        <f t="shared" ref="DS49:DX49" si="38">DS60</f>
        <v>0</v>
      </c>
      <c r="DT49" s="116">
        <f t="shared" si="38"/>
        <v>0</v>
      </c>
      <c r="DU49" s="116">
        <f t="shared" si="38"/>
        <v>0</v>
      </c>
      <c r="DV49" s="116">
        <f t="shared" si="38"/>
        <v>0</v>
      </c>
      <c r="DW49" s="116">
        <f t="shared" si="38"/>
        <v>0</v>
      </c>
      <c r="DX49" s="116">
        <f t="shared" si="38"/>
        <v>-1756001.3912499999</v>
      </c>
      <c r="DY49" s="116">
        <f>SUM(DB49:DX49)-DH49-DQ49</f>
        <v>-1756001.3912499999</v>
      </c>
      <c r="DZ49" s="29">
        <f t="shared" si="22"/>
        <v>36</v>
      </c>
      <c r="EA49" s="226" t="str">
        <f>CZ49</f>
        <v xml:space="preserve">RATE BASE </v>
      </c>
      <c r="EB49" s="116">
        <f>EB60</f>
        <v>5173537804.2968702</v>
      </c>
      <c r="EC49" s="116">
        <f>+DY49</f>
        <v>-1756001.3912499999</v>
      </c>
      <c r="ED49" s="116">
        <f>SUM(EB49:EC49)</f>
        <v>5171781802.9056206</v>
      </c>
      <c r="EE49" s="116"/>
    </row>
    <row r="50" spans="1:144" ht="15" customHeight="1" thickTop="1" x14ac:dyDescent="0.2">
      <c r="A50" s="135"/>
      <c r="G50" s="116"/>
      <c r="H50" s="113"/>
      <c r="L50" s="113"/>
      <c r="R50" s="94"/>
      <c r="S50" s="94"/>
      <c r="T50" s="94"/>
      <c r="V50" s="307"/>
      <c r="W50" s="307"/>
      <c r="X50" s="307"/>
      <c r="Y50" s="307"/>
      <c r="AA50" s="94"/>
      <c r="AB50" s="94"/>
      <c r="AC50" s="94"/>
      <c r="AD50" s="94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BF50" s="307"/>
      <c r="BG50" s="307"/>
      <c r="BH50" s="307"/>
      <c r="BI50" s="307"/>
      <c r="BJ50" s="113">
        <f>ROUND(BJ19-DO47,0)</f>
        <v>0</v>
      </c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7"/>
      <c r="BX50" s="307"/>
      <c r="BY50" s="307"/>
      <c r="BZ50" s="113"/>
      <c r="CA50" s="113"/>
      <c r="CB50" s="113"/>
      <c r="CC50" s="113"/>
      <c r="CD50" s="113"/>
      <c r="CE50" s="113"/>
      <c r="CF50" s="307"/>
      <c r="CG50" s="307"/>
      <c r="CH50" s="307"/>
      <c r="CI50" s="307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49"/>
      <c r="CU50" s="49"/>
      <c r="CV50" s="49"/>
      <c r="CW50" s="49"/>
      <c r="CX50" s="49"/>
      <c r="CY50" s="29">
        <f t="shared" si="19"/>
        <v>37</v>
      </c>
      <c r="DA50" s="318"/>
      <c r="DH50" s="29">
        <f t="shared" si="20"/>
        <v>37</v>
      </c>
      <c r="DK50" s="145"/>
      <c r="DO50" s="145"/>
      <c r="DP50" s="145"/>
      <c r="DQ50" s="29">
        <f t="shared" si="21"/>
        <v>37</v>
      </c>
      <c r="DS50" s="145"/>
      <c r="DT50" s="145"/>
      <c r="DU50" s="145"/>
      <c r="DV50" s="145"/>
      <c r="DW50" s="145"/>
      <c r="DX50" s="145"/>
      <c r="DZ50" s="29">
        <f t="shared" si="22"/>
        <v>37</v>
      </c>
      <c r="EB50" s="116"/>
      <c r="EC50" s="116"/>
      <c r="EE50" s="116"/>
    </row>
    <row r="51" spans="1:144" ht="15" customHeight="1" x14ac:dyDescent="0.2">
      <c r="A51" s="135"/>
      <c r="G51" s="113"/>
      <c r="H51" s="133"/>
      <c r="L51" s="113"/>
      <c r="M51" s="606"/>
      <c r="N51" s="606"/>
      <c r="O51" s="606"/>
      <c r="P51" s="606"/>
      <c r="R51" s="94"/>
      <c r="S51" s="94"/>
      <c r="T51" s="94"/>
      <c r="U51" s="307"/>
      <c r="V51" s="307"/>
      <c r="W51" s="307"/>
      <c r="X51" s="307"/>
      <c r="Y51" s="307"/>
      <c r="AA51" s="94"/>
      <c r="AB51" s="94"/>
      <c r="AC51" s="94"/>
      <c r="AD51" s="94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V51" s="113">
        <f>ROUND(AV26-DL47,0)</f>
        <v>0</v>
      </c>
      <c r="BA51" s="113">
        <f>ROUND(BA20-DM47,0)</f>
        <v>0</v>
      </c>
      <c r="BE51" s="113">
        <f>ROUND(BE15-DN47,0)</f>
        <v>0</v>
      </c>
      <c r="BF51" s="307"/>
      <c r="BG51" s="307"/>
      <c r="BH51" s="307"/>
      <c r="BI51" s="307"/>
      <c r="BJ51" s="307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307"/>
      <c r="CA51" s="307"/>
      <c r="CB51" s="307"/>
      <c r="CC51" s="307"/>
      <c r="CD51" s="307"/>
      <c r="CE51" s="307"/>
      <c r="CF51" s="113"/>
      <c r="CG51" s="113"/>
      <c r="CH51" s="113"/>
      <c r="CI51" s="113"/>
      <c r="CJ51" s="307"/>
      <c r="CK51" s="307"/>
      <c r="CL51" s="307"/>
      <c r="CM51" s="307"/>
      <c r="CN51" s="307"/>
      <c r="CO51" s="307"/>
      <c r="CP51" s="307"/>
      <c r="CQ51" s="307"/>
      <c r="CR51" s="307"/>
      <c r="CS51" s="307"/>
      <c r="CT51" s="305"/>
      <c r="CU51" s="49"/>
      <c r="CV51" s="49"/>
      <c r="CW51" s="49"/>
      <c r="CX51" s="37"/>
      <c r="CY51" s="29">
        <f t="shared" si="19"/>
        <v>38</v>
      </c>
      <c r="CZ51" s="145" t="s">
        <v>29</v>
      </c>
      <c r="DA51" s="70">
        <f>DA47/DA49</f>
        <v>7.5555992482619599E-2</v>
      </c>
      <c r="DH51" s="29">
        <f t="shared" si="20"/>
        <v>38</v>
      </c>
      <c r="DI51" s="145" t="s">
        <v>29</v>
      </c>
      <c r="DK51" s="145"/>
      <c r="DO51" s="145"/>
      <c r="DP51" s="145"/>
      <c r="DQ51" s="29">
        <f t="shared" si="21"/>
        <v>38</v>
      </c>
      <c r="DR51" s="145" t="s">
        <v>29</v>
      </c>
      <c r="DS51" s="145"/>
      <c r="DT51" s="145"/>
      <c r="DU51" s="145"/>
      <c r="DV51" s="145"/>
      <c r="DW51" s="145"/>
      <c r="DX51" s="145"/>
      <c r="DZ51" s="29">
        <f t="shared" si="22"/>
        <v>38</v>
      </c>
      <c r="EA51" s="226" t="str">
        <f>CZ51</f>
        <v>RATE OF RETURN</v>
      </c>
      <c r="EB51" s="59">
        <f>EB47/EB49</f>
        <v>7.5555992482619599E-2</v>
      </c>
      <c r="EC51" s="59"/>
      <c r="ED51" s="59">
        <f>ED47/ED49</f>
        <v>7.8119175161085491E-2</v>
      </c>
    </row>
    <row r="52" spans="1:144" ht="15" customHeight="1" x14ac:dyDescent="0.2">
      <c r="A52" s="135"/>
      <c r="H52" s="113"/>
      <c r="L52" s="113"/>
      <c r="M52" s="606"/>
      <c r="N52" s="606"/>
      <c r="O52" s="606"/>
      <c r="P52" s="606"/>
      <c r="R52" s="94"/>
      <c r="S52" s="94"/>
      <c r="T52" s="94"/>
      <c r="U52" s="307"/>
      <c r="V52" s="307"/>
      <c r="W52" s="307"/>
      <c r="X52" s="307"/>
      <c r="Y52" s="307"/>
      <c r="AA52" s="113"/>
      <c r="AB52" s="113"/>
      <c r="AC52" s="113"/>
      <c r="AD52" s="113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BF52" s="307"/>
      <c r="BG52" s="307"/>
      <c r="BH52" s="307"/>
      <c r="BI52" s="307"/>
      <c r="BJ52" s="307"/>
      <c r="BK52" s="307"/>
      <c r="BL52" s="307"/>
      <c r="BM52" s="307"/>
      <c r="BN52" s="307"/>
      <c r="BO52" s="307"/>
      <c r="BP52" s="307"/>
      <c r="BQ52" s="307"/>
      <c r="BR52" s="307"/>
      <c r="BS52" s="307"/>
      <c r="BT52" s="307"/>
      <c r="BU52" s="307"/>
      <c r="BV52" s="307"/>
      <c r="BW52" s="307"/>
      <c r="BX52" s="307"/>
      <c r="BY52" s="307"/>
      <c r="BZ52" s="307"/>
      <c r="CA52" s="307"/>
      <c r="CB52" s="307"/>
      <c r="CC52" s="307"/>
      <c r="CD52" s="307"/>
      <c r="CE52" s="307"/>
      <c r="CF52" s="307"/>
      <c r="CG52" s="307"/>
      <c r="CH52" s="307"/>
      <c r="CI52" s="307"/>
      <c r="CJ52" s="307"/>
      <c r="CK52" s="307"/>
      <c r="CL52" s="307"/>
      <c r="CM52" s="307"/>
      <c r="CN52" s="307"/>
      <c r="CO52" s="307"/>
      <c r="CP52" s="307"/>
      <c r="CQ52" s="307"/>
      <c r="CR52" s="307"/>
      <c r="CS52" s="307"/>
      <c r="CT52" s="305"/>
      <c r="CU52" s="317"/>
      <c r="CV52" s="49"/>
      <c r="CW52" s="49"/>
      <c r="CX52" s="37"/>
      <c r="CY52" s="29">
        <f t="shared" si="19"/>
        <v>39</v>
      </c>
      <c r="DH52" s="29">
        <f t="shared" si="20"/>
        <v>39</v>
      </c>
      <c r="DQ52" s="29">
        <f t="shared" si="21"/>
        <v>39</v>
      </c>
      <c r="DZ52" s="29">
        <f t="shared" si="22"/>
        <v>39</v>
      </c>
    </row>
    <row r="53" spans="1:144" ht="15" customHeight="1" x14ac:dyDescent="0.2">
      <c r="A53" s="135"/>
      <c r="B53" s="316"/>
      <c r="H53" s="133"/>
      <c r="L53" s="113"/>
      <c r="M53" s="606"/>
      <c r="N53" s="606"/>
      <c r="O53" s="606"/>
      <c r="P53" s="606"/>
      <c r="U53" s="307"/>
      <c r="V53" s="307"/>
      <c r="W53" s="307"/>
      <c r="X53" s="307"/>
      <c r="Y53" s="307"/>
      <c r="Z53" s="113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BF53" s="307"/>
      <c r="BG53" s="307"/>
      <c r="BH53" s="307"/>
      <c r="BI53" s="307"/>
      <c r="BJ53" s="307"/>
      <c r="BK53" s="307"/>
      <c r="BL53" s="307"/>
      <c r="BM53" s="307"/>
      <c r="BN53" s="307"/>
      <c r="BO53" s="307"/>
      <c r="BP53" s="307"/>
      <c r="BQ53" s="307"/>
      <c r="BR53" s="307"/>
      <c r="BS53" s="307"/>
      <c r="BT53" s="307"/>
      <c r="BU53" s="307"/>
      <c r="BV53" s="307"/>
      <c r="BW53" s="307"/>
      <c r="BX53" s="307"/>
      <c r="BY53" s="307"/>
      <c r="BZ53" s="307"/>
      <c r="CA53" s="307"/>
      <c r="CB53" s="307"/>
      <c r="CC53" s="307"/>
      <c r="CD53" s="307"/>
      <c r="CE53" s="307"/>
      <c r="CF53" s="307"/>
      <c r="CG53" s="307"/>
      <c r="CH53" s="307"/>
      <c r="CI53" s="307"/>
      <c r="CJ53" s="307"/>
      <c r="CK53" s="307"/>
      <c r="CL53" s="307"/>
      <c r="CM53" s="307"/>
      <c r="CN53" s="307"/>
      <c r="CO53" s="307"/>
      <c r="CP53" s="307"/>
      <c r="CQ53" s="307"/>
      <c r="CR53" s="307"/>
      <c r="CS53" s="307"/>
      <c r="CT53" s="49"/>
      <c r="CU53" s="49"/>
      <c r="CV53" s="49"/>
      <c r="CW53" s="49"/>
      <c r="CX53" s="49"/>
      <c r="CY53" s="29">
        <f t="shared" si="19"/>
        <v>40</v>
      </c>
      <c r="CZ53" s="226" t="s">
        <v>2</v>
      </c>
      <c r="DA53" s="306"/>
      <c r="DH53" s="29">
        <f t="shared" si="20"/>
        <v>40</v>
      </c>
      <c r="DI53" s="226" t="s">
        <v>2</v>
      </c>
      <c r="DQ53" s="29">
        <f t="shared" si="21"/>
        <v>40</v>
      </c>
      <c r="DR53" s="226" t="s">
        <v>2</v>
      </c>
      <c r="DZ53" s="29">
        <f t="shared" si="22"/>
        <v>40</v>
      </c>
      <c r="EA53" s="226" t="s">
        <v>2</v>
      </c>
    </row>
    <row r="54" spans="1:144" ht="15" customHeight="1" x14ac:dyDescent="0.2">
      <c r="A54" s="135"/>
      <c r="H54" s="58"/>
      <c r="L54" s="113"/>
      <c r="M54" s="606"/>
      <c r="N54" s="606"/>
      <c r="O54" s="606"/>
      <c r="P54" s="606"/>
      <c r="Q54" s="49"/>
      <c r="U54" s="307"/>
      <c r="V54" s="307"/>
      <c r="W54" s="307"/>
      <c r="X54" s="307"/>
      <c r="Y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BF54" s="307"/>
      <c r="BG54" s="307"/>
      <c r="BH54" s="307"/>
      <c r="BI54" s="307"/>
      <c r="BJ54" s="307"/>
      <c r="BK54" s="307"/>
      <c r="BL54" s="307"/>
      <c r="BM54" s="307"/>
      <c r="BN54" s="307"/>
      <c r="BO54" s="307"/>
      <c r="BP54" s="307"/>
      <c r="BQ54" s="307"/>
      <c r="BR54" s="307"/>
      <c r="BS54" s="307"/>
      <c r="BT54" s="307"/>
      <c r="BU54" s="307"/>
      <c r="BV54" s="307"/>
      <c r="BW54" s="307"/>
      <c r="BX54" s="307"/>
      <c r="BY54" s="307"/>
      <c r="BZ54" s="307"/>
      <c r="CA54" s="307"/>
      <c r="CB54" s="307"/>
      <c r="CC54" s="307"/>
      <c r="CD54" s="307"/>
      <c r="CE54" s="307"/>
      <c r="CF54" s="307"/>
      <c r="CG54" s="307"/>
      <c r="CH54" s="307"/>
      <c r="CI54" s="307"/>
      <c r="CJ54" s="307"/>
      <c r="CK54" s="307"/>
      <c r="CL54" s="307"/>
      <c r="CM54" s="307"/>
      <c r="CN54" s="307"/>
      <c r="CO54" s="307"/>
      <c r="CP54" s="307"/>
      <c r="CQ54" s="307"/>
      <c r="CR54" s="307"/>
      <c r="CS54" s="307"/>
      <c r="CT54" s="37"/>
      <c r="CU54" s="49"/>
      <c r="CV54" s="49"/>
      <c r="CW54" s="49"/>
      <c r="CX54" s="315"/>
      <c r="CY54" s="29">
        <f t="shared" si="19"/>
        <v>41</v>
      </c>
      <c r="CZ54" s="121" t="s">
        <v>69</v>
      </c>
      <c r="DA54" s="116">
        <f>'[4]ERB AMA'!D92</f>
        <v>10364897707.224737</v>
      </c>
      <c r="DB54" s="116">
        <v>0</v>
      </c>
      <c r="DC54" s="116">
        <v>0</v>
      </c>
      <c r="DD54" s="116">
        <v>0</v>
      </c>
      <c r="DE54" s="116">
        <v>0</v>
      </c>
      <c r="DF54" s="116">
        <v>0</v>
      </c>
      <c r="DG54" s="116">
        <v>0</v>
      </c>
      <c r="DH54" s="29">
        <f t="shared" si="20"/>
        <v>41</v>
      </c>
      <c r="DI54" s="121" t="s">
        <v>69</v>
      </c>
      <c r="DJ54" s="116">
        <v>0</v>
      </c>
      <c r="DK54" s="116">
        <v>0</v>
      </c>
      <c r="DL54" s="116">
        <v>0</v>
      </c>
      <c r="DM54" s="116">
        <v>0</v>
      </c>
      <c r="DN54" s="116">
        <v>0</v>
      </c>
      <c r="DO54" s="116">
        <v>0</v>
      </c>
      <c r="DP54" s="116">
        <v>0</v>
      </c>
      <c r="DQ54" s="29">
        <f t="shared" si="21"/>
        <v>41</v>
      </c>
      <c r="DR54" s="121" t="s">
        <v>69</v>
      </c>
      <c r="DS54" s="116"/>
      <c r="DT54" s="116">
        <v>0</v>
      </c>
      <c r="DU54" s="116"/>
      <c r="DV54" s="116"/>
      <c r="DW54" s="116"/>
      <c r="DX54" s="116">
        <f>CS14</f>
        <v>-4539303</v>
      </c>
      <c r="DY54" s="116">
        <f t="shared" ref="DY54:DY59" si="39">SUM(DB54:DX54)-DH54-DQ54</f>
        <v>-4539303</v>
      </c>
      <c r="DZ54" s="29">
        <f t="shared" ref="DZ54:DZ60" si="40">DZ53+1</f>
        <v>41</v>
      </c>
      <c r="EA54" s="121" t="s">
        <v>69</v>
      </c>
      <c r="EB54" s="116">
        <f t="shared" ref="EB54:EB59" si="41">DA54</f>
        <v>10364897707.224737</v>
      </c>
      <c r="EC54" s="116">
        <f t="shared" ref="EC54:EC59" si="42">+DY54</f>
        <v>-4539303</v>
      </c>
      <c r="ED54" s="116">
        <f t="shared" ref="ED54:ED59" si="43">+EC54+EB54</f>
        <v>10360358404.224737</v>
      </c>
    </row>
    <row r="55" spans="1:144" ht="15" customHeight="1" x14ac:dyDescent="0.2">
      <c r="A55" s="135"/>
      <c r="H55" s="133"/>
      <c r="L55" s="113"/>
      <c r="M55" s="606"/>
      <c r="N55" s="606"/>
      <c r="O55" s="606"/>
      <c r="P55" s="606"/>
      <c r="Q55" s="49"/>
      <c r="U55" s="307"/>
      <c r="V55" s="307"/>
      <c r="W55" s="307"/>
      <c r="X55" s="307"/>
      <c r="Y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BF55" s="307"/>
      <c r="BG55" s="307"/>
      <c r="BH55" s="307"/>
      <c r="BI55" s="307"/>
      <c r="BJ55" s="307"/>
      <c r="BK55" s="307"/>
      <c r="BL55" s="307"/>
      <c r="BM55" s="307"/>
      <c r="BN55" s="307"/>
      <c r="BO55" s="307"/>
      <c r="BP55" s="307"/>
      <c r="BQ55" s="307"/>
      <c r="BR55" s="307"/>
      <c r="BS55" s="307"/>
      <c r="BT55" s="307"/>
      <c r="BU55" s="307"/>
      <c r="BV55" s="307"/>
      <c r="BW55" s="307"/>
      <c r="BX55" s="307"/>
      <c r="BY55" s="307"/>
      <c r="BZ55" s="307"/>
      <c r="CA55" s="307"/>
      <c r="CB55" s="307"/>
      <c r="CC55" s="307"/>
      <c r="CD55" s="307"/>
      <c r="CE55" s="307"/>
      <c r="CF55" s="307"/>
      <c r="CG55" s="307"/>
      <c r="CH55" s="307"/>
      <c r="CI55" s="307"/>
      <c r="CJ55" s="307"/>
      <c r="CK55" s="307"/>
      <c r="CL55" s="307"/>
      <c r="CM55" s="307"/>
      <c r="CN55" s="307"/>
      <c r="CO55" s="307"/>
      <c r="CP55" s="307"/>
      <c r="CQ55" s="307"/>
      <c r="CR55" s="307"/>
      <c r="CS55" s="307"/>
      <c r="CT55" s="37"/>
      <c r="CU55" s="44"/>
      <c r="CV55" s="49"/>
      <c r="CW55" s="49"/>
      <c r="CX55" s="220"/>
      <c r="CY55" s="29">
        <f t="shared" si="19"/>
        <v>42</v>
      </c>
      <c r="CZ55" s="121" t="s">
        <v>187</v>
      </c>
      <c r="DA55" s="47">
        <f>'[4]ERB AMA'!D93</f>
        <v>-4091031740.6961212</v>
      </c>
      <c r="DB55" s="116"/>
      <c r="DC55" s="116"/>
      <c r="DD55" s="116"/>
      <c r="DE55" s="116"/>
      <c r="DF55" s="116"/>
      <c r="DG55" s="116"/>
      <c r="DH55" s="29">
        <f t="shared" si="20"/>
        <v>42</v>
      </c>
      <c r="DI55" s="121" t="s">
        <v>187</v>
      </c>
      <c r="DJ55" s="116"/>
      <c r="DK55" s="116"/>
      <c r="DL55" s="116"/>
      <c r="DM55" s="116"/>
      <c r="DN55" s="116"/>
      <c r="DO55" s="116"/>
      <c r="DP55" s="116"/>
      <c r="DQ55" s="29">
        <f t="shared" si="21"/>
        <v>42</v>
      </c>
      <c r="DR55" s="121" t="s">
        <v>187</v>
      </c>
      <c r="DS55" s="113"/>
      <c r="DT55" s="116"/>
      <c r="DU55" s="113"/>
      <c r="DV55" s="113"/>
      <c r="DW55" s="113"/>
      <c r="DX55" s="113">
        <f>CS15</f>
        <v>1910783</v>
      </c>
      <c r="DY55" s="113">
        <f t="shared" si="39"/>
        <v>1910783</v>
      </c>
      <c r="DZ55" s="29">
        <f t="shared" si="40"/>
        <v>42</v>
      </c>
      <c r="EA55" s="121" t="s">
        <v>187</v>
      </c>
      <c r="EB55" s="40">
        <f t="shared" si="41"/>
        <v>-4091031740.6961212</v>
      </c>
      <c r="EC55" s="40">
        <f t="shared" si="42"/>
        <v>1910783</v>
      </c>
      <c r="ED55" s="40">
        <f t="shared" si="43"/>
        <v>-4089120957.6961212</v>
      </c>
    </row>
    <row r="56" spans="1:144" ht="15" customHeight="1" x14ac:dyDescent="0.2">
      <c r="A56" s="135"/>
      <c r="H56" s="85"/>
      <c r="L56" s="113"/>
      <c r="M56" s="606"/>
      <c r="N56" s="606"/>
      <c r="O56" s="606"/>
      <c r="P56" s="606"/>
      <c r="Q56" s="49"/>
      <c r="R56" s="49"/>
      <c r="S56" s="49"/>
      <c r="T56" s="49"/>
      <c r="U56" s="307"/>
      <c r="V56" s="307"/>
      <c r="W56" s="307"/>
      <c r="X56" s="307"/>
      <c r="Y56" s="307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BF56" s="307"/>
      <c r="BG56" s="307"/>
      <c r="BH56" s="307"/>
      <c r="BI56" s="307"/>
      <c r="BJ56" s="307"/>
      <c r="BK56" s="307"/>
      <c r="BL56" s="307"/>
      <c r="BM56" s="307"/>
      <c r="BN56" s="307"/>
      <c r="BO56" s="307"/>
      <c r="BP56" s="307"/>
      <c r="BQ56" s="307"/>
      <c r="BR56" s="307"/>
      <c r="BS56" s="307"/>
      <c r="BT56" s="307"/>
      <c r="BU56" s="307"/>
      <c r="BV56" s="307"/>
      <c r="BW56" s="307"/>
      <c r="BX56" s="307"/>
      <c r="BY56" s="307"/>
      <c r="BZ56" s="307"/>
      <c r="CA56" s="307"/>
      <c r="CB56" s="307"/>
      <c r="CC56" s="307"/>
      <c r="CD56" s="307"/>
      <c r="CE56" s="307"/>
      <c r="CF56" s="307"/>
      <c r="CG56" s="307"/>
      <c r="CH56" s="307"/>
      <c r="CI56" s="307"/>
      <c r="CJ56" s="307"/>
      <c r="CK56" s="307"/>
      <c r="CL56" s="307"/>
      <c r="CM56" s="307"/>
      <c r="CN56" s="307"/>
      <c r="CO56" s="307"/>
      <c r="CP56" s="307"/>
      <c r="CQ56" s="307"/>
      <c r="CR56" s="307"/>
      <c r="CS56" s="307"/>
      <c r="CT56" s="37"/>
      <c r="CU56" s="44"/>
      <c r="CV56" s="55"/>
      <c r="CW56" s="49"/>
      <c r="CX56" s="49"/>
      <c r="CY56" s="29">
        <f t="shared" si="19"/>
        <v>43</v>
      </c>
      <c r="CZ56" s="226" t="s">
        <v>127</v>
      </c>
      <c r="DA56" s="47">
        <f>'[4]ERB AMA'!D94</f>
        <v>257055280.59625006</v>
      </c>
      <c r="DB56" s="113"/>
      <c r="DC56" s="113"/>
      <c r="DD56" s="113"/>
      <c r="DE56" s="113"/>
      <c r="DF56" s="113"/>
      <c r="DG56" s="113"/>
      <c r="DH56" s="29">
        <f t="shared" si="20"/>
        <v>43</v>
      </c>
      <c r="DI56" s="226" t="s">
        <v>127</v>
      </c>
      <c r="DJ56" s="113"/>
      <c r="DK56" s="113"/>
      <c r="DL56" s="113"/>
      <c r="DM56" s="113"/>
      <c r="DN56" s="113"/>
      <c r="DO56" s="113"/>
      <c r="DP56" s="113"/>
      <c r="DQ56" s="29">
        <f t="shared" si="21"/>
        <v>43</v>
      </c>
      <c r="DR56" s="226" t="s">
        <v>127</v>
      </c>
      <c r="DS56" s="113"/>
      <c r="DT56" s="113"/>
      <c r="DU56" s="113"/>
      <c r="DV56" s="113"/>
      <c r="DW56" s="113"/>
      <c r="DX56" s="113"/>
      <c r="DY56" s="113">
        <f t="shared" si="39"/>
        <v>0</v>
      </c>
      <c r="DZ56" s="29">
        <f t="shared" si="40"/>
        <v>43</v>
      </c>
      <c r="EA56" s="226" t="s">
        <v>127</v>
      </c>
      <c r="EB56" s="40">
        <f t="shared" si="41"/>
        <v>257055280.59625006</v>
      </c>
      <c r="EC56" s="40">
        <f t="shared" si="42"/>
        <v>0</v>
      </c>
      <c r="ED56" s="40">
        <f t="shared" si="43"/>
        <v>257055280.59625006</v>
      </c>
    </row>
    <row r="57" spans="1:144" ht="15" customHeight="1" x14ac:dyDescent="0.2">
      <c r="A57" s="135"/>
      <c r="L57" s="113"/>
      <c r="M57" s="606"/>
      <c r="N57" s="606"/>
      <c r="O57" s="606"/>
      <c r="P57" s="606"/>
      <c r="Q57" s="49"/>
      <c r="R57" s="49"/>
      <c r="S57" s="49"/>
      <c r="T57" s="49"/>
      <c r="Y57" s="113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BF57" s="307"/>
      <c r="BG57" s="307"/>
      <c r="BH57" s="307"/>
      <c r="BI57" s="307"/>
      <c r="BJ57" s="307"/>
      <c r="BK57" s="307"/>
      <c r="BL57" s="307"/>
      <c r="BM57" s="307"/>
      <c r="BN57" s="307"/>
      <c r="BO57" s="307"/>
      <c r="BP57" s="307"/>
      <c r="BQ57" s="307"/>
      <c r="BR57" s="307"/>
      <c r="BS57" s="307"/>
      <c r="BT57" s="307"/>
      <c r="BU57" s="307"/>
      <c r="BV57" s="307"/>
      <c r="BW57" s="307"/>
      <c r="BX57" s="307"/>
      <c r="BY57" s="307"/>
      <c r="BZ57" s="307"/>
      <c r="CA57" s="307"/>
      <c r="CB57" s="307"/>
      <c r="CC57" s="307"/>
      <c r="CD57" s="307"/>
      <c r="CE57" s="307"/>
      <c r="CF57" s="307"/>
      <c r="CG57" s="307"/>
      <c r="CH57" s="307"/>
      <c r="CI57" s="307"/>
      <c r="CJ57" s="307"/>
      <c r="CK57" s="307"/>
      <c r="CL57" s="307"/>
      <c r="CM57" s="307"/>
      <c r="CN57" s="307"/>
      <c r="CO57" s="307"/>
      <c r="CP57" s="307"/>
      <c r="CQ57" s="307"/>
      <c r="CR57" s="307"/>
      <c r="CS57" s="307"/>
      <c r="CT57" s="37"/>
      <c r="CU57" s="49"/>
      <c r="CV57" s="49"/>
      <c r="CW57" s="49"/>
      <c r="CX57" s="55"/>
      <c r="CY57" s="29">
        <f t="shared" si="19"/>
        <v>44</v>
      </c>
      <c r="CZ57" s="226" t="s">
        <v>53</v>
      </c>
      <c r="DA57" s="47">
        <f>'[4]ERB AMA'!D95</f>
        <v>-1436108670.41483</v>
      </c>
      <c r="DB57" s="113"/>
      <c r="DC57" s="113"/>
      <c r="DD57" s="113"/>
      <c r="DE57" s="113"/>
      <c r="DF57" s="113"/>
      <c r="DG57" s="113"/>
      <c r="DH57" s="29">
        <f t="shared" si="20"/>
        <v>44</v>
      </c>
      <c r="DI57" s="226" t="s">
        <v>53</v>
      </c>
      <c r="DJ57" s="113"/>
      <c r="DK57" s="113"/>
      <c r="DL57" s="113"/>
      <c r="DM57" s="113"/>
      <c r="DN57" s="113"/>
      <c r="DO57" s="113"/>
      <c r="DP57" s="113"/>
      <c r="DQ57" s="29">
        <f t="shared" si="21"/>
        <v>44</v>
      </c>
      <c r="DR57" s="226" t="s">
        <v>53</v>
      </c>
      <c r="DS57" s="113"/>
      <c r="DT57" s="113"/>
      <c r="DU57" s="113"/>
      <c r="DV57" s="113"/>
      <c r="DW57" s="113"/>
      <c r="DX57" s="113">
        <f>CS16</f>
        <v>872518.60875000001</v>
      </c>
      <c r="DY57" s="113">
        <f t="shared" si="39"/>
        <v>872518.60875000001</v>
      </c>
      <c r="DZ57" s="29">
        <f t="shared" si="40"/>
        <v>44</v>
      </c>
      <c r="EA57" s="226" t="s">
        <v>53</v>
      </c>
      <c r="EB57" s="40">
        <f t="shared" si="41"/>
        <v>-1436108670.41483</v>
      </c>
      <c r="EC57" s="40">
        <f t="shared" si="42"/>
        <v>872518.60875000001</v>
      </c>
      <c r="ED57" s="40">
        <f t="shared" si="43"/>
        <v>-1435236151.8060799</v>
      </c>
    </row>
    <row r="58" spans="1:144" s="61" customFormat="1" ht="15" customHeight="1" x14ac:dyDescent="0.2">
      <c r="A58" s="135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113"/>
      <c r="M58" s="606"/>
      <c r="N58" s="606"/>
      <c r="O58" s="606"/>
      <c r="P58" s="606"/>
      <c r="Q58" s="49"/>
      <c r="R58" s="49"/>
      <c r="S58" s="49"/>
      <c r="T58" s="49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157"/>
      <c r="AT58" s="157"/>
      <c r="AU58" s="157"/>
      <c r="AV58" s="157"/>
      <c r="AW58" s="157"/>
      <c r="AX58" s="157"/>
      <c r="AY58" s="157"/>
      <c r="AZ58" s="157"/>
      <c r="BA58" s="157"/>
      <c r="BB58" s="226"/>
      <c r="BC58" s="226"/>
      <c r="BD58" s="226"/>
      <c r="BE58" s="226"/>
      <c r="BF58" s="307"/>
      <c r="BG58" s="307"/>
      <c r="BH58" s="307"/>
      <c r="BI58" s="307"/>
      <c r="BJ58" s="307"/>
      <c r="BK58" s="307"/>
      <c r="BL58" s="307"/>
      <c r="BM58" s="307"/>
      <c r="BN58" s="307"/>
      <c r="BO58" s="307"/>
      <c r="BP58" s="307"/>
      <c r="BQ58" s="307"/>
      <c r="BR58" s="307"/>
      <c r="BS58" s="307"/>
      <c r="BT58" s="307"/>
      <c r="BU58" s="307"/>
      <c r="BV58" s="307"/>
      <c r="BW58" s="307"/>
      <c r="BX58" s="307"/>
      <c r="BY58" s="307"/>
      <c r="BZ58" s="307"/>
      <c r="CA58" s="307"/>
      <c r="CB58" s="307"/>
      <c r="CC58" s="307"/>
      <c r="CD58" s="307"/>
      <c r="CE58" s="307"/>
      <c r="CF58" s="307"/>
      <c r="CG58" s="307"/>
      <c r="CH58" s="307"/>
      <c r="CI58" s="307"/>
      <c r="CJ58" s="307"/>
      <c r="CK58" s="307"/>
      <c r="CL58" s="307"/>
      <c r="CM58" s="307"/>
      <c r="CN58" s="307"/>
      <c r="CO58" s="307"/>
      <c r="CP58" s="307"/>
      <c r="CQ58" s="307"/>
      <c r="CR58" s="307"/>
      <c r="CS58" s="307"/>
      <c r="CT58" s="37"/>
      <c r="CU58" s="44"/>
      <c r="CV58" s="49"/>
      <c r="CW58" s="49"/>
      <c r="CX58" s="55"/>
      <c r="CY58" s="29">
        <f t="shared" si="19"/>
        <v>45</v>
      </c>
      <c r="CZ58" s="226" t="s">
        <v>55</v>
      </c>
      <c r="DA58" s="47">
        <f>'[4]ERB AMA'!D96</f>
        <v>183434144.27723971</v>
      </c>
      <c r="DB58" s="113"/>
      <c r="DC58" s="113"/>
      <c r="DD58" s="113"/>
      <c r="DE58" s="113"/>
      <c r="DF58" s="113"/>
      <c r="DG58" s="113"/>
      <c r="DH58" s="29">
        <f t="shared" si="20"/>
        <v>45</v>
      </c>
      <c r="DI58" s="226" t="s">
        <v>55</v>
      </c>
      <c r="DJ58" s="113"/>
      <c r="DK58" s="113"/>
      <c r="DL58" s="113"/>
      <c r="DM58" s="113"/>
      <c r="DN58" s="113"/>
      <c r="DO58" s="113"/>
      <c r="DP58" s="113"/>
      <c r="DQ58" s="29">
        <f t="shared" si="21"/>
        <v>45</v>
      </c>
      <c r="DR58" s="226" t="s">
        <v>55</v>
      </c>
      <c r="DS58" s="113"/>
      <c r="DT58" s="113"/>
      <c r="DU58" s="113"/>
      <c r="DV58" s="113"/>
      <c r="DW58" s="113"/>
      <c r="DX58" s="113"/>
      <c r="DY58" s="113">
        <f t="shared" si="39"/>
        <v>0</v>
      </c>
      <c r="DZ58" s="29">
        <f t="shared" si="40"/>
        <v>45</v>
      </c>
      <c r="EA58" s="226" t="s">
        <v>55</v>
      </c>
      <c r="EB58" s="40">
        <f t="shared" si="41"/>
        <v>183434144.27723971</v>
      </c>
      <c r="EC58" s="40">
        <f t="shared" si="42"/>
        <v>0</v>
      </c>
      <c r="ED58" s="40">
        <f t="shared" si="43"/>
        <v>183434144.27723971</v>
      </c>
      <c r="EE58" s="226"/>
      <c r="EF58" s="94"/>
      <c r="EG58" s="94"/>
      <c r="EH58" s="94"/>
      <c r="EI58" s="94"/>
      <c r="EJ58" s="226"/>
      <c r="EK58" s="226"/>
      <c r="EL58" s="226"/>
      <c r="EM58" s="226"/>
      <c r="EN58" s="226"/>
    </row>
    <row r="59" spans="1:144" s="61" customFormat="1" ht="15" customHeight="1" x14ac:dyDescent="0.2">
      <c r="A59" s="135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113"/>
      <c r="M59" s="606"/>
      <c r="N59" s="606"/>
      <c r="O59" s="606"/>
      <c r="P59" s="606"/>
      <c r="Q59" s="49"/>
      <c r="R59" s="49"/>
      <c r="S59" s="49"/>
      <c r="T59" s="49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AS59" s="314"/>
      <c r="AT59" s="157"/>
      <c r="AU59" s="157"/>
      <c r="AV59" s="157"/>
      <c r="AW59" s="157"/>
      <c r="AX59" s="314"/>
      <c r="AY59" s="157"/>
      <c r="AZ59" s="157"/>
      <c r="BA59" s="157"/>
      <c r="BB59" s="226"/>
      <c r="BC59" s="226"/>
      <c r="BD59" s="226"/>
      <c r="BE59" s="226"/>
      <c r="BF59" s="307"/>
      <c r="BG59" s="307"/>
      <c r="BH59" s="307"/>
      <c r="BI59" s="307"/>
      <c r="BJ59" s="307"/>
      <c r="BK59" s="307"/>
      <c r="BL59" s="307"/>
      <c r="BM59" s="307"/>
      <c r="BN59" s="307"/>
      <c r="BO59" s="307"/>
      <c r="BP59" s="307"/>
      <c r="BQ59" s="307"/>
      <c r="BR59" s="307"/>
      <c r="BS59" s="307"/>
      <c r="BT59" s="307"/>
      <c r="BU59" s="307"/>
      <c r="BV59" s="307"/>
      <c r="BW59" s="307"/>
      <c r="BX59" s="307"/>
      <c r="BY59" s="307"/>
      <c r="BZ59" s="307"/>
      <c r="CA59" s="307"/>
      <c r="CB59" s="307"/>
      <c r="CC59" s="307"/>
      <c r="CD59" s="307"/>
      <c r="CE59" s="307"/>
      <c r="CF59" s="307"/>
      <c r="CG59" s="307"/>
      <c r="CH59" s="307"/>
      <c r="CI59" s="307"/>
      <c r="CJ59" s="307"/>
      <c r="CK59" s="307"/>
      <c r="CL59" s="307"/>
      <c r="CM59" s="307"/>
      <c r="CN59" s="307"/>
      <c r="CO59" s="307"/>
      <c r="CP59" s="307"/>
      <c r="CQ59" s="307"/>
      <c r="CR59" s="307"/>
      <c r="CS59" s="307"/>
      <c r="CT59" s="37"/>
      <c r="CU59" s="44"/>
      <c r="CV59" s="49"/>
      <c r="CW59" s="49"/>
      <c r="CX59" s="55"/>
      <c r="CY59" s="29">
        <f t="shared" si="19"/>
        <v>46</v>
      </c>
      <c r="CZ59" s="226" t="s">
        <v>54</v>
      </c>
      <c r="DA59" s="597">
        <f>'[4]ERB AMA'!D97</f>
        <v>-104708916.6904054</v>
      </c>
      <c r="DB59" s="242"/>
      <c r="DC59" s="242"/>
      <c r="DD59" s="242"/>
      <c r="DE59" s="242"/>
      <c r="DF59" s="242"/>
      <c r="DG59" s="242"/>
      <c r="DH59" s="29">
        <f t="shared" si="20"/>
        <v>46</v>
      </c>
      <c r="DI59" s="226" t="s">
        <v>54</v>
      </c>
      <c r="DJ59" s="242"/>
      <c r="DK59" s="242"/>
      <c r="DL59" s="242"/>
      <c r="DM59" s="242"/>
      <c r="DN59" s="242"/>
      <c r="DO59" s="242"/>
      <c r="DP59" s="242"/>
      <c r="DQ59" s="29">
        <f t="shared" si="21"/>
        <v>46</v>
      </c>
      <c r="DR59" s="226" t="s">
        <v>54</v>
      </c>
      <c r="DS59" s="242"/>
      <c r="DT59" s="242"/>
      <c r="DU59" s="242"/>
      <c r="DV59" s="242"/>
      <c r="DW59" s="242"/>
      <c r="DX59" s="242"/>
      <c r="DY59" s="242">
        <f t="shared" si="39"/>
        <v>0</v>
      </c>
      <c r="DZ59" s="29">
        <f t="shared" si="40"/>
        <v>46</v>
      </c>
      <c r="EA59" s="226" t="s">
        <v>54</v>
      </c>
      <c r="EB59" s="40">
        <f t="shared" si="41"/>
        <v>-104708916.6904054</v>
      </c>
      <c r="EC59" s="40">
        <f t="shared" si="42"/>
        <v>0</v>
      </c>
      <c r="ED59" s="40">
        <f t="shared" si="43"/>
        <v>-104708916.6904054</v>
      </c>
      <c r="EF59" s="94"/>
      <c r="EG59" s="94"/>
      <c r="EH59" s="94"/>
      <c r="EI59" s="94"/>
    </row>
    <row r="60" spans="1:144" s="61" customFormat="1" ht="15" customHeight="1" thickBot="1" x14ac:dyDescent="0.25">
      <c r="A60" s="135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113"/>
      <c r="M60" s="606"/>
      <c r="N60" s="606"/>
      <c r="O60" s="606"/>
      <c r="P60" s="606"/>
      <c r="Q60" s="49"/>
      <c r="R60" s="49"/>
      <c r="S60" s="49"/>
      <c r="T60" s="49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157"/>
      <c r="AT60" s="157"/>
      <c r="AU60" s="157"/>
      <c r="AV60" s="157"/>
      <c r="AW60" s="157"/>
      <c r="AX60" s="157"/>
      <c r="AY60" s="157"/>
      <c r="AZ60" s="157"/>
      <c r="BA60" s="157"/>
      <c r="BB60" s="226"/>
      <c r="BC60" s="226"/>
      <c r="BD60" s="226"/>
      <c r="BE60" s="226"/>
      <c r="BF60" s="307"/>
      <c r="BG60" s="307"/>
      <c r="BH60" s="307"/>
      <c r="BI60" s="307"/>
      <c r="BJ60" s="307"/>
      <c r="BK60" s="307"/>
      <c r="BL60" s="307"/>
      <c r="BM60" s="307"/>
      <c r="BN60" s="307"/>
      <c r="BO60" s="307"/>
      <c r="BP60" s="307"/>
      <c r="BQ60" s="307"/>
      <c r="BR60" s="307"/>
      <c r="BS60" s="307"/>
      <c r="BT60" s="307"/>
      <c r="BU60" s="307"/>
      <c r="BV60" s="307"/>
      <c r="BW60" s="307"/>
      <c r="BX60" s="307"/>
      <c r="BY60" s="307"/>
      <c r="BZ60" s="307"/>
      <c r="CA60" s="307"/>
      <c r="CB60" s="307"/>
      <c r="CC60" s="307"/>
      <c r="CD60" s="307"/>
      <c r="CE60" s="307"/>
      <c r="CF60" s="307"/>
      <c r="CG60" s="307"/>
      <c r="CH60" s="307"/>
      <c r="CI60" s="307"/>
      <c r="CJ60" s="307"/>
      <c r="CK60" s="307"/>
      <c r="CL60" s="307"/>
      <c r="CM60" s="307"/>
      <c r="CN60" s="307"/>
      <c r="CO60" s="307"/>
      <c r="CP60" s="307"/>
      <c r="CQ60" s="307"/>
      <c r="CR60" s="307"/>
      <c r="CS60" s="307"/>
      <c r="CT60" s="37"/>
      <c r="CU60" s="49"/>
      <c r="CV60" s="49"/>
      <c r="CW60" s="49"/>
      <c r="CX60" s="55"/>
      <c r="CY60" s="29">
        <f t="shared" si="19"/>
        <v>47</v>
      </c>
      <c r="CZ60" s="226" t="s">
        <v>56</v>
      </c>
      <c r="DA60" s="313">
        <f t="shared" ref="DA60:DG60" si="44">SUM(DA54:DA59)</f>
        <v>5173537804.2968702</v>
      </c>
      <c r="DB60" s="313">
        <f t="shared" si="44"/>
        <v>0</v>
      </c>
      <c r="DC60" s="313">
        <f t="shared" si="44"/>
        <v>0</v>
      </c>
      <c r="DD60" s="313">
        <f t="shared" si="44"/>
        <v>0</v>
      </c>
      <c r="DE60" s="313">
        <f t="shared" si="44"/>
        <v>0</v>
      </c>
      <c r="DF60" s="313">
        <f t="shared" si="44"/>
        <v>0</v>
      </c>
      <c r="DG60" s="313">
        <f t="shared" si="44"/>
        <v>0</v>
      </c>
      <c r="DH60" s="29">
        <f t="shared" si="20"/>
        <v>47</v>
      </c>
      <c r="DI60" s="226" t="s">
        <v>56</v>
      </c>
      <c r="DJ60" s="313">
        <f t="shared" ref="DJ60:DP60" si="45">SUM(DJ54:DJ59)</f>
        <v>0</v>
      </c>
      <c r="DK60" s="313">
        <f t="shared" si="45"/>
        <v>0</v>
      </c>
      <c r="DL60" s="313">
        <f t="shared" si="45"/>
        <v>0</v>
      </c>
      <c r="DM60" s="313">
        <f t="shared" si="45"/>
        <v>0</v>
      </c>
      <c r="DN60" s="313">
        <f t="shared" si="45"/>
        <v>0</v>
      </c>
      <c r="DO60" s="313">
        <f t="shared" si="45"/>
        <v>0</v>
      </c>
      <c r="DP60" s="313">
        <f t="shared" si="45"/>
        <v>0</v>
      </c>
      <c r="DQ60" s="29">
        <f t="shared" si="21"/>
        <v>47</v>
      </c>
      <c r="DR60" s="226" t="s">
        <v>56</v>
      </c>
      <c r="DS60" s="313">
        <f t="shared" ref="DS60:DY60" si="46">SUM(DS54:DS59)</f>
        <v>0</v>
      </c>
      <c r="DT60" s="313">
        <f t="shared" si="46"/>
        <v>0</v>
      </c>
      <c r="DU60" s="313">
        <f t="shared" si="46"/>
        <v>0</v>
      </c>
      <c r="DV60" s="313">
        <f t="shared" si="46"/>
        <v>0</v>
      </c>
      <c r="DW60" s="313">
        <f t="shared" si="46"/>
        <v>0</v>
      </c>
      <c r="DX60" s="313">
        <f t="shared" si="46"/>
        <v>-1756001.3912499999</v>
      </c>
      <c r="DY60" s="313">
        <f t="shared" si="46"/>
        <v>-1756001.3912499999</v>
      </c>
      <c r="DZ60" s="29">
        <f t="shared" si="40"/>
        <v>47</v>
      </c>
      <c r="EA60" s="226" t="s">
        <v>56</v>
      </c>
      <c r="EB60" s="312">
        <f>SUM(EB54:EB59)</f>
        <v>5173537804.2968702</v>
      </c>
      <c r="EC60" s="312">
        <f>SUM(EC54:EC59)</f>
        <v>-1756001.3912499999</v>
      </c>
      <c r="ED60" s="312">
        <f>SUM(ED54:ED59)</f>
        <v>5171781802.9056206</v>
      </c>
      <c r="EF60" s="94"/>
      <c r="EG60" s="94"/>
      <c r="EH60" s="94"/>
      <c r="EI60" s="94"/>
    </row>
    <row r="61" spans="1:144" ht="15" customHeight="1" thickTop="1" x14ac:dyDescent="0.2">
      <c r="A61" s="135"/>
      <c r="L61" s="113"/>
      <c r="M61" s="606"/>
      <c r="N61" s="606"/>
      <c r="O61" s="606"/>
      <c r="P61" s="606"/>
      <c r="Q61" s="49"/>
      <c r="R61" s="49"/>
      <c r="S61" s="49"/>
      <c r="T61" s="49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BF61" s="307"/>
      <c r="BG61" s="307"/>
      <c r="BH61" s="307"/>
      <c r="BI61" s="307"/>
      <c r="BJ61" s="307"/>
      <c r="BK61" s="307"/>
      <c r="BL61" s="307"/>
      <c r="BM61" s="307"/>
      <c r="BN61" s="307"/>
      <c r="BO61" s="307"/>
      <c r="BP61" s="307"/>
      <c r="BQ61" s="307"/>
      <c r="BR61" s="307"/>
      <c r="BS61" s="307"/>
      <c r="BT61" s="307"/>
      <c r="BU61" s="307"/>
      <c r="BV61" s="307"/>
      <c r="BW61" s="307"/>
      <c r="BX61" s="307"/>
      <c r="BY61" s="307"/>
      <c r="BZ61" s="307"/>
      <c r="CA61" s="307"/>
      <c r="CB61" s="307"/>
      <c r="CC61" s="307"/>
      <c r="CD61" s="307"/>
      <c r="CE61" s="307"/>
      <c r="CF61" s="307"/>
      <c r="CG61" s="307"/>
      <c r="CH61" s="307"/>
      <c r="CI61" s="307"/>
      <c r="CJ61" s="307"/>
      <c r="CK61" s="307"/>
      <c r="CL61" s="307"/>
      <c r="CM61" s="307"/>
      <c r="CN61" s="307"/>
      <c r="CO61" s="307"/>
      <c r="CP61" s="307"/>
      <c r="CQ61" s="307"/>
      <c r="CR61" s="307"/>
      <c r="CS61" s="307"/>
      <c r="CT61" s="37"/>
      <c r="CU61" s="49"/>
      <c r="CV61" s="49"/>
      <c r="CW61" s="49"/>
      <c r="CX61" s="63"/>
      <c r="CY61" s="309"/>
      <c r="CZ61" s="61"/>
      <c r="DA61" s="311">
        <f t="shared" ref="DA61:DG61" si="47">DA60-DA49</f>
        <v>0</v>
      </c>
      <c r="DB61" s="311">
        <f t="shared" si="47"/>
        <v>0</v>
      </c>
      <c r="DC61" s="311">
        <f t="shared" si="47"/>
        <v>0</v>
      </c>
      <c r="DD61" s="311">
        <f t="shared" si="47"/>
        <v>0</v>
      </c>
      <c r="DE61" s="311">
        <f t="shared" si="47"/>
        <v>0</v>
      </c>
      <c r="DF61" s="311">
        <f t="shared" si="47"/>
        <v>0</v>
      </c>
      <c r="DG61" s="311">
        <f t="shared" si="47"/>
        <v>0</v>
      </c>
      <c r="DH61" s="61"/>
      <c r="DI61" s="61"/>
      <c r="DJ61" s="311">
        <f t="shared" ref="DJ61:DP61" si="48">DJ60-DJ49</f>
        <v>0</v>
      </c>
      <c r="DK61" s="311">
        <f t="shared" si="48"/>
        <v>0</v>
      </c>
      <c r="DL61" s="311">
        <f t="shared" si="48"/>
        <v>0</v>
      </c>
      <c r="DM61" s="311">
        <f t="shared" si="48"/>
        <v>0</v>
      </c>
      <c r="DN61" s="311">
        <f t="shared" si="48"/>
        <v>0</v>
      </c>
      <c r="DO61" s="311">
        <f t="shared" si="48"/>
        <v>0</v>
      </c>
      <c r="DP61" s="311">
        <f t="shared" si="48"/>
        <v>0</v>
      </c>
      <c r="DQ61" s="61"/>
      <c r="DR61" s="61"/>
      <c r="DS61" s="311"/>
      <c r="DT61" s="311">
        <f>DT60-DT49</f>
        <v>0</v>
      </c>
      <c r="DU61" s="311"/>
      <c r="DV61" s="311"/>
      <c r="DW61" s="311"/>
      <c r="DX61" s="311"/>
      <c r="DY61" s="311">
        <f>DY60-DY49</f>
        <v>0</v>
      </c>
      <c r="DZ61" s="61"/>
      <c r="EA61" s="61"/>
      <c r="EB61" s="61"/>
      <c r="EC61" s="61"/>
      <c r="ED61" s="61"/>
      <c r="EE61" s="61"/>
      <c r="EJ61" s="61"/>
      <c r="EK61" s="61"/>
      <c r="EL61" s="61"/>
      <c r="EM61" s="61"/>
      <c r="EN61" s="61"/>
    </row>
    <row r="62" spans="1:144" s="94" customFormat="1" ht="15" customHeight="1" x14ac:dyDescent="0.2">
      <c r="A62" s="226"/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113"/>
      <c r="M62" s="606"/>
      <c r="N62" s="606"/>
      <c r="O62" s="606"/>
      <c r="P62" s="606"/>
      <c r="Q62" s="49"/>
      <c r="R62" s="49"/>
      <c r="S62" s="49"/>
      <c r="T62" s="49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157"/>
      <c r="AT62" s="157"/>
      <c r="AU62" s="157"/>
      <c r="AV62" s="157"/>
      <c r="AW62" s="157"/>
      <c r="AX62" s="157"/>
      <c r="AY62" s="157"/>
      <c r="AZ62" s="157"/>
      <c r="BA62" s="157"/>
      <c r="BB62" s="226"/>
      <c r="BC62" s="226"/>
      <c r="BD62" s="226"/>
      <c r="BE62" s="226"/>
      <c r="BF62" s="307"/>
      <c r="BG62" s="307"/>
      <c r="BH62" s="307"/>
      <c r="BI62" s="307"/>
      <c r="BJ62" s="307"/>
      <c r="BK62" s="307"/>
      <c r="BL62" s="307"/>
      <c r="BM62" s="307"/>
      <c r="BN62" s="307"/>
      <c r="BO62" s="307"/>
      <c r="BP62" s="307"/>
      <c r="BQ62" s="307"/>
      <c r="BR62" s="307"/>
      <c r="BS62" s="307"/>
      <c r="BT62" s="307"/>
      <c r="BU62" s="307"/>
      <c r="BV62" s="307"/>
      <c r="BW62" s="307"/>
      <c r="BX62" s="307"/>
      <c r="BY62" s="307"/>
      <c r="BZ62" s="307"/>
      <c r="CA62" s="307"/>
      <c r="CB62" s="307"/>
      <c r="CC62" s="307"/>
      <c r="CD62" s="307"/>
      <c r="CE62" s="307"/>
      <c r="CF62" s="307"/>
      <c r="CG62" s="307"/>
      <c r="CH62" s="307"/>
      <c r="CI62" s="307"/>
      <c r="CJ62" s="307"/>
      <c r="CK62" s="307"/>
      <c r="CL62" s="307"/>
      <c r="CM62" s="307"/>
      <c r="CN62" s="307"/>
      <c r="CO62" s="307"/>
      <c r="CP62" s="307"/>
      <c r="CQ62" s="307"/>
      <c r="CR62" s="307"/>
      <c r="CS62" s="307"/>
      <c r="CT62" s="37"/>
      <c r="CU62" s="49"/>
      <c r="CV62" s="49"/>
      <c r="CW62" s="241"/>
      <c r="CX62" s="55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</row>
    <row r="63" spans="1:144" s="94" customFormat="1" ht="15" customHeight="1" x14ac:dyDescent="0.2">
      <c r="A63" s="226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113"/>
      <c r="M63" s="606"/>
      <c r="N63" s="606"/>
      <c r="O63" s="606"/>
      <c r="P63" s="606"/>
      <c r="Q63" s="49"/>
      <c r="R63" s="49"/>
      <c r="S63" s="49"/>
      <c r="T63" s="49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307"/>
      <c r="AG63" s="307"/>
      <c r="AH63" s="307"/>
      <c r="AI63" s="307"/>
      <c r="AJ63" s="307"/>
      <c r="AK63" s="307"/>
      <c r="AL63" s="307"/>
      <c r="AM63" s="307"/>
      <c r="AN63" s="307"/>
      <c r="AO63" s="307"/>
      <c r="AP63" s="307"/>
      <c r="AQ63" s="307"/>
      <c r="AR63" s="307"/>
      <c r="AS63" s="157"/>
      <c r="AT63" s="157"/>
      <c r="AU63" s="157"/>
      <c r="AV63" s="157"/>
      <c r="AW63" s="157"/>
      <c r="AX63" s="157"/>
      <c r="AY63" s="157"/>
      <c r="AZ63" s="157"/>
      <c r="BA63" s="157"/>
      <c r="BB63" s="226"/>
      <c r="BC63" s="226"/>
      <c r="BD63" s="226"/>
      <c r="BE63" s="226"/>
      <c r="BF63" s="307"/>
      <c r="BG63" s="307"/>
      <c r="BH63" s="307"/>
      <c r="BI63" s="307"/>
      <c r="BJ63" s="307"/>
      <c r="BK63" s="307"/>
      <c r="BL63" s="307"/>
      <c r="BM63" s="307"/>
      <c r="BN63" s="307"/>
      <c r="BO63" s="307"/>
      <c r="BP63" s="307"/>
      <c r="BQ63" s="307"/>
      <c r="BR63" s="307"/>
      <c r="BS63" s="307"/>
      <c r="BT63" s="307"/>
      <c r="BU63" s="307"/>
      <c r="BV63" s="307"/>
      <c r="BW63" s="307"/>
      <c r="BX63" s="307"/>
      <c r="BY63" s="307"/>
      <c r="BZ63" s="307"/>
      <c r="CA63" s="307"/>
      <c r="CB63" s="307"/>
      <c r="CC63" s="307"/>
      <c r="CD63" s="307"/>
      <c r="CE63" s="307"/>
      <c r="CF63" s="307"/>
      <c r="CG63" s="307"/>
      <c r="CH63" s="307"/>
      <c r="CI63" s="307"/>
      <c r="CJ63" s="307"/>
      <c r="CK63" s="307"/>
      <c r="CL63" s="307"/>
      <c r="CM63" s="307"/>
      <c r="CN63" s="307"/>
      <c r="CO63" s="307"/>
      <c r="CP63" s="307"/>
      <c r="CQ63" s="307"/>
      <c r="CR63" s="307"/>
      <c r="CS63" s="307"/>
      <c r="CT63" s="37"/>
      <c r="CU63" s="49"/>
      <c r="CV63" s="49"/>
      <c r="CW63" s="49"/>
      <c r="CX63" s="310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</row>
    <row r="64" spans="1:144" s="94" customFormat="1" ht="15" customHeight="1" x14ac:dyDescent="0.2">
      <c r="A64" s="226"/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113"/>
      <c r="M64" s="606"/>
      <c r="N64" s="606"/>
      <c r="O64" s="606"/>
      <c r="P64" s="606"/>
      <c r="Q64" s="49"/>
      <c r="R64" s="49"/>
      <c r="S64" s="49"/>
      <c r="T64" s="49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157"/>
      <c r="AT64" s="157"/>
      <c r="AU64" s="157"/>
      <c r="AV64" s="157"/>
      <c r="AW64" s="157"/>
      <c r="AX64" s="157"/>
      <c r="AY64" s="157"/>
      <c r="AZ64" s="157"/>
      <c r="BA64" s="157"/>
      <c r="BB64" s="226"/>
      <c r="BC64" s="226"/>
      <c r="BD64" s="226"/>
      <c r="BE64" s="226"/>
      <c r="BF64" s="307"/>
      <c r="BG64" s="307"/>
      <c r="BH64" s="307"/>
      <c r="BI64" s="307"/>
      <c r="BJ64" s="307"/>
      <c r="BK64" s="307"/>
      <c r="BL64" s="307"/>
      <c r="BM64" s="307"/>
      <c r="BN64" s="307"/>
      <c r="BO64" s="307"/>
      <c r="BP64" s="307"/>
      <c r="BQ64" s="307"/>
      <c r="BR64" s="307"/>
      <c r="BS64" s="307"/>
      <c r="BT64" s="307"/>
      <c r="BU64" s="307"/>
      <c r="BV64" s="307"/>
      <c r="BW64" s="307"/>
      <c r="BX64" s="307"/>
      <c r="BY64" s="307"/>
      <c r="BZ64" s="307"/>
      <c r="CA64" s="307"/>
      <c r="CB64" s="307"/>
      <c r="CC64" s="307"/>
      <c r="CD64" s="307"/>
      <c r="CE64" s="307"/>
      <c r="CF64" s="307"/>
      <c r="CG64" s="307"/>
      <c r="CH64" s="307"/>
      <c r="CI64" s="307"/>
      <c r="CJ64" s="307"/>
      <c r="CK64" s="307"/>
      <c r="CL64" s="307"/>
      <c r="CM64" s="307"/>
      <c r="CN64" s="307"/>
      <c r="CO64" s="307"/>
      <c r="CP64" s="307"/>
      <c r="CQ64" s="307"/>
      <c r="CR64" s="307"/>
      <c r="CS64" s="307"/>
      <c r="CT64" s="37"/>
      <c r="CU64" s="49"/>
      <c r="CV64" s="49"/>
      <c r="CW64" s="49"/>
      <c r="CX64" s="310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</row>
    <row r="65" spans="1:144" s="94" customFormat="1" ht="15" customHeight="1" x14ac:dyDescent="0.2">
      <c r="A65" s="226"/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113"/>
      <c r="M65" s="606"/>
      <c r="N65" s="606"/>
      <c r="O65" s="606"/>
      <c r="P65" s="606"/>
      <c r="Q65" s="49"/>
      <c r="R65" s="49"/>
      <c r="S65" s="49"/>
      <c r="T65" s="49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307"/>
      <c r="AS65" s="157"/>
      <c r="AT65" s="157"/>
      <c r="AU65" s="157"/>
      <c r="AV65" s="157"/>
      <c r="AW65" s="157"/>
      <c r="AX65" s="157"/>
      <c r="AY65" s="157"/>
      <c r="AZ65" s="157"/>
      <c r="BA65" s="157"/>
      <c r="BB65" s="226"/>
      <c r="BC65" s="226"/>
      <c r="BD65" s="226"/>
      <c r="BE65" s="226"/>
      <c r="BF65" s="307"/>
      <c r="BG65" s="307"/>
      <c r="BH65" s="307"/>
      <c r="BI65" s="307"/>
      <c r="BJ65" s="307"/>
      <c r="BK65" s="307"/>
      <c r="BL65" s="307"/>
      <c r="BM65" s="307"/>
      <c r="BN65" s="307"/>
      <c r="BO65" s="307"/>
      <c r="BP65" s="307"/>
      <c r="BQ65" s="307"/>
      <c r="BR65" s="307"/>
      <c r="BS65" s="307"/>
      <c r="BT65" s="307"/>
      <c r="BU65" s="307"/>
      <c r="BV65" s="307"/>
      <c r="BW65" s="307"/>
      <c r="BX65" s="307"/>
      <c r="BY65" s="307"/>
      <c r="BZ65" s="307"/>
      <c r="CA65" s="307"/>
      <c r="CB65" s="307"/>
      <c r="CC65" s="307"/>
      <c r="CD65" s="307"/>
      <c r="CE65" s="307"/>
      <c r="CF65" s="307"/>
      <c r="CG65" s="307"/>
      <c r="CH65" s="307"/>
      <c r="CI65" s="307"/>
      <c r="CJ65" s="307"/>
      <c r="CK65" s="307"/>
      <c r="CL65" s="307"/>
      <c r="CM65" s="307"/>
      <c r="CN65" s="307"/>
      <c r="CO65" s="307"/>
      <c r="CP65" s="307"/>
      <c r="CQ65" s="307"/>
      <c r="CR65" s="307"/>
      <c r="CS65" s="307"/>
      <c r="CT65" s="37"/>
      <c r="CU65" s="49"/>
      <c r="CV65" s="49"/>
      <c r="CW65" s="49"/>
      <c r="CX65" s="5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</row>
    <row r="66" spans="1:144" s="94" customFormat="1" ht="15" customHeight="1" x14ac:dyDescent="0.2">
      <c r="A66" s="226"/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113"/>
      <c r="M66" s="606"/>
      <c r="N66" s="606"/>
      <c r="O66" s="606"/>
      <c r="P66" s="606"/>
      <c r="Q66" s="49"/>
      <c r="R66" s="49"/>
      <c r="S66" s="49"/>
      <c r="T66" s="49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307"/>
      <c r="AG66" s="307"/>
      <c r="AH66" s="307"/>
      <c r="AI66" s="307"/>
      <c r="AJ66" s="307"/>
      <c r="AK66" s="307"/>
      <c r="AL66" s="307"/>
      <c r="AM66" s="307"/>
      <c r="AN66" s="308"/>
      <c r="AO66" s="226"/>
      <c r="AP66" s="58"/>
      <c r="AQ66" s="226"/>
      <c r="AR66" s="58"/>
      <c r="AS66" s="157"/>
      <c r="AT66" s="157"/>
      <c r="AU66" s="157"/>
      <c r="AV66" s="157"/>
      <c r="AW66" s="157"/>
      <c r="AX66" s="157"/>
      <c r="AY66" s="157"/>
      <c r="AZ66" s="157"/>
      <c r="BA66" s="157"/>
      <c r="BB66" s="226"/>
      <c r="BC66" s="226"/>
      <c r="BD66" s="226"/>
      <c r="BE66" s="226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7"/>
      <c r="BR66" s="307"/>
      <c r="BS66" s="307"/>
      <c r="BT66" s="307"/>
      <c r="BU66" s="307"/>
      <c r="BV66" s="307"/>
      <c r="BW66" s="307"/>
      <c r="BX66" s="307"/>
      <c r="BY66" s="307"/>
      <c r="BZ66" s="307"/>
      <c r="CA66" s="307"/>
      <c r="CB66" s="307"/>
      <c r="CC66" s="307"/>
      <c r="CD66" s="307"/>
      <c r="CE66" s="307"/>
      <c r="CF66" s="307"/>
      <c r="CG66" s="307"/>
      <c r="CH66" s="307"/>
      <c r="CI66" s="307"/>
      <c r="CJ66" s="307"/>
      <c r="CK66" s="307"/>
      <c r="CL66" s="307"/>
      <c r="CM66" s="307"/>
      <c r="CN66" s="307"/>
      <c r="CO66" s="307"/>
      <c r="CP66" s="307"/>
      <c r="CQ66" s="307"/>
      <c r="CR66" s="307"/>
      <c r="CS66" s="307"/>
      <c r="CT66" s="226"/>
      <c r="CU66" s="226"/>
      <c r="CV66" s="226"/>
      <c r="CW66" s="226"/>
      <c r="CX66" s="22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</row>
    <row r="67" spans="1:144" s="94" customFormat="1" ht="15" customHeight="1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113"/>
      <c r="M67" s="606"/>
      <c r="N67" s="606"/>
      <c r="O67" s="606"/>
      <c r="P67" s="606"/>
      <c r="Q67" s="49"/>
      <c r="R67" s="49"/>
      <c r="S67" s="49"/>
      <c r="T67" s="49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157"/>
      <c r="AT67" s="157"/>
      <c r="AU67" s="157"/>
      <c r="AV67" s="157"/>
      <c r="AW67" s="157"/>
      <c r="AX67" s="157"/>
      <c r="AY67" s="157"/>
      <c r="AZ67" s="157"/>
      <c r="BA67" s="157"/>
      <c r="BB67" s="226"/>
      <c r="BC67" s="226"/>
      <c r="BD67" s="226"/>
      <c r="BE67" s="226"/>
      <c r="BF67" s="307"/>
      <c r="BG67" s="307"/>
      <c r="BH67" s="307"/>
      <c r="BI67" s="307"/>
      <c r="BJ67" s="307"/>
      <c r="BK67" s="307"/>
      <c r="BL67" s="307"/>
      <c r="BM67" s="307"/>
      <c r="BN67" s="307"/>
      <c r="BO67" s="307"/>
      <c r="BP67" s="307"/>
      <c r="BQ67" s="307"/>
      <c r="BR67" s="307"/>
      <c r="BS67" s="307"/>
      <c r="BT67" s="307"/>
      <c r="BU67" s="307"/>
      <c r="BV67" s="307"/>
      <c r="BW67" s="307"/>
      <c r="BX67" s="307"/>
      <c r="BY67" s="307"/>
      <c r="BZ67" s="307"/>
      <c r="CA67" s="307"/>
      <c r="CB67" s="307"/>
      <c r="CC67" s="307"/>
      <c r="CD67" s="307"/>
      <c r="CE67" s="307"/>
      <c r="CF67" s="307"/>
      <c r="CG67" s="307"/>
      <c r="CH67" s="307"/>
      <c r="CI67" s="307"/>
      <c r="CJ67" s="307"/>
      <c r="CK67" s="307"/>
      <c r="CL67" s="307"/>
      <c r="CM67" s="307"/>
      <c r="CN67" s="307"/>
      <c r="CO67" s="307"/>
      <c r="CP67" s="307"/>
      <c r="CQ67" s="307"/>
      <c r="CR67" s="307"/>
      <c r="CS67" s="307"/>
      <c r="CT67" s="226"/>
      <c r="CU67" s="226"/>
      <c r="CV67" s="226"/>
      <c r="CW67" s="226"/>
      <c r="CX67" s="226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</row>
    <row r="68" spans="1:144" s="94" customFormat="1" ht="15" customHeight="1" x14ac:dyDescent="0.2">
      <c r="A68" s="226"/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113"/>
      <c r="M68" s="606"/>
      <c r="N68" s="606"/>
      <c r="O68" s="606"/>
      <c r="P68" s="606"/>
      <c r="Q68" s="49"/>
      <c r="R68" s="49"/>
      <c r="S68" s="49"/>
      <c r="T68" s="49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26"/>
      <c r="AQ68" s="226"/>
      <c r="AR68" s="226"/>
      <c r="AS68" s="157"/>
      <c r="AT68" s="157"/>
      <c r="AU68" s="157"/>
      <c r="AV68" s="157"/>
      <c r="AW68" s="157"/>
      <c r="AX68" s="157"/>
      <c r="AY68" s="157"/>
      <c r="AZ68" s="157"/>
      <c r="BA68" s="157"/>
      <c r="BB68" s="124"/>
      <c r="BC68" s="226"/>
      <c r="BD68" s="226"/>
      <c r="BE68" s="226"/>
      <c r="BF68" s="307"/>
      <c r="BG68" s="307"/>
      <c r="BH68" s="307"/>
      <c r="BI68" s="307"/>
      <c r="BJ68" s="307"/>
      <c r="BK68" s="307"/>
      <c r="BL68" s="307"/>
      <c r="BM68" s="307"/>
      <c r="BN68" s="307"/>
      <c r="BO68" s="307"/>
      <c r="BP68" s="307"/>
      <c r="BQ68" s="307"/>
      <c r="BR68" s="307"/>
      <c r="BS68" s="307"/>
      <c r="BT68" s="307"/>
      <c r="BU68" s="307"/>
      <c r="BV68" s="307"/>
      <c r="BW68" s="307"/>
      <c r="BX68" s="307"/>
      <c r="BY68" s="307"/>
      <c r="BZ68" s="307"/>
      <c r="CA68" s="307"/>
      <c r="CB68" s="307"/>
      <c r="CC68" s="307"/>
      <c r="CD68" s="307"/>
      <c r="CE68" s="307"/>
      <c r="CF68" s="307"/>
      <c r="CG68" s="307"/>
      <c r="CH68" s="307"/>
      <c r="CI68" s="307"/>
      <c r="CJ68" s="307"/>
      <c r="CK68" s="307"/>
      <c r="CL68" s="307"/>
      <c r="CM68" s="307"/>
      <c r="CN68" s="307"/>
      <c r="CO68" s="307"/>
      <c r="CP68" s="307"/>
      <c r="CQ68" s="307"/>
      <c r="CR68" s="307"/>
      <c r="CS68" s="307"/>
      <c r="CT68" s="226"/>
      <c r="CU68" s="226"/>
      <c r="CV68" s="226"/>
      <c r="CW68" s="226"/>
      <c r="CX68" s="226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</row>
    <row r="69" spans="1:144" s="94" customFormat="1" ht="15" customHeight="1" x14ac:dyDescent="0.2">
      <c r="A69" s="226"/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113"/>
      <c r="M69" s="606"/>
      <c r="N69" s="606"/>
      <c r="O69" s="606"/>
      <c r="P69" s="606"/>
      <c r="Q69" s="49"/>
      <c r="R69" s="49"/>
      <c r="S69" s="49"/>
      <c r="T69" s="49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26"/>
      <c r="AQ69" s="226"/>
      <c r="AR69" s="226"/>
      <c r="AS69" s="157"/>
      <c r="AT69" s="157"/>
      <c r="AU69" s="157"/>
      <c r="AV69" s="157"/>
      <c r="AW69" s="157"/>
      <c r="AX69" s="157"/>
      <c r="AY69" s="157"/>
      <c r="AZ69" s="157"/>
      <c r="BA69" s="157"/>
      <c r="BB69" s="226"/>
      <c r="BC69" s="226"/>
      <c r="BD69" s="226"/>
      <c r="BE69" s="226"/>
      <c r="BF69" s="307"/>
      <c r="BG69" s="307"/>
      <c r="BH69" s="307"/>
      <c r="BI69" s="307"/>
      <c r="BJ69" s="307"/>
      <c r="BK69" s="307"/>
      <c r="BL69" s="307"/>
      <c r="BM69" s="307"/>
      <c r="BN69" s="307"/>
      <c r="BO69" s="307"/>
      <c r="BP69" s="307"/>
      <c r="BQ69" s="307"/>
      <c r="BR69" s="307"/>
      <c r="BS69" s="307"/>
      <c r="BT69" s="307"/>
      <c r="BU69" s="307"/>
      <c r="BV69" s="307"/>
      <c r="BW69" s="307"/>
      <c r="BX69" s="307"/>
      <c r="BY69" s="307"/>
      <c r="BZ69" s="307"/>
      <c r="CA69" s="307"/>
      <c r="CB69" s="307"/>
      <c r="CC69" s="307"/>
      <c r="CD69" s="307"/>
      <c r="CE69" s="307"/>
      <c r="CF69" s="307"/>
      <c r="CG69" s="307"/>
      <c r="CH69" s="307"/>
      <c r="CI69" s="307"/>
      <c r="CJ69" s="307"/>
      <c r="CK69" s="307"/>
      <c r="CL69" s="307"/>
      <c r="CM69" s="307"/>
      <c r="CN69" s="307"/>
      <c r="CO69" s="307"/>
      <c r="CP69" s="307"/>
      <c r="CQ69" s="307"/>
      <c r="CR69" s="307"/>
      <c r="CS69" s="307"/>
      <c r="CT69" s="226"/>
      <c r="CU69" s="226"/>
      <c r="CV69" s="226"/>
      <c r="CW69" s="226"/>
      <c r="CX69" s="226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</row>
    <row r="70" spans="1:144" s="94" customFormat="1" ht="15" customHeight="1" x14ac:dyDescent="0.2">
      <c r="A70" s="226"/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113"/>
      <c r="M70" s="606"/>
      <c r="N70" s="606"/>
      <c r="O70" s="606"/>
      <c r="P70" s="606"/>
      <c r="Q70" s="49"/>
      <c r="R70" s="49"/>
      <c r="S70" s="49"/>
      <c r="T70" s="49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157"/>
      <c r="AT70" s="157"/>
      <c r="AU70" s="157"/>
      <c r="AV70" s="157"/>
      <c r="AW70" s="157"/>
      <c r="AX70" s="157"/>
      <c r="AY70" s="157"/>
      <c r="AZ70" s="157"/>
      <c r="BA70" s="157"/>
      <c r="BB70" s="226"/>
      <c r="BC70" s="226"/>
      <c r="BD70" s="226"/>
      <c r="BE70" s="226"/>
      <c r="BF70" s="307"/>
      <c r="BG70" s="307"/>
      <c r="BH70" s="307"/>
      <c r="BI70" s="307"/>
      <c r="BJ70" s="307"/>
      <c r="BK70" s="307"/>
      <c r="BL70" s="307"/>
      <c r="BM70" s="307"/>
      <c r="BN70" s="307"/>
      <c r="BO70" s="307"/>
      <c r="BP70" s="307"/>
      <c r="BQ70" s="307"/>
      <c r="BR70" s="307"/>
      <c r="BS70" s="307"/>
      <c r="BT70" s="307"/>
      <c r="BU70" s="307"/>
      <c r="BV70" s="307"/>
      <c r="BW70" s="307"/>
      <c r="BX70" s="307"/>
      <c r="BY70" s="307"/>
      <c r="BZ70" s="307"/>
      <c r="CA70" s="307"/>
      <c r="CB70" s="307"/>
      <c r="CC70" s="307"/>
      <c r="CD70" s="307"/>
      <c r="CE70" s="307"/>
      <c r="CF70" s="307"/>
      <c r="CG70" s="307"/>
      <c r="CH70" s="307"/>
      <c r="CI70" s="307"/>
      <c r="CJ70" s="307"/>
      <c r="CK70" s="307"/>
      <c r="CL70" s="307"/>
      <c r="CM70" s="307"/>
      <c r="CN70" s="307"/>
      <c r="CO70" s="307"/>
      <c r="CP70" s="307"/>
      <c r="CQ70" s="307"/>
      <c r="CR70" s="307"/>
      <c r="CS70" s="307"/>
      <c r="CT70" s="226"/>
      <c r="CU70" s="226"/>
      <c r="CV70" s="226"/>
      <c r="CW70" s="226"/>
      <c r="CX70" s="226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</row>
    <row r="71" spans="1:144" s="94" customFormat="1" ht="15" customHeight="1" x14ac:dyDescent="0.2">
      <c r="A71" s="226"/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113"/>
      <c r="M71" s="606"/>
      <c r="N71" s="606"/>
      <c r="O71" s="606"/>
      <c r="P71" s="606"/>
      <c r="Q71" s="49"/>
      <c r="R71" s="49"/>
      <c r="S71" s="49"/>
      <c r="T71" s="49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157"/>
      <c r="AT71" s="157"/>
      <c r="AU71" s="157"/>
      <c r="AV71" s="157"/>
      <c r="AW71" s="157"/>
      <c r="AX71" s="157"/>
      <c r="AY71" s="157"/>
      <c r="AZ71" s="157"/>
      <c r="BA71" s="157"/>
      <c r="BB71" s="226"/>
      <c r="BC71" s="226"/>
      <c r="BD71" s="226"/>
      <c r="BE71" s="226"/>
      <c r="BF71" s="307"/>
      <c r="BG71" s="307"/>
      <c r="BH71" s="307"/>
      <c r="BI71" s="307"/>
      <c r="BJ71" s="307"/>
      <c r="BK71" s="307"/>
      <c r="BL71" s="307"/>
      <c r="BM71" s="307"/>
      <c r="BN71" s="307"/>
      <c r="BO71" s="307"/>
      <c r="BP71" s="307"/>
      <c r="BQ71" s="307"/>
      <c r="BR71" s="307"/>
      <c r="BS71" s="307"/>
      <c r="BT71" s="307"/>
      <c r="BU71" s="307"/>
      <c r="BV71" s="307"/>
      <c r="BW71" s="307"/>
      <c r="BX71" s="307"/>
      <c r="BY71" s="307"/>
      <c r="BZ71" s="307"/>
      <c r="CA71" s="307"/>
      <c r="CB71" s="307"/>
      <c r="CC71" s="307"/>
      <c r="CD71" s="307"/>
      <c r="CE71" s="307"/>
      <c r="CF71" s="307"/>
      <c r="CG71" s="307"/>
      <c r="CH71" s="307"/>
      <c r="CI71" s="307"/>
      <c r="CJ71" s="307"/>
      <c r="CK71" s="307"/>
      <c r="CL71" s="307"/>
      <c r="CM71" s="307"/>
      <c r="CN71" s="307"/>
      <c r="CO71" s="307"/>
      <c r="CP71" s="307"/>
      <c r="CQ71" s="307"/>
      <c r="CR71" s="307"/>
      <c r="CS71" s="307"/>
      <c r="CT71" s="226"/>
      <c r="CU71" s="226"/>
      <c r="CV71" s="226"/>
      <c r="CW71" s="226"/>
      <c r="CX71" s="226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</row>
    <row r="72" spans="1:144" s="94" customFormat="1" ht="15" customHeight="1" x14ac:dyDescent="0.2">
      <c r="A72" s="226"/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113"/>
      <c r="M72" s="606"/>
      <c r="N72" s="606"/>
      <c r="O72" s="606"/>
      <c r="P72" s="606"/>
      <c r="Q72" s="49"/>
      <c r="R72" s="49"/>
      <c r="S72" s="49"/>
      <c r="T72" s="49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157"/>
      <c r="AT72" s="157"/>
      <c r="AU72" s="157"/>
      <c r="AV72" s="157"/>
      <c r="AW72" s="157"/>
      <c r="AX72" s="157"/>
      <c r="AY72" s="157"/>
      <c r="AZ72" s="157"/>
      <c r="BA72" s="157"/>
      <c r="BB72" s="226"/>
      <c r="BC72" s="226"/>
      <c r="BD72" s="226"/>
      <c r="BE72" s="226"/>
      <c r="BF72" s="307"/>
      <c r="BG72" s="307"/>
      <c r="BH72" s="307"/>
      <c r="BI72" s="307"/>
      <c r="BJ72" s="307"/>
      <c r="BK72" s="307"/>
      <c r="BL72" s="307"/>
      <c r="BM72" s="307"/>
      <c r="BN72" s="307"/>
      <c r="BO72" s="307"/>
      <c r="BP72" s="307"/>
      <c r="BQ72" s="307"/>
      <c r="BR72" s="307"/>
      <c r="BS72" s="307"/>
      <c r="BT72" s="307"/>
      <c r="BU72" s="307"/>
      <c r="BV72" s="307"/>
      <c r="BW72" s="307"/>
      <c r="BX72" s="307"/>
      <c r="BY72" s="307"/>
      <c r="BZ72" s="307"/>
      <c r="CA72" s="307"/>
      <c r="CB72" s="307"/>
      <c r="CC72" s="307"/>
      <c r="CD72" s="307"/>
      <c r="CE72" s="307"/>
      <c r="CF72" s="307"/>
      <c r="CG72" s="307"/>
      <c r="CH72" s="307"/>
      <c r="CI72" s="307"/>
      <c r="CJ72" s="307"/>
      <c r="CK72" s="307"/>
      <c r="CL72" s="307"/>
      <c r="CM72" s="307"/>
      <c r="CN72" s="307"/>
      <c r="CO72" s="307"/>
      <c r="CP72" s="307"/>
      <c r="CQ72" s="307"/>
      <c r="CR72" s="307"/>
      <c r="CS72" s="307"/>
      <c r="CT72" s="226"/>
      <c r="CU72" s="226"/>
      <c r="CV72" s="226"/>
      <c r="CW72" s="226"/>
      <c r="CX72" s="226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</row>
    <row r="73" spans="1:144" s="94" customFormat="1" ht="15" customHeight="1" x14ac:dyDescent="0.2">
      <c r="A73" s="226"/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113"/>
      <c r="M73" s="606"/>
      <c r="N73" s="606"/>
      <c r="O73" s="606"/>
      <c r="P73" s="606"/>
      <c r="Q73" s="49"/>
      <c r="R73" s="49"/>
      <c r="S73" s="49"/>
      <c r="T73" s="49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157"/>
      <c r="AT73" s="157"/>
      <c r="AU73" s="157"/>
      <c r="AV73" s="157"/>
      <c r="AW73" s="157"/>
      <c r="AX73" s="157"/>
      <c r="AY73" s="157"/>
      <c r="AZ73" s="157"/>
      <c r="BA73" s="157"/>
      <c r="BB73" s="226"/>
      <c r="BC73" s="226"/>
      <c r="BD73" s="226"/>
      <c r="BE73" s="226"/>
      <c r="BF73" s="307"/>
      <c r="BG73" s="307"/>
      <c r="BH73" s="307"/>
      <c r="BI73" s="307"/>
      <c r="BJ73" s="307"/>
      <c r="BK73" s="307"/>
      <c r="BL73" s="307"/>
      <c r="BM73" s="307"/>
      <c r="BN73" s="307"/>
      <c r="BO73" s="307"/>
      <c r="BP73" s="307"/>
      <c r="BQ73" s="307"/>
      <c r="BR73" s="307"/>
      <c r="BS73" s="307"/>
      <c r="BT73" s="307"/>
      <c r="BU73" s="307"/>
      <c r="BV73" s="307"/>
      <c r="BW73" s="307"/>
      <c r="BX73" s="307"/>
      <c r="BY73" s="307"/>
      <c r="BZ73" s="307"/>
      <c r="CA73" s="307"/>
      <c r="CB73" s="307"/>
      <c r="CC73" s="307"/>
      <c r="CD73" s="307"/>
      <c r="CE73" s="307"/>
      <c r="CF73" s="307"/>
      <c r="CG73" s="307"/>
      <c r="CH73" s="307"/>
      <c r="CI73" s="307"/>
      <c r="CJ73" s="307"/>
      <c r="CK73" s="307"/>
      <c r="CL73" s="307"/>
      <c r="CM73" s="307"/>
      <c r="CN73" s="307"/>
      <c r="CO73" s="307"/>
      <c r="CP73" s="307"/>
      <c r="CQ73" s="307"/>
      <c r="CR73" s="307"/>
      <c r="CS73" s="307"/>
      <c r="CT73" s="226"/>
      <c r="CU73" s="226"/>
      <c r="CV73" s="226"/>
      <c r="CW73" s="226"/>
      <c r="CX73" s="226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</row>
    <row r="74" spans="1:144" s="94" customFormat="1" ht="15" customHeight="1" x14ac:dyDescent="0.2">
      <c r="A74" s="226"/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113"/>
      <c r="M74" s="606"/>
      <c r="N74" s="606"/>
      <c r="O74" s="606"/>
      <c r="P74" s="606"/>
      <c r="Q74" s="49"/>
      <c r="R74" s="49"/>
      <c r="S74" s="49"/>
      <c r="T74" s="49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157"/>
      <c r="AT74" s="157"/>
      <c r="AU74" s="157"/>
      <c r="AV74" s="157"/>
      <c r="AW74" s="157"/>
      <c r="AX74" s="157"/>
      <c r="AY74" s="157"/>
      <c r="AZ74" s="157"/>
      <c r="BA74" s="157"/>
      <c r="BB74" s="226"/>
      <c r="BC74" s="226"/>
      <c r="BD74" s="226"/>
      <c r="BE74" s="226"/>
      <c r="BF74" s="307"/>
      <c r="BG74" s="307"/>
      <c r="BH74" s="307"/>
      <c r="BI74" s="307"/>
      <c r="BJ74" s="307"/>
      <c r="BK74" s="307"/>
      <c r="BL74" s="307"/>
      <c r="BM74" s="307"/>
      <c r="BN74" s="307"/>
      <c r="BO74" s="307"/>
      <c r="BP74" s="307"/>
      <c r="BQ74" s="307"/>
      <c r="BR74" s="307"/>
      <c r="BS74" s="307"/>
      <c r="BT74" s="307"/>
      <c r="BU74" s="307"/>
      <c r="BV74" s="307"/>
      <c r="BW74" s="307"/>
      <c r="BX74" s="307"/>
      <c r="BY74" s="307"/>
      <c r="BZ74" s="307"/>
      <c r="CA74" s="307"/>
      <c r="CB74" s="307"/>
      <c r="CC74" s="307"/>
      <c r="CD74" s="307"/>
      <c r="CE74" s="307"/>
      <c r="CF74" s="307"/>
      <c r="CG74" s="307"/>
      <c r="CH74" s="307"/>
      <c r="CI74" s="307"/>
      <c r="CJ74" s="307"/>
      <c r="CK74" s="307"/>
      <c r="CL74" s="307"/>
      <c r="CM74" s="307"/>
      <c r="CN74" s="307"/>
      <c r="CO74" s="307"/>
      <c r="CP74" s="307"/>
      <c r="CQ74" s="307"/>
      <c r="CR74" s="307"/>
      <c r="CS74" s="307"/>
      <c r="CT74" s="226"/>
      <c r="CU74" s="226"/>
      <c r="CV74" s="226"/>
      <c r="CW74" s="226"/>
      <c r="CX74" s="226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</row>
    <row r="75" spans="1:144" s="94" customFormat="1" ht="15" customHeight="1" x14ac:dyDescent="0.2">
      <c r="A75" s="226"/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113"/>
      <c r="M75" s="606"/>
      <c r="N75" s="606"/>
      <c r="O75" s="606"/>
      <c r="P75" s="606"/>
      <c r="Q75" s="49"/>
      <c r="R75" s="49"/>
      <c r="S75" s="49"/>
      <c r="T75" s="49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157"/>
      <c r="AT75" s="157"/>
      <c r="AU75" s="157"/>
      <c r="AV75" s="157"/>
      <c r="AW75" s="157"/>
      <c r="AX75" s="157"/>
      <c r="AY75" s="157"/>
      <c r="AZ75" s="157"/>
      <c r="BA75" s="157"/>
      <c r="BB75" s="226"/>
      <c r="BC75" s="226"/>
      <c r="BD75" s="226"/>
      <c r="BE75" s="226"/>
      <c r="BF75" s="307"/>
      <c r="BG75" s="307"/>
      <c r="BH75" s="307"/>
      <c r="BI75" s="307"/>
      <c r="BJ75" s="307"/>
      <c r="BK75" s="307"/>
      <c r="BL75" s="307"/>
      <c r="BM75" s="307"/>
      <c r="BN75" s="307"/>
      <c r="BO75" s="307"/>
      <c r="BP75" s="307"/>
      <c r="BQ75" s="307"/>
      <c r="BR75" s="307"/>
      <c r="BS75" s="307"/>
      <c r="BT75" s="307"/>
      <c r="BU75" s="307"/>
      <c r="BV75" s="307"/>
      <c r="BW75" s="307"/>
      <c r="BX75" s="307"/>
      <c r="BY75" s="307"/>
      <c r="BZ75" s="307"/>
      <c r="CA75" s="307"/>
      <c r="CB75" s="307"/>
      <c r="CC75" s="307"/>
      <c r="CD75" s="307"/>
      <c r="CE75" s="307"/>
      <c r="CF75" s="307"/>
      <c r="CG75" s="307"/>
      <c r="CH75" s="307"/>
      <c r="CI75" s="307"/>
      <c r="CJ75" s="307"/>
      <c r="CK75" s="307"/>
      <c r="CL75" s="307"/>
      <c r="CM75" s="307"/>
      <c r="CN75" s="307"/>
      <c r="CO75" s="307"/>
      <c r="CP75" s="307"/>
      <c r="CQ75" s="307"/>
      <c r="CR75" s="307"/>
      <c r="CS75" s="307"/>
      <c r="CT75" s="226"/>
      <c r="CU75" s="226"/>
      <c r="CV75" s="226"/>
      <c r="CW75" s="226"/>
      <c r="CX75" s="226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</row>
    <row r="76" spans="1:144" s="94" customFormat="1" ht="15" customHeight="1" x14ac:dyDescent="0.2">
      <c r="A76" s="226"/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113"/>
      <c r="M76" s="606"/>
      <c r="N76" s="606"/>
      <c r="O76" s="606"/>
      <c r="P76" s="606"/>
      <c r="Q76" s="49"/>
      <c r="R76" s="49"/>
      <c r="S76" s="49"/>
      <c r="T76" s="49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157"/>
      <c r="AT76" s="157"/>
      <c r="AU76" s="157"/>
      <c r="AV76" s="157"/>
      <c r="AW76" s="157"/>
      <c r="AX76" s="157"/>
      <c r="AY76" s="157"/>
      <c r="AZ76" s="157"/>
      <c r="BA76" s="157"/>
      <c r="BB76" s="226"/>
      <c r="BC76" s="226"/>
      <c r="BD76" s="226"/>
      <c r="BE76" s="226"/>
      <c r="BF76" s="307"/>
      <c r="BG76" s="307"/>
      <c r="BH76" s="307"/>
      <c r="BI76" s="307"/>
      <c r="BJ76" s="307"/>
      <c r="BK76" s="307"/>
      <c r="BL76" s="307"/>
      <c r="BM76" s="307"/>
      <c r="BN76" s="307"/>
      <c r="BO76" s="307"/>
      <c r="BP76" s="307"/>
      <c r="BQ76" s="307"/>
      <c r="BR76" s="307"/>
      <c r="BS76" s="307"/>
      <c r="BT76" s="307"/>
      <c r="BU76" s="307"/>
      <c r="BV76" s="307"/>
      <c r="BW76" s="307"/>
      <c r="BX76" s="307"/>
      <c r="BY76" s="307"/>
      <c r="BZ76" s="307"/>
      <c r="CA76" s="307"/>
      <c r="CB76" s="307"/>
      <c r="CC76" s="307"/>
      <c r="CD76" s="307"/>
      <c r="CE76" s="307"/>
      <c r="CF76" s="307"/>
      <c r="CG76" s="307"/>
      <c r="CH76" s="307"/>
      <c r="CI76" s="307"/>
      <c r="CJ76" s="307"/>
      <c r="CK76" s="307"/>
      <c r="CL76" s="307"/>
      <c r="CM76" s="307"/>
      <c r="CN76" s="307"/>
      <c r="CO76" s="307"/>
      <c r="CP76" s="307"/>
      <c r="CQ76" s="307"/>
      <c r="CR76" s="307"/>
      <c r="CS76" s="307"/>
      <c r="CT76" s="226"/>
      <c r="CU76" s="226"/>
      <c r="CV76" s="226"/>
      <c r="CW76" s="226"/>
      <c r="CX76" s="22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</row>
    <row r="77" spans="1:144" ht="15" customHeight="1" x14ac:dyDescent="0.2">
      <c r="L77" s="113"/>
      <c r="M77" s="606"/>
      <c r="N77" s="606"/>
      <c r="O77" s="606"/>
      <c r="P77" s="606"/>
      <c r="Q77" s="49"/>
      <c r="R77" s="49"/>
      <c r="S77" s="49"/>
      <c r="T77" s="49"/>
      <c r="BF77" s="308"/>
      <c r="BH77" s="58"/>
      <c r="BJ77" s="58"/>
      <c r="BK77" s="307"/>
      <c r="BL77" s="307"/>
      <c r="BM77" s="307"/>
      <c r="BN77" s="307"/>
      <c r="BO77" s="307"/>
      <c r="BP77" s="307"/>
      <c r="BQ77" s="307"/>
      <c r="BR77" s="307"/>
      <c r="BS77" s="307"/>
      <c r="BT77" s="307"/>
      <c r="BU77" s="307"/>
      <c r="BV77" s="307"/>
      <c r="BW77" s="307"/>
      <c r="BX77" s="307"/>
      <c r="BY77" s="307"/>
      <c r="BZ77" s="58"/>
      <c r="CA77" s="58"/>
      <c r="CB77" s="58"/>
      <c r="CC77" s="58"/>
      <c r="CD77" s="58"/>
      <c r="CE77" s="58"/>
      <c r="CF77" s="307"/>
      <c r="CG77" s="307"/>
      <c r="CH77" s="307"/>
      <c r="CI77" s="307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 s="94"/>
      <c r="EJ77" s="94"/>
      <c r="EK77" s="94"/>
      <c r="EL77" s="94"/>
      <c r="EM77" s="94"/>
      <c r="EN77" s="94"/>
    </row>
    <row r="78" spans="1:144" s="125" customFormat="1" ht="15" customHeight="1" x14ac:dyDescent="0.2">
      <c r="A78" s="226"/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113"/>
      <c r="M78" s="606"/>
      <c r="N78" s="606"/>
      <c r="O78" s="606"/>
      <c r="P78" s="606"/>
      <c r="Q78" s="49"/>
      <c r="R78" s="49"/>
      <c r="S78" s="49"/>
      <c r="T78" s="49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226"/>
      <c r="AQ78" s="226"/>
      <c r="AR78" s="226"/>
      <c r="AS78" s="157"/>
      <c r="AT78" s="157"/>
      <c r="AU78" s="157"/>
      <c r="AV78" s="157"/>
      <c r="AW78" s="157"/>
      <c r="AX78" s="157"/>
      <c r="AY78" s="157"/>
      <c r="AZ78" s="157"/>
      <c r="BA78" s="157"/>
      <c r="BB78" s="226"/>
      <c r="BC78" s="226"/>
      <c r="BD78" s="226"/>
      <c r="BE78" s="226"/>
      <c r="BF78" s="226"/>
      <c r="BG78" s="226"/>
      <c r="BH78" s="226"/>
      <c r="BI78" s="226"/>
      <c r="BJ78" s="226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226"/>
      <c r="CA78" s="226"/>
      <c r="CB78" s="226"/>
      <c r="CC78" s="226"/>
      <c r="CD78" s="226"/>
      <c r="CE78" s="226"/>
      <c r="CF78" s="58"/>
      <c r="CG78" s="58"/>
      <c r="CH78" s="58"/>
      <c r="CI78" s="58"/>
      <c r="CJ78" s="226"/>
      <c r="CK78" s="226"/>
      <c r="CL78" s="226"/>
      <c r="CM78" s="226"/>
      <c r="CN78" s="226"/>
      <c r="CO78" s="226"/>
      <c r="CP78" s="226"/>
      <c r="CQ78" s="226"/>
      <c r="CR78" s="226"/>
      <c r="CS78" s="226"/>
      <c r="CT78" s="226"/>
      <c r="CU78" s="226"/>
      <c r="CV78" s="226"/>
      <c r="CW78" s="226"/>
      <c r="CX78" s="226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 s="94"/>
      <c r="EF78" s="94"/>
      <c r="EG78" s="94"/>
      <c r="EH78" s="94"/>
      <c r="EI78" s="94"/>
      <c r="EJ78" s="94"/>
      <c r="EK78" s="94"/>
      <c r="EL78" s="94"/>
      <c r="EM78" s="94"/>
      <c r="EN78" s="94"/>
    </row>
    <row r="79" spans="1:144" ht="15" customHeight="1" x14ac:dyDescent="0.2">
      <c r="L79" s="113"/>
      <c r="M79" s="606"/>
      <c r="N79" s="606"/>
      <c r="O79" s="606"/>
      <c r="P79" s="606"/>
      <c r="Q79" s="49"/>
      <c r="R79" s="49"/>
      <c r="S79" s="49"/>
      <c r="T79" s="4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 s="94"/>
      <c r="EJ79" s="94"/>
      <c r="EK79" s="94"/>
      <c r="EL79" s="94"/>
      <c r="EM79" s="94"/>
      <c r="EN79" s="94"/>
    </row>
    <row r="80" spans="1:144" ht="15" customHeight="1" x14ac:dyDescent="0.2">
      <c r="L80" s="113"/>
      <c r="M80" s="606"/>
      <c r="N80" s="606"/>
      <c r="O80" s="606"/>
      <c r="P80" s="606"/>
      <c r="Q80" s="49"/>
      <c r="R80" s="49"/>
      <c r="S80" s="49"/>
      <c r="T80" s="49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 s="94"/>
      <c r="EJ80" s="94"/>
      <c r="EK80" s="94"/>
      <c r="EL80" s="94"/>
      <c r="EM80" s="94"/>
      <c r="EN80" s="94"/>
    </row>
    <row r="81" spans="12:144" ht="15" customHeight="1" x14ac:dyDescent="0.2">
      <c r="L81" s="113"/>
      <c r="M81" s="606"/>
      <c r="N81" s="606"/>
      <c r="O81" s="606"/>
      <c r="P81" s="606"/>
      <c r="Q81" s="49"/>
      <c r="R81" s="49"/>
      <c r="S81" s="49"/>
      <c r="T81" s="49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 s="94"/>
      <c r="EJ81" s="94"/>
      <c r="EK81" s="94"/>
      <c r="EL81" s="94"/>
      <c r="EM81" s="94"/>
      <c r="EN81" s="94"/>
    </row>
    <row r="82" spans="12:144" ht="15" customHeight="1" x14ac:dyDescent="0.2">
      <c r="L82" s="113"/>
      <c r="M82" s="606"/>
      <c r="N82" s="606"/>
      <c r="O82" s="606"/>
      <c r="P82" s="606"/>
      <c r="Q82" s="49"/>
      <c r="R82" s="49"/>
      <c r="S82" s="49"/>
      <c r="T82" s="49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 s="94"/>
      <c r="EJ82" s="94"/>
      <c r="EK82" s="94"/>
      <c r="EL82" s="94"/>
      <c r="EM82" s="94"/>
      <c r="EN82" s="94"/>
    </row>
    <row r="83" spans="12:144" ht="15" customHeight="1" x14ac:dyDescent="0.2">
      <c r="L83" s="113"/>
      <c r="M83" s="606"/>
      <c r="N83" s="606"/>
      <c r="O83" s="606"/>
      <c r="P83" s="606"/>
      <c r="Q83" s="49"/>
      <c r="R83" s="49"/>
      <c r="S83" s="49"/>
      <c r="T83" s="49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 s="94"/>
      <c r="EJ83" s="94"/>
      <c r="EK83" s="94"/>
      <c r="EL83" s="94"/>
      <c r="EM83" s="94"/>
      <c r="EN83" s="94"/>
    </row>
    <row r="84" spans="12:144" ht="15" customHeight="1" x14ac:dyDescent="0.2">
      <c r="L84" s="113"/>
      <c r="M84" s="606"/>
      <c r="N84" s="606"/>
      <c r="O84" s="606"/>
      <c r="P84" s="606"/>
      <c r="Q84" s="49"/>
      <c r="R84" s="49"/>
      <c r="S84" s="49"/>
      <c r="T84" s="49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 s="94"/>
      <c r="EJ84" s="94"/>
      <c r="EK84" s="94"/>
      <c r="EL84" s="94"/>
      <c r="EM84" s="94"/>
      <c r="EN84" s="94"/>
    </row>
    <row r="85" spans="12:144" ht="15" customHeight="1" x14ac:dyDescent="0.2">
      <c r="L85" s="113"/>
      <c r="M85" s="606"/>
      <c r="N85" s="606"/>
      <c r="O85" s="606"/>
      <c r="P85" s="606"/>
      <c r="Q85" s="49"/>
      <c r="R85" s="49"/>
      <c r="S85" s="49"/>
      <c r="T85" s="49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 s="94"/>
      <c r="EJ85" s="94"/>
      <c r="EK85" s="94"/>
      <c r="EL85" s="94"/>
      <c r="EM85" s="94"/>
      <c r="EN85" s="94"/>
    </row>
    <row r="86" spans="12:144" ht="15" customHeight="1" x14ac:dyDescent="0.2">
      <c r="L86" s="113"/>
      <c r="M86" s="606"/>
      <c r="N86" s="606"/>
      <c r="O86" s="606"/>
      <c r="P86" s="606"/>
      <c r="Q86" s="49"/>
      <c r="R86" s="49"/>
      <c r="S86" s="49"/>
      <c r="T86" s="49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 s="94"/>
      <c r="EJ86" s="94"/>
      <c r="EK86" s="94"/>
      <c r="EL86" s="94"/>
      <c r="EM86" s="94"/>
      <c r="EN86" s="94"/>
    </row>
    <row r="87" spans="12:144" ht="15" customHeight="1" x14ac:dyDescent="0.2">
      <c r="L87" s="113"/>
      <c r="M87" s="606"/>
      <c r="N87" s="606"/>
      <c r="O87" s="606"/>
      <c r="P87" s="606"/>
      <c r="Q87" s="49"/>
      <c r="R87" s="49"/>
      <c r="S87" s="49"/>
      <c r="T87" s="49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 s="94"/>
      <c r="EJ87" s="94"/>
      <c r="EK87" s="94"/>
      <c r="EL87" s="94"/>
      <c r="EM87" s="94"/>
      <c r="EN87" s="94"/>
    </row>
    <row r="88" spans="12:144" ht="15" customHeight="1" x14ac:dyDescent="0.2">
      <c r="L88" s="113"/>
      <c r="N88" s="49"/>
      <c r="O88" s="49"/>
      <c r="P88" s="49"/>
      <c r="Q88" s="49"/>
      <c r="R88" s="49"/>
      <c r="S88" s="49"/>
      <c r="T88" s="49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 s="94"/>
      <c r="EJ88" s="94"/>
      <c r="EK88" s="94"/>
      <c r="EL88" s="94"/>
      <c r="EM88" s="94"/>
      <c r="EN88" s="94"/>
    </row>
    <row r="89" spans="12:144" ht="15" customHeight="1" x14ac:dyDescent="0.2">
      <c r="L89" s="113"/>
      <c r="N89" s="49"/>
      <c r="O89" s="49"/>
      <c r="P89" s="49"/>
      <c r="Q89" s="49"/>
      <c r="R89" s="49"/>
      <c r="S89" s="49"/>
      <c r="T89" s="4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 s="94"/>
      <c r="EJ89" s="94"/>
      <c r="EK89" s="94"/>
      <c r="EL89" s="94"/>
      <c r="EM89" s="94"/>
      <c r="EN89" s="94"/>
    </row>
    <row r="90" spans="12:144" ht="15" customHeight="1" x14ac:dyDescent="0.2">
      <c r="L90" s="113"/>
      <c r="N90" s="49"/>
      <c r="O90" s="49"/>
      <c r="P90" s="49"/>
      <c r="Q90" s="49"/>
      <c r="R90" s="49"/>
      <c r="S90" s="49"/>
      <c r="T90" s="49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 s="94"/>
      <c r="EJ90" s="94"/>
    </row>
    <row r="91" spans="12:144" ht="15" customHeight="1" x14ac:dyDescent="0.2">
      <c r="L91" s="113"/>
      <c r="N91" s="49"/>
      <c r="O91" s="49"/>
      <c r="P91" s="49"/>
      <c r="Q91" s="49"/>
      <c r="R91" s="49"/>
      <c r="S91" s="49"/>
      <c r="T91" s="49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 s="94"/>
      <c r="EJ91" s="94"/>
    </row>
    <row r="92" spans="12:144" ht="15" customHeight="1" x14ac:dyDescent="0.2">
      <c r="L92" s="113"/>
      <c r="N92" s="49"/>
      <c r="O92" s="49"/>
      <c r="P92" s="49"/>
      <c r="Q92" s="49"/>
      <c r="R92" s="49"/>
      <c r="S92" s="49"/>
      <c r="T92" s="49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 s="94"/>
      <c r="EJ92" s="94"/>
    </row>
    <row r="93" spans="12:144" ht="15" customHeight="1" x14ac:dyDescent="0.2">
      <c r="L93" s="113"/>
      <c r="N93" s="49"/>
      <c r="O93" s="49"/>
      <c r="P93" s="49"/>
      <c r="Q93" s="49"/>
      <c r="R93" s="49"/>
      <c r="S93" s="49"/>
      <c r="T93" s="49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 s="94"/>
      <c r="EJ93" s="94"/>
    </row>
    <row r="94" spans="12:144" ht="15" customHeight="1" x14ac:dyDescent="0.2">
      <c r="L94" s="113"/>
      <c r="N94" s="49"/>
      <c r="O94" s="49"/>
      <c r="P94" s="49"/>
      <c r="Q94" s="49"/>
      <c r="R94" s="49"/>
      <c r="S94" s="49"/>
      <c r="T94" s="49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 s="94"/>
      <c r="EJ94" s="94"/>
    </row>
    <row r="95" spans="12:144" ht="15" customHeight="1" x14ac:dyDescent="0.2">
      <c r="L95" s="113"/>
      <c r="N95" s="49"/>
      <c r="O95" s="49"/>
      <c r="P95" s="49"/>
      <c r="Q95" s="49"/>
      <c r="R95" s="49"/>
      <c r="S95" s="49"/>
      <c r="T95" s="49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 s="94"/>
      <c r="EJ95" s="94"/>
    </row>
    <row r="96" spans="12:144" ht="15" customHeight="1" x14ac:dyDescent="0.2">
      <c r="L96" s="113"/>
      <c r="N96" s="49"/>
      <c r="O96" s="49"/>
      <c r="P96" s="49"/>
      <c r="Q96" s="49"/>
      <c r="R96" s="49"/>
      <c r="S96" s="49"/>
      <c r="T96" s="49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 s="94"/>
      <c r="EJ96" s="94"/>
    </row>
    <row r="97" spans="12:140" ht="15" customHeight="1" x14ac:dyDescent="0.2">
      <c r="L97" s="113"/>
      <c r="N97" s="49"/>
      <c r="O97" s="49"/>
      <c r="P97" s="49"/>
      <c r="Q97" s="49"/>
      <c r="R97" s="49"/>
      <c r="S97" s="49"/>
      <c r="T97" s="49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 s="94"/>
      <c r="EJ97" s="94"/>
    </row>
    <row r="98" spans="12:140" ht="15" customHeight="1" x14ac:dyDescent="0.2">
      <c r="L98" s="113"/>
      <c r="N98" s="49"/>
      <c r="O98" s="49"/>
      <c r="P98" s="49"/>
      <c r="Q98" s="49"/>
      <c r="R98" s="49"/>
      <c r="S98" s="49"/>
      <c r="T98" s="49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 s="94"/>
      <c r="EJ98" s="94"/>
    </row>
    <row r="99" spans="12:140" ht="15" customHeight="1" x14ac:dyDescent="0.2">
      <c r="L99" s="113"/>
      <c r="N99" s="49"/>
      <c r="O99" s="49"/>
      <c r="P99" s="49"/>
      <c r="Q99" s="49"/>
      <c r="R99" s="49"/>
      <c r="S99" s="49"/>
      <c r="T99" s="4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 s="94"/>
      <c r="EJ99" s="94"/>
    </row>
    <row r="100" spans="12:140" ht="15" customHeight="1" x14ac:dyDescent="0.2">
      <c r="L100" s="113"/>
      <c r="N100" s="49"/>
      <c r="O100" s="49"/>
      <c r="P100" s="49"/>
      <c r="Q100" s="49"/>
      <c r="R100" s="49"/>
      <c r="S100" s="49"/>
      <c r="T100" s="49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 s="94"/>
      <c r="EJ100" s="94"/>
    </row>
    <row r="101" spans="12:140" ht="15" customHeight="1" x14ac:dyDescent="0.2">
      <c r="L101" s="113"/>
      <c r="N101" s="49"/>
      <c r="O101" s="49"/>
      <c r="P101" s="49"/>
      <c r="Q101" s="49"/>
      <c r="R101" s="49"/>
      <c r="S101" s="49"/>
      <c r="T101" s="49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 s="94"/>
      <c r="EJ101" s="94"/>
    </row>
    <row r="102" spans="12:140" ht="15" customHeight="1" x14ac:dyDescent="0.2">
      <c r="L102" s="113"/>
      <c r="N102" s="49"/>
      <c r="O102" s="49"/>
      <c r="P102" s="49"/>
      <c r="Q102" s="49"/>
      <c r="R102" s="49"/>
      <c r="S102" s="49"/>
      <c r="T102" s="49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 s="94"/>
      <c r="EJ102" s="94"/>
    </row>
    <row r="103" spans="12:140" ht="15" customHeight="1" x14ac:dyDescent="0.2">
      <c r="L103" s="113"/>
      <c r="N103" s="49"/>
      <c r="O103" s="49"/>
      <c r="P103" s="49"/>
      <c r="Q103" s="49"/>
      <c r="R103" s="49"/>
      <c r="S103" s="49"/>
      <c r="T103" s="49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 s="94"/>
      <c r="EJ103" s="94"/>
    </row>
    <row r="104" spans="12:140" ht="15" customHeight="1" x14ac:dyDescent="0.2">
      <c r="L104" s="113"/>
      <c r="N104" s="49"/>
      <c r="O104" s="49"/>
      <c r="P104" s="49"/>
      <c r="Q104" s="49"/>
      <c r="R104" s="49"/>
      <c r="S104" s="49"/>
      <c r="T104" s="49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 s="94"/>
      <c r="EJ104" s="94"/>
    </row>
    <row r="105" spans="12:140" ht="15" customHeight="1" x14ac:dyDescent="0.2">
      <c r="L105" s="113"/>
      <c r="N105" s="49"/>
      <c r="O105" s="49"/>
      <c r="P105" s="49"/>
      <c r="Q105" s="49"/>
      <c r="R105" s="49"/>
      <c r="S105" s="49"/>
      <c r="T105" s="49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 s="94"/>
      <c r="EJ105" s="94"/>
    </row>
    <row r="106" spans="12:140" ht="15" customHeight="1" x14ac:dyDescent="0.2">
      <c r="L106" s="113"/>
      <c r="N106" s="49"/>
      <c r="O106" s="49"/>
      <c r="P106" s="49"/>
      <c r="Q106" s="49"/>
      <c r="R106" s="49"/>
      <c r="S106" s="49"/>
      <c r="T106" s="49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 s="94"/>
      <c r="EJ106" s="94"/>
    </row>
    <row r="107" spans="12:140" ht="15" customHeight="1" x14ac:dyDescent="0.2">
      <c r="L107" s="113"/>
      <c r="N107" s="49"/>
      <c r="O107" s="49"/>
      <c r="P107" s="49"/>
      <c r="Q107" s="49"/>
      <c r="R107" s="49"/>
      <c r="S107" s="49"/>
      <c r="T107" s="49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 s="94"/>
      <c r="EJ107" s="94"/>
    </row>
    <row r="108" spans="12:140" ht="15" customHeight="1" x14ac:dyDescent="0.2">
      <c r="L108" s="113"/>
      <c r="N108" s="49"/>
      <c r="O108" s="49"/>
      <c r="P108" s="49"/>
      <c r="Q108" s="49"/>
      <c r="R108" s="49"/>
      <c r="S108" s="49"/>
      <c r="T108" s="49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 s="94"/>
      <c r="EJ108" s="94"/>
    </row>
    <row r="109" spans="12:140" ht="15" customHeight="1" x14ac:dyDescent="0.2">
      <c r="L109" s="113"/>
      <c r="N109" s="49"/>
      <c r="O109" s="49"/>
      <c r="P109" s="49"/>
      <c r="Q109" s="49"/>
      <c r="R109" s="49"/>
      <c r="S109" s="49"/>
      <c r="T109" s="4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 s="94"/>
      <c r="EJ109" s="94"/>
    </row>
    <row r="110" spans="12:140" ht="15" customHeight="1" x14ac:dyDescent="0.2">
      <c r="L110" s="113"/>
      <c r="N110" s="49"/>
      <c r="O110" s="49"/>
      <c r="P110" s="49"/>
      <c r="Q110" s="49"/>
      <c r="R110" s="49"/>
      <c r="S110" s="49"/>
      <c r="T110" s="49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 s="94"/>
      <c r="EJ110" s="94"/>
    </row>
    <row r="111" spans="12:140" ht="15" customHeight="1" x14ac:dyDescent="0.2">
      <c r="N111" s="49"/>
      <c r="O111" s="49"/>
      <c r="P111" s="49"/>
      <c r="Q111" s="49"/>
      <c r="R111" s="49"/>
      <c r="S111" s="49"/>
      <c r="T111" s="49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 s="94"/>
      <c r="EJ111" s="94"/>
    </row>
    <row r="112" spans="12:140" ht="15" customHeight="1" x14ac:dyDescent="0.2">
      <c r="N112" s="49"/>
      <c r="O112" s="49"/>
      <c r="P112" s="49"/>
      <c r="Q112" s="49"/>
      <c r="R112" s="49"/>
      <c r="S112" s="49"/>
      <c r="T112" s="49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 s="94"/>
      <c r="EJ112" s="94"/>
    </row>
    <row r="113" spans="14:140" ht="15" customHeight="1" x14ac:dyDescent="0.2">
      <c r="N113" s="49"/>
      <c r="O113" s="49"/>
      <c r="P113" s="49"/>
      <c r="Q113" s="49"/>
      <c r="R113" s="49"/>
      <c r="S113" s="49"/>
      <c r="T113" s="49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 s="94"/>
      <c r="EJ113" s="94"/>
    </row>
    <row r="114" spans="14:140" ht="15" customHeight="1" x14ac:dyDescent="0.2">
      <c r="N114" s="49"/>
      <c r="O114" s="49"/>
      <c r="P114" s="49"/>
      <c r="Q114" s="49"/>
      <c r="R114" s="49"/>
      <c r="S114" s="49"/>
      <c r="T114" s="49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 s="94"/>
      <c r="EJ114" s="94"/>
    </row>
    <row r="115" spans="14:140" ht="15" customHeight="1" x14ac:dyDescent="0.2">
      <c r="N115" s="49"/>
      <c r="O115" s="49"/>
      <c r="P115" s="49"/>
      <c r="Q115" s="49"/>
      <c r="R115" s="49"/>
      <c r="S115" s="49"/>
      <c r="T115" s="49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 s="94"/>
      <c r="EJ115" s="94"/>
    </row>
    <row r="116" spans="14:140" ht="15" customHeight="1" x14ac:dyDescent="0.2">
      <c r="N116" s="49"/>
      <c r="O116" s="49"/>
      <c r="P116" s="49"/>
      <c r="Q116" s="49"/>
      <c r="R116" s="49"/>
      <c r="S116" s="49"/>
      <c r="T116" s="49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 s="94"/>
      <c r="EJ116" s="94"/>
    </row>
    <row r="117" spans="14:140" ht="15" customHeight="1" x14ac:dyDescent="0.2">
      <c r="N117" s="49"/>
      <c r="O117" s="49"/>
      <c r="P117" s="49"/>
      <c r="Q117" s="49"/>
      <c r="R117" s="49"/>
      <c r="S117" s="49"/>
      <c r="T117" s="49"/>
      <c r="CZ117" s="94"/>
      <c r="DA117" s="94"/>
      <c r="DB117" s="94"/>
      <c r="DC117" s="94"/>
      <c r="DD117" s="94"/>
      <c r="DE117" s="94"/>
      <c r="DF117" s="94"/>
      <c r="DG117" s="94"/>
      <c r="DH117" s="94"/>
      <c r="DI117" s="94"/>
      <c r="DJ117" s="94"/>
      <c r="DK117" s="94"/>
      <c r="DL117" s="94"/>
      <c r="DM117" s="94"/>
      <c r="DN117" s="94"/>
      <c r="DO117" s="94"/>
      <c r="DP117" s="94"/>
      <c r="DQ117" s="94"/>
      <c r="DR117" s="94"/>
      <c r="DS117" s="94"/>
      <c r="DT117" s="94"/>
      <c r="DU117" s="94"/>
      <c r="DV117" s="94"/>
      <c r="DW117" s="94"/>
      <c r="DX117" s="94"/>
      <c r="DY117" s="94"/>
      <c r="DZ117" s="94"/>
      <c r="EA117" s="94"/>
      <c r="EB117" s="94"/>
      <c r="EC117" s="94"/>
      <c r="ED117" s="94"/>
      <c r="EE117" s="94"/>
      <c r="EJ117" s="94"/>
    </row>
    <row r="118" spans="14:140" ht="15" customHeight="1" x14ac:dyDescent="0.2">
      <c r="N118" s="49"/>
      <c r="O118" s="49"/>
      <c r="P118" s="49"/>
      <c r="Q118" s="49"/>
      <c r="R118" s="49"/>
      <c r="S118" s="49"/>
      <c r="T118" s="49"/>
      <c r="CZ118" s="94"/>
      <c r="DA118" s="94"/>
      <c r="DB118" s="94"/>
      <c r="DC118" s="94"/>
      <c r="DD118" s="94"/>
      <c r="DE118" s="94"/>
      <c r="DF118" s="94"/>
      <c r="DG118" s="94"/>
      <c r="DH118" s="94"/>
      <c r="DI118" s="94"/>
      <c r="DJ118" s="94"/>
      <c r="DK118" s="94"/>
      <c r="DL118" s="94"/>
      <c r="DM118" s="94"/>
      <c r="DN118" s="94"/>
      <c r="DO118" s="94"/>
      <c r="DP118" s="94"/>
      <c r="DQ118" s="94"/>
      <c r="DR118" s="94"/>
      <c r="DS118" s="94"/>
      <c r="DT118" s="94"/>
      <c r="DU118" s="94"/>
      <c r="DV118" s="94"/>
      <c r="DW118" s="94"/>
      <c r="DX118" s="94"/>
      <c r="DY118" s="94"/>
      <c r="DZ118" s="94"/>
      <c r="EA118" s="94"/>
      <c r="EB118" s="94"/>
      <c r="EC118" s="94"/>
      <c r="ED118" s="94"/>
      <c r="EE118" s="94"/>
      <c r="EJ118" s="94"/>
    </row>
    <row r="119" spans="14:140" ht="15" customHeight="1" x14ac:dyDescent="0.2">
      <c r="N119" s="49"/>
      <c r="O119" s="49"/>
      <c r="P119" s="49"/>
      <c r="Q119" s="49"/>
      <c r="R119" s="49"/>
      <c r="S119" s="49"/>
      <c r="T119" s="49"/>
      <c r="CZ119" s="94"/>
      <c r="DA119" s="94"/>
      <c r="DB119" s="94"/>
      <c r="DC119" s="94"/>
      <c r="DD119" s="94"/>
      <c r="DE119" s="94"/>
      <c r="DF119" s="94"/>
      <c r="DG119" s="94"/>
      <c r="DH119" s="94"/>
      <c r="DI119" s="94"/>
      <c r="DJ119" s="94"/>
      <c r="DK119" s="94"/>
      <c r="DL119" s="94"/>
      <c r="DM119" s="94"/>
      <c r="DN119" s="94"/>
      <c r="DO119" s="94"/>
      <c r="DP119" s="94"/>
      <c r="DQ119" s="94"/>
      <c r="DR119" s="94"/>
      <c r="DS119" s="94"/>
      <c r="DT119" s="94"/>
      <c r="DU119" s="94"/>
      <c r="DV119" s="94"/>
      <c r="DW119" s="94"/>
      <c r="DX119" s="94"/>
      <c r="DY119" s="94"/>
      <c r="DZ119" s="94"/>
      <c r="EA119" s="94"/>
      <c r="EB119" s="94"/>
      <c r="EC119" s="94"/>
      <c r="ED119" s="94"/>
      <c r="EE119" s="94"/>
      <c r="EJ119" s="94"/>
    </row>
    <row r="120" spans="14:140" ht="15" customHeight="1" x14ac:dyDescent="0.2">
      <c r="N120" s="49"/>
      <c r="O120" s="49"/>
      <c r="P120" s="49"/>
      <c r="Q120" s="49"/>
      <c r="R120" s="49"/>
      <c r="S120" s="49"/>
      <c r="T120" s="49"/>
      <c r="CZ120" s="94"/>
      <c r="DA120" s="94"/>
      <c r="DB120" s="94"/>
      <c r="DC120" s="94"/>
      <c r="DD120" s="94"/>
      <c r="DE120" s="94"/>
      <c r="DF120" s="94"/>
      <c r="DG120" s="94"/>
      <c r="DH120" s="94"/>
      <c r="DI120" s="94"/>
      <c r="DJ120" s="94"/>
      <c r="DK120" s="94"/>
      <c r="DL120" s="94"/>
      <c r="DM120" s="94"/>
      <c r="DN120" s="94"/>
      <c r="DO120" s="94"/>
      <c r="DP120" s="94"/>
      <c r="DQ120" s="94"/>
      <c r="DR120" s="94"/>
      <c r="DS120" s="94"/>
      <c r="DT120" s="94"/>
      <c r="DU120" s="94"/>
      <c r="DV120" s="94"/>
      <c r="DW120" s="94"/>
      <c r="DX120" s="94"/>
      <c r="DY120" s="94"/>
      <c r="DZ120" s="94"/>
      <c r="EA120" s="94"/>
      <c r="EB120" s="94"/>
      <c r="EC120" s="94"/>
      <c r="ED120" s="94"/>
    </row>
    <row r="121" spans="14:140" ht="15" customHeight="1" x14ac:dyDescent="0.2">
      <c r="N121" s="49"/>
      <c r="O121" s="49"/>
      <c r="P121" s="49"/>
      <c r="R121" s="49"/>
      <c r="S121" s="49"/>
      <c r="T121" s="49"/>
      <c r="CZ121" s="94"/>
      <c r="DA121" s="94"/>
      <c r="DB121" s="94"/>
      <c r="DC121" s="94"/>
      <c r="DD121" s="94"/>
      <c r="DE121" s="94"/>
      <c r="DF121" s="94"/>
      <c r="DG121" s="94"/>
      <c r="DH121" s="94"/>
      <c r="DI121" s="94"/>
      <c r="DJ121" s="94"/>
      <c r="DK121" s="94"/>
      <c r="DL121" s="94"/>
      <c r="DM121" s="94"/>
      <c r="DN121" s="94"/>
      <c r="DO121" s="94"/>
      <c r="DP121" s="94"/>
      <c r="DQ121" s="94"/>
      <c r="DR121" s="94"/>
      <c r="DS121" s="94"/>
      <c r="DT121" s="94"/>
      <c r="DU121" s="94"/>
      <c r="DV121" s="94"/>
      <c r="DW121" s="94"/>
      <c r="DX121" s="94"/>
      <c r="DY121" s="94"/>
      <c r="DZ121" s="94"/>
      <c r="EA121" s="94"/>
      <c r="EB121" s="94"/>
      <c r="EC121" s="94"/>
      <c r="ED121" s="94"/>
    </row>
    <row r="122" spans="14:140" ht="15" customHeight="1" x14ac:dyDescent="0.2">
      <c r="N122" s="49"/>
      <c r="O122" s="49"/>
      <c r="P122" s="49"/>
      <c r="R122" s="49"/>
      <c r="S122" s="49"/>
      <c r="T122" s="49"/>
    </row>
    <row r="123" spans="14:140" ht="15" customHeight="1" x14ac:dyDescent="0.2">
      <c r="N123" s="49"/>
      <c r="O123" s="49"/>
      <c r="P123" s="49"/>
    </row>
    <row r="124" spans="14:140" ht="15" customHeight="1" x14ac:dyDescent="0.2">
      <c r="N124" s="49"/>
      <c r="O124" s="49"/>
      <c r="P124" s="49"/>
    </row>
    <row r="125" spans="14:140" ht="15" customHeight="1" x14ac:dyDescent="0.2">
      <c r="N125" s="49"/>
      <c r="O125" s="49"/>
      <c r="P125" s="49"/>
    </row>
    <row r="126" spans="14:140" ht="15" customHeight="1" x14ac:dyDescent="0.2">
      <c r="N126" s="49"/>
      <c r="O126" s="49"/>
      <c r="P126" s="49"/>
    </row>
    <row r="127" spans="14:140" ht="15" customHeight="1" x14ac:dyDescent="0.2">
      <c r="N127" s="49"/>
      <c r="O127" s="49"/>
      <c r="P127" s="49"/>
    </row>
    <row r="128" spans="14:140" ht="15" customHeight="1" x14ac:dyDescent="0.2">
      <c r="N128" s="49"/>
      <c r="O128" s="49"/>
      <c r="P128" s="49"/>
    </row>
  </sheetData>
  <mergeCells count="6">
    <mergeCell ref="CJ7:CN7"/>
    <mergeCell ref="BU7:BY7"/>
    <mergeCell ref="CE4:CI4"/>
    <mergeCell ref="CE5:CI5"/>
    <mergeCell ref="CE6:CI6"/>
    <mergeCell ref="CE7:CI7"/>
  </mergeCells>
  <conditionalFormatting sqref="E38">
    <cfRule type="cellIs" dxfId="0" priority="1" operator="notEqual">
      <formula>0</formula>
    </cfRule>
  </conditionalFormatting>
  <printOptions horizontalCentered="1"/>
  <pageMargins left="0.5" right="0.5" top="0.78" bottom="0.45" header="0.25" footer="0.18"/>
  <pageSetup scale="63" orientation="portrait" r:id="rId1"/>
  <headerFooter alignWithMargins="0"/>
  <colBreaks count="1" manualBreakCount="1">
    <brk id="111" max="60" man="1"/>
  </colBreaks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8"/>
  <sheetViews>
    <sheetView workbookViewId="0">
      <selection activeCell="F35" sqref="F35"/>
    </sheetView>
  </sheetViews>
  <sheetFormatPr defaultRowHeight="15" x14ac:dyDescent="0.25"/>
  <cols>
    <col min="1" max="1" width="7" style="84" customWidth="1"/>
    <col min="2" max="2" width="52" style="84" customWidth="1"/>
    <col min="3" max="5" width="21.28515625" style="84" customWidth="1"/>
    <col min="6" max="16384" width="9.140625" style="84"/>
  </cols>
  <sheetData>
    <row r="3" spans="1:6" x14ac:dyDescent="0.25">
      <c r="C3" s="656"/>
      <c r="D3" s="656"/>
      <c r="E3" s="656"/>
      <c r="F3" s="656"/>
    </row>
    <row r="4" spans="1:6" x14ac:dyDescent="0.25">
      <c r="A4" s="658" t="s">
        <v>32</v>
      </c>
      <c r="B4" s="657"/>
      <c r="C4" s="658" t="s">
        <v>39</v>
      </c>
      <c r="D4" s="658" t="s">
        <v>514</v>
      </c>
      <c r="E4" s="658" t="s">
        <v>515</v>
      </c>
      <c r="F4" s="656"/>
    </row>
    <row r="5" spans="1:6" x14ac:dyDescent="0.25">
      <c r="A5" s="659" t="s">
        <v>34</v>
      </c>
      <c r="B5" s="659" t="s">
        <v>35</v>
      </c>
      <c r="C5" s="659" t="s">
        <v>513</v>
      </c>
      <c r="D5" s="659" t="s">
        <v>382</v>
      </c>
      <c r="E5" s="659" t="s">
        <v>516</v>
      </c>
      <c r="F5" s="656"/>
    </row>
    <row r="7" spans="1:6" x14ac:dyDescent="0.25">
      <c r="A7" s="670">
        <v>1</v>
      </c>
      <c r="B7" s="84" t="s">
        <v>48</v>
      </c>
      <c r="C7" s="660">
        <f>'ERF Main Summary'!I57</f>
        <v>5101822355.5890903</v>
      </c>
      <c r="D7" s="664" t="s">
        <v>438</v>
      </c>
      <c r="E7" s="660">
        <f>'ERF Main Summary'!K57</f>
        <v>5101822355.5890903</v>
      </c>
    </row>
    <row r="8" spans="1:6" x14ac:dyDescent="0.25">
      <c r="A8" s="670">
        <v>2</v>
      </c>
      <c r="B8" s="84" t="s">
        <v>29</v>
      </c>
      <c r="C8" s="661">
        <f>Deficiency!C14</f>
        <v>7.4899999999999994E-2</v>
      </c>
      <c r="D8" s="661">
        <f>C8</f>
        <v>7.4899999999999994E-2</v>
      </c>
      <c r="E8" s="661">
        <f>C8</f>
        <v>7.4899999999999994E-2</v>
      </c>
    </row>
    <row r="9" spans="1:6" x14ac:dyDescent="0.25">
      <c r="A9" s="670">
        <v>3</v>
      </c>
      <c r="C9" s="662"/>
      <c r="D9" s="662"/>
      <c r="E9" s="662"/>
    </row>
    <row r="10" spans="1:6" x14ac:dyDescent="0.25">
      <c r="A10" s="670">
        <v>4</v>
      </c>
      <c r="B10" s="84" t="s">
        <v>65</v>
      </c>
      <c r="C10" s="663">
        <f>C7*C8</f>
        <v>382126494.43362284</v>
      </c>
      <c r="D10" s="669" t="s">
        <v>438</v>
      </c>
      <c r="E10" s="663">
        <f>E7*E8</f>
        <v>382126494.43362284</v>
      </c>
    </row>
    <row r="11" spans="1:6" x14ac:dyDescent="0.25">
      <c r="A11" s="670">
        <v>5</v>
      </c>
    </row>
    <row r="12" spans="1:6" x14ac:dyDescent="0.25">
      <c r="A12" s="670">
        <v>6</v>
      </c>
      <c r="B12" s="84" t="s">
        <v>92</v>
      </c>
      <c r="C12" s="663">
        <f>'ERF Main Summary'!I44</f>
        <v>375360480.35919333</v>
      </c>
      <c r="D12" s="663">
        <f>-'ERF Main Summary'!J44</f>
        <v>7406818.5795009136</v>
      </c>
      <c r="E12" s="663">
        <f>'ERF Main Summary'!K44</f>
        <v>367953661.77969241</v>
      </c>
    </row>
    <row r="13" spans="1:6" x14ac:dyDescent="0.25">
      <c r="A13" s="670"/>
      <c r="C13" s="668"/>
      <c r="D13" s="668"/>
      <c r="E13" s="668"/>
    </row>
    <row r="14" spans="1:6" x14ac:dyDescent="0.25">
      <c r="A14" s="670">
        <v>7</v>
      </c>
      <c r="B14" s="84" t="s">
        <v>517</v>
      </c>
      <c r="C14" s="663">
        <f>C10-C12</f>
        <v>6766014.074429512</v>
      </c>
      <c r="D14" s="663">
        <f>0-D12</f>
        <v>-7406818.5795009136</v>
      </c>
      <c r="E14" s="663">
        <f>E10-E12</f>
        <v>14172832.653930426</v>
      </c>
    </row>
    <row r="15" spans="1:6" x14ac:dyDescent="0.25">
      <c r="A15" s="670">
        <v>9</v>
      </c>
      <c r="B15" s="84" t="s">
        <v>31</v>
      </c>
      <c r="C15" s="665">
        <f>Deficiency!C21</f>
        <v>0.75173000000000001</v>
      </c>
      <c r="D15" s="665">
        <f>C15</f>
        <v>0.75173000000000001</v>
      </c>
      <c r="E15" s="665">
        <f>D15</f>
        <v>0.75173000000000001</v>
      </c>
    </row>
    <row r="16" spans="1:6" x14ac:dyDescent="0.25">
      <c r="A16" s="670"/>
      <c r="C16" s="666"/>
      <c r="D16" s="666"/>
      <c r="E16" s="666"/>
    </row>
    <row r="17" spans="1:5" ht="15.75" thickBot="1" x14ac:dyDescent="0.3">
      <c r="A17" s="670">
        <v>10</v>
      </c>
      <c r="B17" s="84" t="s">
        <v>518</v>
      </c>
      <c r="C17" s="667">
        <f>C14/C15</f>
        <v>9000590.736606909</v>
      </c>
      <c r="D17" s="667">
        <f>D14/D15</f>
        <v>-9853030.4490986299</v>
      </c>
      <c r="E17" s="667">
        <f>E14/E15</f>
        <v>18853621.185705539</v>
      </c>
    </row>
    <row r="18" spans="1:5" ht="15.75" thickTop="1" x14ac:dyDescent="0.25"/>
  </sheetData>
  <printOptions horizontalCentered="1"/>
  <pageMargins left="0.7" right="0.7" top="0.75" bottom="0.75" header="0.3" footer="0.3"/>
  <pageSetup scale="93"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pane ySplit="5" topLeftCell="A57" activePane="bottomLeft" state="frozen"/>
      <selection pane="bottomLeft" activeCell="C62" sqref="C62"/>
    </sheetView>
  </sheetViews>
  <sheetFormatPr defaultColWidth="8.85546875" defaultRowHeight="15" x14ac:dyDescent="0.25"/>
  <cols>
    <col min="1" max="1" width="23.85546875" style="24" bestFit="1" customWidth="1"/>
    <col min="2" max="2" width="41.28515625" style="24" bestFit="1" customWidth="1"/>
    <col min="3" max="3" width="19.85546875" style="24" bestFit="1" customWidth="1"/>
    <col min="4" max="4" width="19.85546875" style="24" customWidth="1"/>
    <col min="5" max="5" width="25.28515625" style="24" bestFit="1" customWidth="1"/>
    <col min="6" max="16384" width="8.85546875" style="24"/>
  </cols>
  <sheetData>
    <row r="1" spans="1:6" x14ac:dyDescent="0.25">
      <c r="A1" s="682" t="s">
        <v>652</v>
      </c>
    </row>
    <row r="2" spans="1:6" x14ac:dyDescent="0.25">
      <c r="A2" s="682" t="s">
        <v>651</v>
      </c>
    </row>
    <row r="3" spans="1:6" x14ac:dyDescent="0.25">
      <c r="A3" s="682" t="s">
        <v>650</v>
      </c>
    </row>
    <row r="4" spans="1:6" x14ac:dyDescent="0.25">
      <c r="A4" s="682"/>
      <c r="B4" s="702"/>
      <c r="C4" s="702"/>
      <c r="D4" s="702"/>
      <c r="E4" s="702"/>
      <c r="F4" s="701"/>
    </row>
    <row r="5" spans="1:6" x14ac:dyDescent="0.25">
      <c r="A5" s="700" t="s">
        <v>649</v>
      </c>
      <c r="B5" s="699" t="s">
        <v>648</v>
      </c>
      <c r="C5" s="698" t="s">
        <v>647</v>
      </c>
      <c r="D5" s="698" t="s">
        <v>646</v>
      </c>
      <c r="E5" s="697" t="s">
        <v>645</v>
      </c>
      <c r="F5" s="696"/>
    </row>
    <row r="6" spans="1:6" x14ac:dyDescent="0.25">
      <c r="A6" s="23" t="s">
        <v>538</v>
      </c>
      <c r="B6" s="22" t="s">
        <v>537</v>
      </c>
      <c r="C6" s="21">
        <v>-92</v>
      </c>
      <c r="D6" s="21">
        <v>32.199999999965087</v>
      </c>
      <c r="E6" s="693">
        <v>-227.55</v>
      </c>
    </row>
    <row r="7" spans="1:6" x14ac:dyDescent="0.25">
      <c r="A7" s="695" t="s">
        <v>543</v>
      </c>
      <c r="B7" s="694" t="s">
        <v>542</v>
      </c>
      <c r="C7" s="21">
        <f>E7/0.21</f>
        <v>953710.23809523811</v>
      </c>
      <c r="D7" s="21">
        <v>0</v>
      </c>
      <c r="E7" s="693">
        <v>200279.15</v>
      </c>
      <c r="F7" s="691"/>
    </row>
    <row r="8" spans="1:6" x14ac:dyDescent="0.25">
      <c r="A8" s="695" t="s">
        <v>644</v>
      </c>
      <c r="B8" s="694" t="s">
        <v>686</v>
      </c>
      <c r="C8" s="21">
        <f>E8/0.21</f>
        <v>-2542123.8095238097</v>
      </c>
      <c r="D8" s="21">
        <v>0</v>
      </c>
      <c r="E8" s="693">
        <v>-533846</v>
      </c>
      <c r="F8" s="691"/>
    </row>
    <row r="9" spans="1:6" x14ac:dyDescent="0.25">
      <c r="A9" s="20" t="s">
        <v>643</v>
      </c>
      <c r="B9" s="690" t="s">
        <v>642</v>
      </c>
      <c r="C9" s="691">
        <v>1650156.4700000007</v>
      </c>
      <c r="D9" s="691">
        <f t="shared" ref="D9:D55" si="0">-C9*$D$76</f>
        <v>-346532.8587000001</v>
      </c>
      <c r="E9" s="692"/>
      <c r="F9" s="691"/>
    </row>
    <row r="10" spans="1:6" x14ac:dyDescent="0.25">
      <c r="A10" s="19" t="s">
        <v>640</v>
      </c>
      <c r="B10" s="690" t="s">
        <v>641</v>
      </c>
      <c r="C10" s="691">
        <v>-12134702.15</v>
      </c>
      <c r="D10" s="691">
        <f t="shared" si="0"/>
        <v>2548287.4515</v>
      </c>
      <c r="E10" s="692"/>
      <c r="F10" s="691"/>
    </row>
    <row r="11" spans="1:6" x14ac:dyDescent="0.25">
      <c r="A11" s="19" t="s">
        <v>640</v>
      </c>
      <c r="B11" s="690" t="s">
        <v>639</v>
      </c>
      <c r="C11" s="691">
        <v>4992140.66</v>
      </c>
      <c r="D11" s="691">
        <f t="shared" si="0"/>
        <v>-1048349.5386</v>
      </c>
      <c r="E11" s="692"/>
      <c r="F11" s="691"/>
    </row>
    <row r="12" spans="1:6" x14ac:dyDescent="0.25">
      <c r="A12" s="20" t="s">
        <v>638</v>
      </c>
      <c r="B12" s="690" t="s">
        <v>637</v>
      </c>
      <c r="C12" s="691">
        <v>-614580.94999999995</v>
      </c>
      <c r="D12" s="691">
        <f t="shared" si="0"/>
        <v>129061.99949999999</v>
      </c>
      <c r="E12" s="692"/>
      <c r="F12" s="691"/>
    </row>
    <row r="13" spans="1:6" x14ac:dyDescent="0.25">
      <c r="A13" s="20" t="s">
        <v>636</v>
      </c>
      <c r="B13" s="690" t="s">
        <v>635</v>
      </c>
      <c r="C13" s="691">
        <v>-4342.72</v>
      </c>
      <c r="D13" s="691">
        <f t="shared" si="0"/>
        <v>911.97120000000007</v>
      </c>
      <c r="E13" s="692"/>
      <c r="F13" s="691"/>
    </row>
    <row r="14" spans="1:6" x14ac:dyDescent="0.25">
      <c r="A14" s="20" t="s">
        <v>634</v>
      </c>
      <c r="B14" s="690" t="s">
        <v>633</v>
      </c>
      <c r="C14" s="691">
        <v>-1202938.69</v>
      </c>
      <c r="D14" s="691">
        <f t="shared" si="0"/>
        <v>252617.12489999997</v>
      </c>
      <c r="E14" s="692"/>
      <c r="F14" s="691"/>
    </row>
    <row r="15" spans="1:6" x14ac:dyDescent="0.25">
      <c r="A15" s="20" t="s">
        <v>632</v>
      </c>
      <c r="B15" s="690" t="s">
        <v>631</v>
      </c>
      <c r="C15" s="691">
        <v>-7835.62</v>
      </c>
      <c r="D15" s="691">
        <f t="shared" si="0"/>
        <v>1645.4802</v>
      </c>
      <c r="E15" s="692"/>
      <c r="F15" s="691"/>
    </row>
    <row r="16" spans="1:6" x14ac:dyDescent="0.25">
      <c r="A16" s="19" t="s">
        <v>625</v>
      </c>
      <c r="B16" s="690" t="s">
        <v>630</v>
      </c>
      <c r="C16" s="691">
        <v>-12215518.98</v>
      </c>
      <c r="D16" s="691">
        <f t="shared" si="0"/>
        <v>2565258.9857999999</v>
      </c>
      <c r="E16" s="692"/>
      <c r="F16" s="691"/>
    </row>
    <row r="17" spans="1:6" x14ac:dyDescent="0.25">
      <c r="A17" s="19" t="s">
        <v>625</v>
      </c>
      <c r="B17" s="690" t="s">
        <v>629</v>
      </c>
      <c r="C17" s="691">
        <v>1861666.6500000004</v>
      </c>
      <c r="D17" s="691">
        <f t="shared" si="0"/>
        <v>-390949.99650000007</v>
      </c>
      <c r="E17" s="692"/>
      <c r="F17" s="691"/>
    </row>
    <row r="18" spans="1:6" x14ac:dyDescent="0.25">
      <c r="A18" s="19" t="s">
        <v>625</v>
      </c>
      <c r="B18" s="690" t="s">
        <v>628</v>
      </c>
      <c r="C18" s="691">
        <v>0</v>
      </c>
      <c r="D18" s="691">
        <f t="shared" si="0"/>
        <v>0</v>
      </c>
      <c r="E18" s="692"/>
      <c r="F18" s="691"/>
    </row>
    <row r="19" spans="1:6" x14ac:dyDescent="0.25">
      <c r="A19" s="19" t="s">
        <v>625</v>
      </c>
      <c r="B19" s="690" t="s">
        <v>627</v>
      </c>
      <c r="C19" s="691">
        <v>-634291.26999999955</v>
      </c>
      <c r="D19" s="691">
        <f t="shared" si="0"/>
        <v>133201.16669999991</v>
      </c>
      <c r="E19" s="692"/>
      <c r="F19" s="691"/>
    </row>
    <row r="20" spans="1:6" x14ac:dyDescent="0.25">
      <c r="A20" s="19" t="s">
        <v>625</v>
      </c>
      <c r="B20" s="690" t="s">
        <v>626</v>
      </c>
      <c r="C20" s="691">
        <v>10233691.49</v>
      </c>
      <c r="D20" s="691">
        <f t="shared" si="0"/>
        <v>-2149075.2129000002</v>
      </c>
      <c r="E20" s="692"/>
      <c r="F20" s="691"/>
    </row>
    <row r="21" spans="1:6" x14ac:dyDescent="0.25">
      <c r="A21" s="19" t="s">
        <v>625</v>
      </c>
      <c r="B21" s="690" t="s">
        <v>624</v>
      </c>
      <c r="C21" s="691">
        <v>8648861</v>
      </c>
      <c r="D21" s="691">
        <f t="shared" si="0"/>
        <v>-1816260.8099999998</v>
      </c>
      <c r="E21" s="692"/>
      <c r="F21" s="691"/>
    </row>
    <row r="22" spans="1:6" x14ac:dyDescent="0.25">
      <c r="A22" s="20" t="s">
        <v>623</v>
      </c>
      <c r="B22" s="690" t="s">
        <v>622</v>
      </c>
      <c r="C22" s="691">
        <v>842105</v>
      </c>
      <c r="D22" s="691">
        <f t="shared" si="0"/>
        <v>-176842.05</v>
      </c>
      <c r="E22" s="692"/>
      <c r="F22" s="691"/>
    </row>
    <row r="23" spans="1:6" x14ac:dyDescent="0.25">
      <c r="A23" s="20" t="s">
        <v>621</v>
      </c>
      <c r="B23" s="690" t="s">
        <v>620</v>
      </c>
      <c r="C23" s="691">
        <v>-392169.72</v>
      </c>
      <c r="D23" s="691">
        <f t="shared" si="0"/>
        <v>82355.641199999998</v>
      </c>
      <c r="E23" s="692"/>
      <c r="F23" s="691"/>
    </row>
    <row r="24" spans="1:6" x14ac:dyDescent="0.25">
      <c r="A24" s="19" t="s">
        <v>618</v>
      </c>
      <c r="B24" s="690" t="s">
        <v>619</v>
      </c>
      <c r="C24" s="691">
        <v>-3793196</v>
      </c>
      <c r="D24" s="691">
        <f t="shared" si="0"/>
        <v>796571.15999999992</v>
      </c>
      <c r="E24" s="692"/>
      <c r="F24" s="691"/>
    </row>
    <row r="25" spans="1:6" x14ac:dyDescent="0.25">
      <c r="A25" s="19" t="s">
        <v>618</v>
      </c>
      <c r="B25" s="690" t="s">
        <v>617</v>
      </c>
      <c r="C25" s="691">
        <v>2122691.42</v>
      </c>
      <c r="D25" s="691">
        <f t="shared" si="0"/>
        <v>-445765.19819999998</v>
      </c>
      <c r="E25" s="692"/>
      <c r="F25" s="691"/>
    </row>
    <row r="26" spans="1:6" x14ac:dyDescent="0.25">
      <c r="A26" s="20" t="s">
        <v>616</v>
      </c>
      <c r="B26" s="690" t="s">
        <v>615</v>
      </c>
      <c r="C26" s="691">
        <v>-478.27999999999884</v>
      </c>
      <c r="D26" s="691">
        <f t="shared" si="0"/>
        <v>100.43879999999974</v>
      </c>
      <c r="E26" s="692"/>
      <c r="F26" s="691"/>
    </row>
    <row r="27" spans="1:6" x14ac:dyDescent="0.25">
      <c r="A27" s="20" t="s">
        <v>614</v>
      </c>
      <c r="B27" s="690" t="s">
        <v>613</v>
      </c>
      <c r="C27" s="691">
        <v>-1026108</v>
      </c>
      <c r="D27" s="691">
        <f t="shared" si="0"/>
        <v>215482.68</v>
      </c>
      <c r="E27" s="692"/>
      <c r="F27" s="691"/>
    </row>
    <row r="28" spans="1:6" x14ac:dyDescent="0.25">
      <c r="A28" s="20" t="s">
        <v>612</v>
      </c>
      <c r="B28" s="690" t="s">
        <v>611</v>
      </c>
      <c r="C28" s="691">
        <v>0</v>
      </c>
      <c r="D28" s="691">
        <f t="shared" si="0"/>
        <v>0</v>
      </c>
      <c r="E28" s="692"/>
      <c r="F28" s="691"/>
    </row>
    <row r="29" spans="1:6" x14ac:dyDescent="0.25">
      <c r="A29" s="20" t="s">
        <v>610</v>
      </c>
      <c r="B29" s="690" t="s">
        <v>609</v>
      </c>
      <c r="C29" s="691">
        <v>-537626.16</v>
      </c>
      <c r="D29" s="691">
        <f t="shared" si="0"/>
        <v>112901.4936</v>
      </c>
      <c r="E29" s="692"/>
      <c r="F29" s="691"/>
    </row>
    <row r="30" spans="1:6" x14ac:dyDescent="0.25">
      <c r="A30" s="20" t="s">
        <v>608</v>
      </c>
      <c r="B30" s="690" t="s">
        <v>607</v>
      </c>
      <c r="C30" s="691">
        <v>524281.87000000011</v>
      </c>
      <c r="D30" s="691">
        <f t="shared" si="0"/>
        <v>-110099.19270000001</v>
      </c>
      <c r="E30" s="692"/>
      <c r="F30" s="691"/>
    </row>
    <row r="31" spans="1:6" x14ac:dyDescent="0.25">
      <c r="A31" s="20" t="s">
        <v>606</v>
      </c>
      <c r="B31" s="690" t="s">
        <v>605</v>
      </c>
      <c r="C31" s="691">
        <v>-424631</v>
      </c>
      <c r="D31" s="691">
        <f t="shared" si="0"/>
        <v>89172.51</v>
      </c>
      <c r="E31" s="692"/>
      <c r="F31" s="691"/>
    </row>
    <row r="32" spans="1:6" x14ac:dyDescent="0.25">
      <c r="A32" s="20" t="s">
        <v>604</v>
      </c>
      <c r="B32" s="690" t="s">
        <v>603</v>
      </c>
      <c r="C32" s="691">
        <v>-91146.65</v>
      </c>
      <c r="D32" s="691">
        <f t="shared" si="0"/>
        <v>19140.796499999997</v>
      </c>
      <c r="E32" s="692"/>
      <c r="F32" s="691"/>
    </row>
    <row r="33" spans="1:6" x14ac:dyDescent="0.25">
      <c r="A33" s="20" t="s">
        <v>602</v>
      </c>
      <c r="B33" s="690" t="s">
        <v>601</v>
      </c>
      <c r="C33" s="691">
        <v>-480024</v>
      </c>
      <c r="D33" s="691">
        <f t="shared" si="0"/>
        <v>100805.04</v>
      </c>
      <c r="E33" s="692"/>
      <c r="F33" s="691"/>
    </row>
    <row r="34" spans="1:6" x14ac:dyDescent="0.25">
      <c r="A34" s="20" t="s">
        <v>600</v>
      </c>
      <c r="B34" s="690" t="s">
        <v>599</v>
      </c>
      <c r="C34" s="691">
        <v>300000</v>
      </c>
      <c r="D34" s="691">
        <f t="shared" si="0"/>
        <v>-63000</v>
      </c>
      <c r="E34" s="692"/>
      <c r="F34" s="691"/>
    </row>
    <row r="35" spans="1:6" x14ac:dyDescent="0.25">
      <c r="A35" s="20" t="s">
        <v>598</v>
      </c>
      <c r="B35" s="690" t="s">
        <v>597</v>
      </c>
      <c r="C35" s="691">
        <v>231780.44000000041</v>
      </c>
      <c r="D35" s="691">
        <f t="shared" si="0"/>
        <v>-48673.892400000084</v>
      </c>
      <c r="E35" s="692"/>
      <c r="F35" s="691"/>
    </row>
    <row r="36" spans="1:6" x14ac:dyDescent="0.25">
      <c r="A36" s="19" t="s">
        <v>595</v>
      </c>
      <c r="B36" s="690" t="s">
        <v>596</v>
      </c>
      <c r="C36" s="691">
        <v>-276672</v>
      </c>
      <c r="D36" s="691">
        <f t="shared" si="0"/>
        <v>58101.119999999995</v>
      </c>
      <c r="E36" s="692"/>
      <c r="F36" s="691"/>
    </row>
    <row r="37" spans="1:6" x14ac:dyDescent="0.25">
      <c r="A37" s="19" t="s">
        <v>595</v>
      </c>
      <c r="B37" s="690" t="s">
        <v>594</v>
      </c>
      <c r="C37" s="691">
        <v>687420</v>
      </c>
      <c r="D37" s="691">
        <f t="shared" si="0"/>
        <v>-144358.19999999998</v>
      </c>
      <c r="E37" s="692"/>
      <c r="F37" s="691"/>
    </row>
    <row r="38" spans="1:6" x14ac:dyDescent="0.25">
      <c r="A38" s="20" t="s">
        <v>593</v>
      </c>
      <c r="B38" s="690" t="s">
        <v>592</v>
      </c>
      <c r="C38" s="691">
        <v>-1658220</v>
      </c>
      <c r="D38" s="691">
        <f t="shared" si="0"/>
        <v>348226.2</v>
      </c>
      <c r="E38" s="692"/>
      <c r="F38" s="691"/>
    </row>
    <row r="39" spans="1:6" x14ac:dyDescent="0.25">
      <c r="A39" s="20" t="s">
        <v>591</v>
      </c>
      <c r="B39" s="690" t="s">
        <v>590</v>
      </c>
      <c r="C39" s="691">
        <v>2000328.48</v>
      </c>
      <c r="D39" s="691">
        <f t="shared" si="0"/>
        <v>-420068.98079999996</v>
      </c>
      <c r="E39" s="692"/>
      <c r="F39" s="691"/>
    </row>
    <row r="40" spans="1:6" x14ac:dyDescent="0.25">
      <c r="A40" s="20" t="s">
        <v>589</v>
      </c>
      <c r="B40" s="690" t="s">
        <v>588</v>
      </c>
      <c r="C40" s="691">
        <v>-160917.21</v>
      </c>
      <c r="D40" s="691">
        <f t="shared" si="0"/>
        <v>33792.614099999999</v>
      </c>
      <c r="E40" s="692"/>
      <c r="F40" s="691"/>
    </row>
    <row r="41" spans="1:6" x14ac:dyDescent="0.25">
      <c r="A41" s="20" t="s">
        <v>587</v>
      </c>
      <c r="B41" s="690" t="s">
        <v>586</v>
      </c>
      <c r="C41" s="691">
        <v>4220660.59</v>
      </c>
      <c r="D41" s="691">
        <f t="shared" si="0"/>
        <v>-886338.72389999998</v>
      </c>
      <c r="E41" s="692"/>
      <c r="F41" s="691"/>
    </row>
    <row r="42" spans="1:6" x14ac:dyDescent="0.25">
      <c r="A42" s="19" t="s">
        <v>584</v>
      </c>
      <c r="B42" s="690" t="s">
        <v>585</v>
      </c>
      <c r="C42" s="691">
        <v>-541303.56000000006</v>
      </c>
      <c r="D42" s="691">
        <f t="shared" si="0"/>
        <v>113673.7476</v>
      </c>
      <c r="E42" s="692"/>
      <c r="F42" s="691"/>
    </row>
    <row r="43" spans="1:6" x14ac:dyDescent="0.25">
      <c r="A43" s="19" t="s">
        <v>584</v>
      </c>
      <c r="B43" s="690" t="s">
        <v>583</v>
      </c>
      <c r="C43" s="691">
        <v>4520424</v>
      </c>
      <c r="D43" s="691">
        <f t="shared" si="0"/>
        <v>-949289.03999999992</v>
      </c>
      <c r="E43" s="692"/>
      <c r="F43" s="691"/>
    </row>
    <row r="44" spans="1:6" x14ac:dyDescent="0.25">
      <c r="A44" s="19" t="s">
        <v>581</v>
      </c>
      <c r="B44" s="690" t="s">
        <v>582</v>
      </c>
      <c r="C44" s="691">
        <v>-870835.8</v>
      </c>
      <c r="D44" s="691">
        <f t="shared" si="0"/>
        <v>182875.51800000001</v>
      </c>
      <c r="E44" s="692"/>
      <c r="F44" s="691"/>
    </row>
    <row r="45" spans="1:6" x14ac:dyDescent="0.25">
      <c r="A45" s="19" t="s">
        <v>581</v>
      </c>
      <c r="B45" s="690" t="s">
        <v>580</v>
      </c>
      <c r="C45" s="691">
        <v>2644128</v>
      </c>
      <c r="D45" s="691">
        <f t="shared" si="0"/>
        <v>-555266.88</v>
      </c>
      <c r="E45" s="692"/>
      <c r="F45" s="691"/>
    </row>
    <row r="46" spans="1:6" x14ac:dyDescent="0.25">
      <c r="A46" s="19" t="s">
        <v>578</v>
      </c>
      <c r="B46" s="690" t="s">
        <v>579</v>
      </c>
      <c r="C46" s="691">
        <v>-218965.32</v>
      </c>
      <c r="D46" s="691">
        <f t="shared" si="0"/>
        <v>45982.717199999999</v>
      </c>
      <c r="E46" s="692"/>
      <c r="F46" s="691"/>
    </row>
    <row r="47" spans="1:6" x14ac:dyDescent="0.25">
      <c r="A47" s="19" t="s">
        <v>578</v>
      </c>
      <c r="B47" s="690" t="s">
        <v>577</v>
      </c>
      <c r="C47" s="691">
        <v>673356</v>
      </c>
      <c r="D47" s="691">
        <f t="shared" si="0"/>
        <v>-141404.76</v>
      </c>
      <c r="E47" s="20"/>
    </row>
    <row r="48" spans="1:6" x14ac:dyDescent="0.25">
      <c r="A48" s="20" t="s">
        <v>576</v>
      </c>
      <c r="B48" s="690" t="s">
        <v>575</v>
      </c>
      <c r="C48" s="691">
        <v>-3609514.28</v>
      </c>
      <c r="D48" s="691">
        <f t="shared" si="0"/>
        <v>757997.99879999994</v>
      </c>
      <c r="E48" s="20"/>
    </row>
    <row r="49" spans="1:12" x14ac:dyDescent="0.25">
      <c r="A49" s="20" t="s">
        <v>574</v>
      </c>
      <c r="B49" s="690" t="s">
        <v>573</v>
      </c>
      <c r="C49" s="691">
        <v>-1691567.0500000003</v>
      </c>
      <c r="D49" s="691">
        <f t="shared" si="0"/>
        <v>355229.08050000004</v>
      </c>
      <c r="E49" s="20"/>
    </row>
    <row r="50" spans="1:12" x14ac:dyDescent="0.25">
      <c r="A50" s="20" t="s">
        <v>572</v>
      </c>
      <c r="B50" s="690" t="s">
        <v>571</v>
      </c>
      <c r="C50" s="691">
        <v>3391500</v>
      </c>
      <c r="D50" s="691">
        <f t="shared" si="0"/>
        <v>-712215</v>
      </c>
      <c r="E50" s="20"/>
    </row>
    <row r="51" spans="1:12" x14ac:dyDescent="0.25">
      <c r="A51" s="20" t="s">
        <v>570</v>
      </c>
      <c r="B51" s="690" t="s">
        <v>569</v>
      </c>
      <c r="C51" s="691">
        <v>-340261</v>
      </c>
      <c r="D51" s="691">
        <f t="shared" si="0"/>
        <v>71454.81</v>
      </c>
      <c r="E51" s="18"/>
    </row>
    <row r="52" spans="1:12" x14ac:dyDescent="0.25">
      <c r="A52" s="20" t="s">
        <v>568</v>
      </c>
      <c r="B52" s="690" t="s">
        <v>567</v>
      </c>
      <c r="C52" s="691">
        <v>340261</v>
      </c>
      <c r="D52" s="691">
        <f t="shared" si="0"/>
        <v>-71454.81</v>
      </c>
      <c r="E52" s="18"/>
    </row>
    <row r="53" spans="1:12" x14ac:dyDescent="0.25">
      <c r="A53" s="20" t="s">
        <v>566</v>
      </c>
      <c r="B53" s="690" t="s">
        <v>565</v>
      </c>
      <c r="C53" s="691">
        <v>-5171139</v>
      </c>
      <c r="D53" s="691">
        <f t="shared" si="0"/>
        <v>1085939.19</v>
      </c>
      <c r="E53" s="18"/>
    </row>
    <row r="54" spans="1:12" x14ac:dyDescent="0.25">
      <c r="A54" s="20" t="s">
        <v>564</v>
      </c>
      <c r="B54" s="690" t="s">
        <v>563</v>
      </c>
      <c r="C54" s="691">
        <v>-2553060.4</v>
      </c>
      <c r="D54" s="691">
        <f t="shared" si="0"/>
        <v>536142.68400000001</v>
      </c>
      <c r="E54" s="18"/>
    </row>
    <row r="55" spans="1:12" x14ac:dyDescent="0.25">
      <c r="A55" s="20" t="s">
        <v>562</v>
      </c>
      <c r="B55" s="690" t="s">
        <v>561</v>
      </c>
      <c r="C55" s="691">
        <v>3155259.6500000022</v>
      </c>
      <c r="D55" s="691">
        <f t="shared" si="0"/>
        <v>-662604.5265000005</v>
      </c>
      <c r="E55" s="18"/>
    </row>
    <row r="56" spans="1:12" x14ac:dyDescent="0.25">
      <c r="A56" s="20" t="s">
        <v>560</v>
      </c>
      <c r="B56" s="20" t="s">
        <v>559</v>
      </c>
      <c r="C56" s="691">
        <v>56318.78</v>
      </c>
      <c r="D56" s="691">
        <v>-11826.939999999999</v>
      </c>
      <c r="E56" s="18"/>
    </row>
    <row r="57" spans="1:12" x14ac:dyDescent="0.25">
      <c r="A57" s="20" t="s">
        <v>558</v>
      </c>
      <c r="B57" s="20" t="s">
        <v>557</v>
      </c>
      <c r="C57" s="691">
        <v>759244.53</v>
      </c>
      <c r="D57" s="691">
        <v>-159441.35000000003</v>
      </c>
      <c r="E57" s="18"/>
    </row>
    <row r="58" spans="1:12" x14ac:dyDescent="0.25">
      <c r="A58" s="20" t="s">
        <v>556</v>
      </c>
      <c r="B58" s="20" t="s">
        <v>555</v>
      </c>
      <c r="C58" s="691">
        <v>2916757.94</v>
      </c>
      <c r="D58" s="691">
        <v>-612519.17000000004</v>
      </c>
      <c r="E58" s="18"/>
    </row>
    <row r="59" spans="1:12" x14ac:dyDescent="0.25">
      <c r="A59" s="19" t="s">
        <v>554</v>
      </c>
      <c r="B59" s="690" t="s">
        <v>553</v>
      </c>
      <c r="C59" s="691">
        <v>-7281270.0499999998</v>
      </c>
      <c r="D59" s="691">
        <f>-C59*$D$76</f>
        <v>1529066.7104999998</v>
      </c>
      <c r="E59" s="20"/>
    </row>
    <row r="60" spans="1:12" x14ac:dyDescent="0.25">
      <c r="A60" s="23" t="s">
        <v>552</v>
      </c>
      <c r="B60" s="22" t="s">
        <v>684</v>
      </c>
      <c r="C60" s="9">
        <f>E60/0.21</f>
        <v>928168.71428571432</v>
      </c>
      <c r="D60" s="9">
        <v>0</v>
      </c>
      <c r="E60" s="693">
        <v>194915.43</v>
      </c>
    </row>
    <row r="61" spans="1:12" x14ac:dyDescent="0.25">
      <c r="A61" s="23" t="s">
        <v>540</v>
      </c>
      <c r="B61" s="22" t="s">
        <v>539</v>
      </c>
      <c r="C61" s="9">
        <f>E61/0.21</f>
        <v>294119.04761904763</v>
      </c>
      <c r="D61" s="9">
        <v>0</v>
      </c>
      <c r="E61" s="693">
        <v>61765</v>
      </c>
    </row>
    <row r="62" spans="1:12" x14ac:dyDescent="0.25">
      <c r="A62" s="23" t="s">
        <v>536</v>
      </c>
      <c r="B62" s="22" t="s">
        <v>551</v>
      </c>
      <c r="C62" s="693">
        <v>125330430.59704983</v>
      </c>
      <c r="D62" s="693">
        <f>D70-SUM(D6:D59)</f>
        <v>-44860467.378001943</v>
      </c>
      <c r="E62" s="693">
        <f>C82</f>
        <v>-18540836.520121485</v>
      </c>
    </row>
    <row r="63" spans="1:12" ht="15.75" thickBot="1" x14ac:dyDescent="0.3">
      <c r="B63" s="689" t="s">
        <v>174</v>
      </c>
      <c r="C63" s="688">
        <f>SUM(C6:C62)</f>
        <v>123803930.89752603</v>
      </c>
      <c r="D63" s="688">
        <f>D70</f>
        <v>-44616775.978601947</v>
      </c>
      <c r="E63" s="688">
        <f>SUM(E6:E62)</f>
        <v>-18617950.490121484</v>
      </c>
      <c r="F63" s="687"/>
      <c r="G63" s="686"/>
      <c r="H63" s="686"/>
      <c r="I63" s="686"/>
      <c r="J63" s="686"/>
      <c r="K63" s="686"/>
      <c r="L63" s="686"/>
    </row>
    <row r="64" spans="1:12" ht="15.75" thickTop="1" x14ac:dyDescent="0.25">
      <c r="A64" s="17"/>
      <c r="B64" s="685" t="s">
        <v>533</v>
      </c>
      <c r="C64" s="16">
        <v>0</v>
      </c>
      <c r="D64" s="16">
        <f>D70-D63</f>
        <v>0</v>
      </c>
      <c r="E64" s="15">
        <f>E63-SUM(C77:C82)</f>
        <v>0</v>
      </c>
      <c r="F64" s="692"/>
      <c r="G64" s="14"/>
      <c r="H64" s="14"/>
      <c r="I64" s="14"/>
      <c r="J64" s="14"/>
      <c r="K64" s="14"/>
      <c r="L64" s="14"/>
    </row>
    <row r="65" spans="1:12" x14ac:dyDescent="0.25">
      <c r="A65" s="8"/>
      <c r="B65" s="684"/>
      <c r="C65" s="691"/>
      <c r="D65" s="691"/>
      <c r="E65" s="692"/>
      <c r="F65" s="692"/>
      <c r="G65" s="692"/>
      <c r="H65" s="692"/>
      <c r="I65" s="692"/>
      <c r="J65" s="692"/>
      <c r="K65" s="692"/>
      <c r="L65" s="692"/>
    </row>
    <row r="66" spans="1:12" x14ac:dyDescent="0.25">
      <c r="A66" s="7"/>
      <c r="B66" s="6" t="s">
        <v>550</v>
      </c>
      <c r="C66" s="691">
        <f>C75</f>
        <v>472035059.50221467</v>
      </c>
      <c r="D66" s="691"/>
      <c r="E66" s="5"/>
      <c r="F66" s="692"/>
      <c r="G66" s="5"/>
      <c r="H66" s="5"/>
      <c r="I66" s="5"/>
      <c r="J66" s="5"/>
      <c r="K66" s="5"/>
      <c r="L66" s="5"/>
    </row>
    <row r="67" spans="1:12" x14ac:dyDescent="0.25">
      <c r="A67" s="7"/>
      <c r="B67" s="6" t="s">
        <v>549</v>
      </c>
      <c r="C67" s="4">
        <f>C63</f>
        <v>123803930.89752603</v>
      </c>
      <c r="D67" s="692"/>
      <c r="E67" s="5"/>
      <c r="F67" s="692"/>
      <c r="G67" s="5"/>
      <c r="H67" s="654"/>
      <c r="I67" s="5"/>
      <c r="J67" s="5"/>
      <c r="K67" s="5"/>
      <c r="L67" s="5"/>
    </row>
    <row r="68" spans="1:12" x14ac:dyDescent="0.25">
      <c r="A68" s="17"/>
      <c r="B68" s="20" t="s">
        <v>548</v>
      </c>
      <c r="C68" s="16">
        <f>SUM(C66:C67)</f>
        <v>595838990.3997407</v>
      </c>
      <c r="D68" s="16"/>
      <c r="E68" s="692"/>
      <c r="F68" s="692"/>
      <c r="G68" s="14"/>
      <c r="H68" s="14"/>
      <c r="I68" s="14"/>
      <c r="J68" s="14"/>
      <c r="K68" s="14"/>
      <c r="L68" s="14"/>
    </row>
    <row r="69" spans="1:12" x14ac:dyDescent="0.25">
      <c r="A69" s="17"/>
      <c r="B69" s="20"/>
      <c r="C69" s="13">
        <v>0.21</v>
      </c>
      <c r="D69" s="13"/>
      <c r="E69" s="692"/>
      <c r="F69" s="692"/>
      <c r="G69" s="14"/>
    </row>
    <row r="70" spans="1:12" ht="15.75" thickBot="1" x14ac:dyDescent="0.3">
      <c r="A70" s="17"/>
      <c r="B70" s="20" t="s">
        <v>547</v>
      </c>
      <c r="C70" s="12">
        <f>C68*C69</f>
        <v>125126187.98394555</v>
      </c>
      <c r="D70" s="3">
        <f>E70-C70</f>
        <v>-44616775.978601947</v>
      </c>
      <c r="E70" s="3">
        <f>C83</f>
        <v>80509412.005343601</v>
      </c>
      <c r="F70" s="692"/>
      <c r="G70" s="14"/>
    </row>
    <row r="71" spans="1:12" ht="15.75" thickTop="1" x14ac:dyDescent="0.25">
      <c r="A71" s="17"/>
      <c r="B71" s="20"/>
      <c r="C71" s="11"/>
      <c r="D71" s="11"/>
      <c r="E71" s="14"/>
      <c r="F71" s="692"/>
      <c r="G71" s="14"/>
    </row>
    <row r="72" spans="1:12" x14ac:dyDescent="0.25">
      <c r="A72" s="17"/>
      <c r="B72" s="20"/>
      <c r="C72" s="11"/>
      <c r="D72" s="11"/>
      <c r="E72" s="14"/>
      <c r="F72" s="692"/>
      <c r="G72" s="14"/>
    </row>
    <row r="73" spans="1:12" x14ac:dyDescent="0.25">
      <c r="A73" s="17"/>
      <c r="B73" s="20"/>
      <c r="C73" s="20"/>
      <c r="D73" s="20"/>
      <c r="E73" s="20"/>
    </row>
    <row r="74" spans="1:12" x14ac:dyDescent="0.25">
      <c r="A74" s="20"/>
      <c r="B74" s="683" t="s">
        <v>546</v>
      </c>
      <c r="C74" s="20"/>
      <c r="D74" s="20"/>
      <c r="E74" s="20"/>
    </row>
    <row r="75" spans="1:12" x14ac:dyDescent="0.25">
      <c r="B75" s="24" t="s">
        <v>545</v>
      </c>
      <c r="C75" s="692">
        <f>SUM('ERF Main Summary'!$G$44,'ERF Main Summary'!$G$40:$G$41)</f>
        <v>472035059.50221467</v>
      </c>
      <c r="D75" s="692"/>
    </row>
    <row r="76" spans="1:12" x14ac:dyDescent="0.25">
      <c r="B76" s="24" t="s">
        <v>544</v>
      </c>
      <c r="C76" s="2">
        <f>C75*D76</f>
        <v>99127362.49546507</v>
      </c>
      <c r="D76" s="661">
        <v>0.21</v>
      </c>
    </row>
    <row r="77" spans="1:12" x14ac:dyDescent="0.25">
      <c r="A77" s="10" t="s">
        <v>543</v>
      </c>
      <c r="B77" s="24" t="s">
        <v>542</v>
      </c>
      <c r="C77" s="2">
        <v>200279.15</v>
      </c>
      <c r="D77" s="661">
        <f t="shared" ref="D77:D83" si="1">C77/$C$75</f>
        <v>4.2428871747620756E-4</v>
      </c>
    </row>
    <row r="78" spans="1:12" x14ac:dyDescent="0.25">
      <c r="A78" s="10" t="s">
        <v>541</v>
      </c>
      <c r="B78" s="24" t="s">
        <v>684</v>
      </c>
      <c r="C78" s="2">
        <v>194915.43</v>
      </c>
      <c r="D78" s="661">
        <f t="shared" si="1"/>
        <v>4.1292574794242693E-4</v>
      </c>
    </row>
    <row r="79" spans="1:12" x14ac:dyDescent="0.25">
      <c r="A79" s="10" t="s">
        <v>540</v>
      </c>
      <c r="B79" s="24" t="s">
        <v>539</v>
      </c>
      <c r="C79" s="2">
        <f>E61</f>
        <v>61765</v>
      </c>
      <c r="D79" s="661">
        <f t="shared" si="1"/>
        <v>1.3084833161573715E-4</v>
      </c>
    </row>
    <row r="80" spans="1:12" x14ac:dyDescent="0.25">
      <c r="A80" s="10" t="s">
        <v>538</v>
      </c>
      <c r="B80" s="24" t="s">
        <v>537</v>
      </c>
      <c r="C80" s="2">
        <v>-227.55</v>
      </c>
      <c r="D80" s="661">
        <f t="shared" si="1"/>
        <v>-4.8206165075950768E-7</v>
      </c>
    </row>
    <row r="81" spans="1:5" x14ac:dyDescent="0.25">
      <c r="A81" s="10" t="s">
        <v>644</v>
      </c>
      <c r="B81" s="24" t="s">
        <v>685</v>
      </c>
      <c r="C81" s="2">
        <f>E8</f>
        <v>-533846</v>
      </c>
      <c r="D81" s="661">
        <f t="shared" si="1"/>
        <v>-1.1309456559497257E-3</v>
      </c>
    </row>
    <row r="82" spans="1:5" x14ac:dyDescent="0.25">
      <c r="A82" s="10" t="s">
        <v>536</v>
      </c>
      <c r="B82" s="24" t="s">
        <v>535</v>
      </c>
      <c r="C82" s="692">
        <v>-18540836.520121485</v>
      </c>
      <c r="D82" s="661">
        <f t="shared" si="1"/>
        <v>-3.9278515751931128E-2</v>
      </c>
    </row>
    <row r="83" spans="1:5" ht="15.75" thickBot="1" x14ac:dyDescent="0.3">
      <c r="A83" s="682"/>
      <c r="B83" s="702" t="s">
        <v>534</v>
      </c>
      <c r="C83" s="681">
        <f>SUM(C76:C82)</f>
        <v>80509412.005343601</v>
      </c>
      <c r="D83" s="680">
        <f t="shared" si="1"/>
        <v>0.17055811932750278</v>
      </c>
      <c r="E83" s="674"/>
    </row>
    <row r="84" spans="1:5" ht="15.75" thickTop="1" x14ac:dyDescent="0.25">
      <c r="B84" s="679" t="s">
        <v>533</v>
      </c>
      <c r="C84" s="1">
        <f>C83-E70</f>
        <v>0</v>
      </c>
      <c r="D84" s="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zoomScaleNormal="100" workbookViewId="0">
      <pane ySplit="2" topLeftCell="A3" activePane="bottomLeft" state="frozen"/>
      <selection activeCell="N43" sqref="N43"/>
      <selection pane="bottomLeft" activeCell="H11" sqref="H11"/>
    </sheetView>
  </sheetViews>
  <sheetFormatPr defaultColWidth="19.28515625" defaultRowHeight="12.75" x14ac:dyDescent="0.2"/>
  <cols>
    <col min="1" max="1" width="5.5703125" style="94" customWidth="1"/>
    <col min="2" max="2" width="50.42578125" style="94" customWidth="1"/>
    <col min="3" max="3" width="15.7109375" style="94" customWidth="1"/>
    <col min="4" max="5" width="12" style="94" customWidth="1"/>
    <col min="6" max="6" width="19.28515625" style="94"/>
    <col min="7" max="7" width="20.42578125" style="94" bestFit="1" customWidth="1"/>
    <col min="8" max="16384" width="19.28515625" style="94"/>
  </cols>
  <sheetData>
    <row r="1" spans="1:6" ht="17.100000000000001" customHeight="1" thickBot="1" x14ac:dyDescent="0.25">
      <c r="A1" s="269"/>
      <c r="B1" s="269"/>
      <c r="C1" s="269"/>
      <c r="D1" s="269"/>
      <c r="E1" s="270"/>
    </row>
    <row r="2" spans="1:6" s="52" customFormat="1" ht="17.100000000000001" customHeight="1" thickBot="1" x14ac:dyDescent="0.25">
      <c r="A2" s="51"/>
      <c r="B2" s="51"/>
      <c r="C2" s="51"/>
      <c r="D2" s="758" t="s">
        <v>693</v>
      </c>
      <c r="E2" s="759"/>
    </row>
    <row r="3" spans="1:6" s="52" customFormat="1" ht="17.100000000000001" customHeight="1" x14ac:dyDescent="0.2">
      <c r="A3" s="108" t="str">
        <f>Deficiency!A4:C4</f>
        <v>PUGET SOUND ENERGY-ELECTRIC</v>
      </c>
      <c r="B3" s="34"/>
      <c r="C3" s="34"/>
      <c r="D3" s="34"/>
      <c r="E3" s="291"/>
    </row>
    <row r="4" spans="1:6" s="218" customFormat="1" ht="17.100000000000001" customHeight="1" x14ac:dyDescent="0.2">
      <c r="A4" s="108" t="s">
        <v>167</v>
      </c>
      <c r="B4" s="34"/>
      <c r="C4" s="35"/>
      <c r="D4" s="34"/>
      <c r="E4" s="34"/>
    </row>
    <row r="5" spans="1:6" s="52" customFormat="1" ht="17.100000000000001" customHeight="1" x14ac:dyDescent="0.2">
      <c r="A5" s="184" t="s">
        <v>168</v>
      </c>
      <c r="B5" s="219"/>
      <c r="C5" s="271"/>
      <c r="D5" s="219"/>
      <c r="E5" s="272"/>
    </row>
    <row r="6" spans="1:6" s="52" customFormat="1" ht="17.100000000000001" customHeight="1" x14ac:dyDescent="0.2">
      <c r="A6" s="184" t="s">
        <v>169</v>
      </c>
      <c r="B6" s="272"/>
      <c r="C6" s="271"/>
      <c r="D6" s="219"/>
      <c r="E6" s="273"/>
    </row>
    <row r="7" spans="1:6" ht="17.100000000000001" customHeight="1" x14ac:dyDescent="0.2">
      <c r="A7" s="34" t="str">
        <f>_TestYear</f>
        <v>FOR THE TWELVE MONTHS ENDED JUNE 30, 2018</v>
      </c>
      <c r="B7" s="34"/>
      <c r="C7" s="34"/>
      <c r="D7" s="34"/>
      <c r="E7" s="34"/>
    </row>
    <row r="8" spans="1:6" ht="17.100000000000001" customHeight="1" x14ac:dyDescent="0.2">
      <c r="A8" s="108"/>
      <c r="B8" s="34"/>
      <c r="C8" s="34"/>
      <c r="D8" s="34"/>
      <c r="E8" s="34"/>
    </row>
    <row r="9" spans="1:6" ht="17.100000000000001" customHeight="1" x14ac:dyDescent="0.2">
      <c r="A9" s="51"/>
      <c r="B9" s="51"/>
      <c r="C9" s="51"/>
      <c r="D9" s="51"/>
      <c r="E9" s="51"/>
    </row>
    <row r="10" spans="1:6" ht="17.100000000000001" customHeight="1" x14ac:dyDescent="0.2">
      <c r="A10" s="51"/>
      <c r="B10" s="51"/>
      <c r="C10" s="51"/>
      <c r="D10" s="51"/>
      <c r="E10" s="51"/>
    </row>
    <row r="11" spans="1:6" ht="17.100000000000001" customHeight="1" x14ac:dyDescent="0.2">
      <c r="A11" s="268" t="s">
        <v>32</v>
      </c>
      <c r="B11" s="51"/>
      <c r="C11" s="268" t="s">
        <v>129</v>
      </c>
      <c r="D11" s="268"/>
      <c r="E11" s="268" t="s">
        <v>130</v>
      </c>
    </row>
    <row r="12" spans="1:6" s="134" customFormat="1" ht="17.100000000000001" customHeight="1" x14ac:dyDescent="0.2">
      <c r="A12" s="274" t="s">
        <v>34</v>
      </c>
      <c r="B12" s="275" t="s">
        <v>35</v>
      </c>
      <c r="C12" s="274" t="s">
        <v>131</v>
      </c>
      <c r="D12" s="274" t="s">
        <v>170</v>
      </c>
      <c r="E12" s="274" t="s">
        <v>132</v>
      </c>
      <c r="F12" s="120"/>
    </row>
    <row r="13" spans="1:6" s="134" customFormat="1" ht="17.100000000000001" customHeight="1" x14ac:dyDescent="0.2">
      <c r="A13" s="32"/>
      <c r="B13" s="32"/>
      <c r="C13" s="32"/>
      <c r="D13" s="32"/>
      <c r="E13" s="32"/>
      <c r="F13" s="120"/>
    </row>
    <row r="14" spans="1:6" s="134" customFormat="1" ht="17.100000000000001" customHeight="1" x14ac:dyDescent="0.2">
      <c r="A14" s="29">
        <v>1</v>
      </c>
      <c r="B14" s="226"/>
      <c r="C14" s="220"/>
      <c r="D14" s="220"/>
      <c r="E14" s="220"/>
      <c r="F14" s="120"/>
    </row>
    <row r="15" spans="1:6" s="134" customFormat="1" ht="17.100000000000001" customHeight="1" x14ac:dyDescent="0.25">
      <c r="A15" s="29">
        <v>2</v>
      </c>
      <c r="B15" s="226" t="s">
        <v>171</v>
      </c>
      <c r="C15" s="220">
        <f>'[2]ERF COC Pg2'!$D$21</f>
        <v>0.51500000000000001</v>
      </c>
      <c r="D15" s="558">
        <f>E15/C15</f>
        <v>5.5922330097087379E-2</v>
      </c>
      <c r="E15" s="558">
        <f>'[2]ERF COC Pg2'!$F$21</f>
        <v>2.8799999999999999E-2</v>
      </c>
      <c r="F15" s="120"/>
    </row>
    <row r="16" spans="1:6" s="134" customFormat="1" ht="17.100000000000001" customHeight="1" x14ac:dyDescent="0.2">
      <c r="A16" s="29">
        <v>3</v>
      </c>
      <c r="B16" s="226" t="s">
        <v>133</v>
      </c>
      <c r="C16" s="220">
        <f>'[2]ERF COC Pg2'!$D$22</f>
        <v>0.48499999999999999</v>
      </c>
      <c r="D16" s="220">
        <f>'[2]ERF COC Pg2'!$E$22</f>
        <v>9.5000000000000001E-2</v>
      </c>
      <c r="E16" s="220">
        <f>ROUND(+C16*D16,4)</f>
        <v>4.6100000000000002E-2</v>
      </c>
      <c r="F16" s="120"/>
    </row>
    <row r="17" spans="1:7" s="134" customFormat="1" ht="17.100000000000001" customHeight="1" x14ac:dyDescent="0.25">
      <c r="A17" s="29">
        <v>4</v>
      </c>
      <c r="B17" s="226" t="s">
        <v>134</v>
      </c>
      <c r="C17" s="221">
        <f>SUM(C14:C16)</f>
        <v>1</v>
      </c>
      <c r="D17" s="152"/>
      <c r="E17" s="559">
        <f>SUM(E15:E16)</f>
        <v>7.4899999999999994E-2</v>
      </c>
      <c r="F17" s="120"/>
    </row>
    <row r="18" spans="1:7" s="134" customFormat="1" ht="17.100000000000001" customHeight="1" x14ac:dyDescent="0.2">
      <c r="A18" s="29">
        <v>5</v>
      </c>
      <c r="B18" s="276"/>
      <c r="C18" s="226"/>
      <c r="D18" s="226"/>
      <c r="E18" s="49"/>
      <c r="F18" s="120"/>
    </row>
    <row r="19" spans="1:7" s="134" customFormat="1" ht="17.100000000000001" customHeight="1" x14ac:dyDescent="0.2">
      <c r="A19" s="29">
        <v>6</v>
      </c>
      <c r="B19" s="226"/>
      <c r="C19" s="59"/>
      <c r="D19" s="59"/>
      <c r="E19" s="220"/>
      <c r="F19" s="120"/>
    </row>
    <row r="20" spans="1:7" s="134" customFormat="1" ht="17.100000000000001" customHeight="1" x14ac:dyDescent="0.25">
      <c r="A20" s="29">
        <v>7</v>
      </c>
      <c r="B20" s="226" t="s">
        <v>172</v>
      </c>
      <c r="C20" s="59">
        <f>C15</f>
        <v>0.51500000000000001</v>
      </c>
      <c r="D20" s="558">
        <f>+ROUND(D15*0.79,4)</f>
        <v>4.4200000000000003E-2</v>
      </c>
      <c r="E20" s="558">
        <f>ROUND(+C20*D20,4)</f>
        <v>2.2800000000000001E-2</v>
      </c>
      <c r="F20" s="120"/>
      <c r="G20" s="647"/>
    </row>
    <row r="21" spans="1:7" s="134" customFormat="1" ht="17.100000000000001" customHeight="1" x14ac:dyDescent="0.2">
      <c r="A21" s="29">
        <v>8</v>
      </c>
      <c r="B21" s="226" t="s">
        <v>133</v>
      </c>
      <c r="C21" s="59">
        <f>C16</f>
        <v>0.48499999999999999</v>
      </c>
      <c r="D21" s="220">
        <f t="shared" ref="D21" si="0">+D16</f>
        <v>9.5000000000000001E-2</v>
      </c>
      <c r="E21" s="220">
        <f>ROUND(C21*D21,4)</f>
        <v>4.6100000000000002E-2</v>
      </c>
      <c r="F21" s="120"/>
    </row>
    <row r="22" spans="1:7" s="134" customFormat="1" ht="17.100000000000001" customHeight="1" x14ac:dyDescent="0.25">
      <c r="A22" s="29">
        <v>9</v>
      </c>
      <c r="B22" s="226" t="s">
        <v>135</v>
      </c>
      <c r="C22" s="221">
        <f>SUM(C19:C21)</f>
        <v>1</v>
      </c>
      <c r="D22" s="152"/>
      <c r="E22" s="559">
        <f>SUM(E19:E21)</f>
        <v>6.8900000000000003E-2</v>
      </c>
      <c r="F22" s="120"/>
    </row>
    <row r="23" spans="1:7" s="134" customFormat="1" ht="17.100000000000001" customHeight="1" x14ac:dyDescent="0.2">
      <c r="A23" s="29"/>
      <c r="B23" s="124"/>
      <c r="C23" s="124"/>
      <c r="D23" s="124"/>
      <c r="E23" s="124"/>
      <c r="F23" s="120"/>
    </row>
    <row r="24" spans="1:7" s="134" customFormat="1" ht="17.100000000000001" customHeight="1" x14ac:dyDescent="0.2">
      <c r="A24" s="226" t="s">
        <v>177</v>
      </c>
      <c r="C24" s="124"/>
      <c r="D24" s="124"/>
      <c r="E24" s="124"/>
    </row>
    <row r="25" spans="1:7" s="134" customFormat="1" ht="17.100000000000001" customHeight="1" x14ac:dyDescent="0.2">
      <c r="A25" s="226" t="s">
        <v>430</v>
      </c>
      <c r="B25" s="226"/>
    </row>
    <row r="26" spans="1:7" s="134" customFormat="1" x14ac:dyDescent="0.2"/>
    <row r="27" spans="1:7" s="134" customFormat="1" x14ac:dyDescent="0.2"/>
    <row r="28" spans="1:7" s="134" customFormat="1" x14ac:dyDescent="0.2">
      <c r="A28" s="67"/>
      <c r="B28" s="67"/>
    </row>
    <row r="29" spans="1:7" s="134" customFormat="1" x14ac:dyDescent="0.2">
      <c r="A29" s="67"/>
      <c r="B29" s="67"/>
    </row>
    <row r="30" spans="1:7" s="134" customFormat="1" x14ac:dyDescent="0.2">
      <c r="A30" s="67"/>
      <c r="B30" s="67"/>
    </row>
    <row r="31" spans="1:7" s="134" customFormat="1" x14ac:dyDescent="0.2">
      <c r="A31" s="67"/>
      <c r="B31" s="67"/>
    </row>
    <row r="32" spans="1:7" s="104" customFormat="1" x14ac:dyDescent="0.2">
      <c r="A32" s="222"/>
      <c r="B32" s="222"/>
    </row>
    <row r="33" spans="1:2" s="104" customFormat="1" x14ac:dyDescent="0.2">
      <c r="A33" s="222"/>
      <c r="B33" s="222"/>
    </row>
    <row r="34" spans="1:2" s="104" customFormat="1" x14ac:dyDescent="0.2">
      <c r="A34" s="222"/>
      <c r="B34" s="222"/>
    </row>
    <row r="35" spans="1:2" s="104" customFormat="1" x14ac:dyDescent="0.2">
      <c r="A35" s="222"/>
      <c r="B35" s="222"/>
    </row>
    <row r="36" spans="1:2" s="104" customFormat="1" x14ac:dyDescent="0.2">
      <c r="A36" s="222"/>
      <c r="B36" s="222"/>
    </row>
    <row r="37" spans="1:2" s="104" customFormat="1" x14ac:dyDescent="0.2">
      <c r="A37" s="222"/>
      <c r="B37" s="222"/>
    </row>
    <row r="38" spans="1:2" s="104" customFormat="1" x14ac:dyDescent="0.2">
      <c r="A38" s="222"/>
      <c r="B38" s="222"/>
    </row>
    <row r="39" spans="1:2" s="104" customFormat="1" x14ac:dyDescent="0.2">
      <c r="A39" s="222"/>
      <c r="B39" s="222"/>
    </row>
    <row r="40" spans="1:2" s="104" customFormat="1" x14ac:dyDescent="0.2">
      <c r="A40" s="222"/>
      <c r="B40" s="222"/>
    </row>
    <row r="41" spans="1:2" s="104" customFormat="1" x14ac:dyDescent="0.2">
      <c r="A41" s="222"/>
      <c r="B41" s="222"/>
    </row>
    <row r="42" spans="1:2" s="104" customFormat="1" x14ac:dyDescent="0.2">
      <c r="A42" s="222"/>
      <c r="B42" s="222"/>
    </row>
    <row r="43" spans="1:2" s="104" customFormat="1" x14ac:dyDescent="0.2">
      <c r="A43" s="222"/>
      <c r="B43" s="222"/>
    </row>
    <row r="44" spans="1:2" s="104" customFormat="1" x14ac:dyDescent="0.2">
      <c r="A44" s="222"/>
      <c r="B44" s="222"/>
    </row>
    <row r="45" spans="1:2" s="104" customFormat="1" x14ac:dyDescent="0.2">
      <c r="A45" s="222"/>
      <c r="B45" s="222"/>
    </row>
    <row r="46" spans="1:2" s="104" customFormat="1" x14ac:dyDescent="0.2">
      <c r="A46" s="222"/>
      <c r="B46" s="222"/>
    </row>
    <row r="47" spans="1:2" s="104" customFormat="1" x14ac:dyDescent="0.2">
      <c r="A47" s="222"/>
      <c r="B47" s="222"/>
    </row>
    <row r="48" spans="1:2" s="104" customFormat="1" x14ac:dyDescent="0.2">
      <c r="A48" s="222"/>
      <c r="B48" s="222"/>
    </row>
    <row r="49" spans="1:2" s="104" customFormat="1" x14ac:dyDescent="0.2">
      <c r="A49" s="222"/>
      <c r="B49" s="222"/>
    </row>
    <row r="50" spans="1:2" s="104" customFormat="1" x14ac:dyDescent="0.2">
      <c r="A50" s="222"/>
      <c r="B50" s="222"/>
    </row>
    <row r="51" spans="1:2" s="104" customFormat="1" ht="13.5" customHeight="1" x14ac:dyDescent="0.2">
      <c r="A51" s="222"/>
      <c r="B51" s="222"/>
    </row>
    <row r="52" spans="1:2" s="104" customFormat="1" x14ac:dyDescent="0.2">
      <c r="A52" s="222"/>
      <c r="B52" s="222"/>
    </row>
    <row r="53" spans="1:2" s="104" customFormat="1" x14ac:dyDescent="0.2">
      <c r="A53" s="222"/>
      <c r="B53" s="222"/>
    </row>
    <row r="54" spans="1:2" s="104" customFormat="1" x14ac:dyDescent="0.2">
      <c r="A54" s="222"/>
      <c r="B54" s="222"/>
    </row>
    <row r="55" spans="1:2" s="104" customFormat="1" x14ac:dyDescent="0.2">
      <c r="A55" s="222"/>
      <c r="B55" s="222"/>
    </row>
    <row r="56" spans="1:2" s="104" customFormat="1" x14ac:dyDescent="0.2">
      <c r="A56" s="222"/>
      <c r="B56" s="222"/>
    </row>
    <row r="57" spans="1:2" s="104" customFormat="1" x14ac:dyDescent="0.2">
      <c r="A57" s="222"/>
      <c r="B57" s="222"/>
    </row>
    <row r="58" spans="1:2" s="104" customFormat="1" x14ac:dyDescent="0.2">
      <c r="A58" s="222"/>
      <c r="B58" s="222"/>
    </row>
    <row r="59" spans="1:2" s="104" customFormat="1" x14ac:dyDescent="0.2">
      <c r="A59" s="222"/>
      <c r="B59" s="223"/>
    </row>
    <row r="60" spans="1:2" s="104" customFormat="1" x14ac:dyDescent="0.2"/>
    <row r="61" spans="1:2" s="104" customFormat="1" x14ac:dyDescent="0.2"/>
    <row r="62" spans="1:2" s="104" customFormat="1" x14ac:dyDescent="0.2"/>
    <row r="63" spans="1:2" s="104" customFormat="1" x14ac:dyDescent="0.2"/>
    <row r="64" spans="1:2" s="104" customFormat="1" x14ac:dyDescent="0.2"/>
    <row r="65" s="104" customFormat="1" x14ac:dyDescent="0.2"/>
    <row r="66" s="104" customFormat="1" x14ac:dyDescent="0.2"/>
    <row r="67" s="104" customFormat="1" x14ac:dyDescent="0.2"/>
    <row r="68" s="104" customFormat="1" x14ac:dyDescent="0.2"/>
    <row r="69" s="104" customFormat="1" x14ac:dyDescent="0.2"/>
    <row r="70" s="104" customFormat="1" x14ac:dyDescent="0.2"/>
    <row r="71" s="104" customFormat="1" x14ac:dyDescent="0.2"/>
    <row r="72" s="104" customFormat="1" x14ac:dyDescent="0.2"/>
    <row r="73" s="104" customFormat="1" x14ac:dyDescent="0.2"/>
    <row r="74" s="104" customFormat="1" x14ac:dyDescent="0.2"/>
    <row r="75" s="104" customFormat="1" x14ac:dyDescent="0.2"/>
    <row r="76" s="104" customFormat="1" x14ac:dyDescent="0.2"/>
    <row r="77" s="104" customFormat="1" x14ac:dyDescent="0.2"/>
    <row r="78" s="104" customFormat="1" x14ac:dyDescent="0.2"/>
    <row r="79" s="104" customFormat="1" x14ac:dyDescent="0.2"/>
    <row r="80" s="104" customFormat="1" x14ac:dyDescent="0.2"/>
    <row r="81" s="104" customFormat="1" x14ac:dyDescent="0.2"/>
    <row r="82" s="104" customFormat="1" x14ac:dyDescent="0.2"/>
    <row r="83" s="104" customFormat="1" x14ac:dyDescent="0.2"/>
    <row r="84" s="104" customFormat="1" x14ac:dyDescent="0.2"/>
    <row r="85" s="104" customFormat="1" x14ac:dyDescent="0.2"/>
    <row r="86" s="104" customFormat="1" x14ac:dyDescent="0.2"/>
    <row r="87" s="104" customFormat="1" x14ac:dyDescent="0.2"/>
    <row r="88" s="104" customFormat="1" x14ac:dyDescent="0.2"/>
    <row r="89" s="104" customFormat="1" x14ac:dyDescent="0.2"/>
    <row r="90" s="104" customFormat="1" x14ac:dyDescent="0.2"/>
    <row r="91" s="104" customFormat="1" x14ac:dyDescent="0.2"/>
    <row r="92" s="104" customFormat="1" x14ac:dyDescent="0.2"/>
    <row r="93" s="104" customFormat="1" x14ac:dyDescent="0.2"/>
    <row r="94" s="104" customFormat="1" x14ac:dyDescent="0.2"/>
    <row r="95" s="104" customFormat="1" x14ac:dyDescent="0.2"/>
    <row r="96" s="104" customFormat="1" x14ac:dyDescent="0.2"/>
    <row r="97" s="104" customFormat="1" x14ac:dyDescent="0.2"/>
    <row r="98" s="104" customFormat="1" x14ac:dyDescent="0.2"/>
    <row r="99" s="104" customFormat="1" x14ac:dyDescent="0.2"/>
    <row r="100" s="104" customFormat="1" x14ac:dyDescent="0.2"/>
    <row r="101" s="104" customFormat="1" x14ac:dyDescent="0.2"/>
    <row r="102" s="104" customFormat="1" x14ac:dyDescent="0.2"/>
    <row r="103" s="104" customFormat="1" x14ac:dyDescent="0.2"/>
    <row r="104" s="104" customFormat="1" x14ac:dyDescent="0.2"/>
    <row r="105" s="104" customFormat="1" x14ac:dyDescent="0.2"/>
    <row r="106" s="104" customFormat="1" x14ac:dyDescent="0.2"/>
    <row r="107" s="104" customFormat="1" x14ac:dyDescent="0.2"/>
    <row r="108" s="104" customFormat="1" x14ac:dyDescent="0.2"/>
    <row r="109" s="104" customFormat="1" x14ac:dyDescent="0.2"/>
    <row r="110" s="104" customFormat="1" x14ac:dyDescent="0.2"/>
  </sheetData>
  <mergeCells count="1">
    <mergeCell ref="D2:E2"/>
  </mergeCells>
  <conditionalFormatting sqref="A1:IN1">
    <cfRule type="cellIs" dxfId="31" priority="3" stopIfTrue="1" operator="notEqual">
      <formula>0</formula>
    </cfRule>
  </conditionalFormatting>
  <printOptions horizontalCentered="1"/>
  <pageMargins left="0.95" right="0.7" top="0.75" bottom="0.75" header="0.3" footer="0.55000000000000004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3" sqref="B3"/>
    </sheetView>
  </sheetViews>
  <sheetFormatPr defaultColWidth="9.140625" defaultRowHeight="12.75" x14ac:dyDescent="0.2"/>
  <cols>
    <col min="1" max="1" width="5.42578125" style="251" customWidth="1"/>
    <col min="2" max="2" width="69.85546875" style="251" customWidth="1"/>
    <col min="3" max="3" width="2.5703125" style="251" customWidth="1"/>
    <col min="4" max="4" width="13.42578125" style="251" customWidth="1"/>
    <col min="5" max="5" width="11.42578125" style="251" customWidth="1"/>
    <col min="6" max="6" width="13.7109375" style="251" bestFit="1" customWidth="1"/>
    <col min="7" max="16384" width="9.140625" style="251"/>
  </cols>
  <sheetData>
    <row r="1" spans="1:5" ht="20.25" customHeight="1" thickBot="1" x14ac:dyDescent="0.25">
      <c r="D1" s="758" t="s">
        <v>688</v>
      </c>
      <c r="E1" s="759"/>
    </row>
    <row r="2" spans="1:5" x14ac:dyDescent="0.2">
      <c r="A2" s="248"/>
      <c r="B2" s="249"/>
      <c r="C2" s="249"/>
      <c r="D2" s="249"/>
      <c r="E2" s="250"/>
    </row>
    <row r="3" spans="1:5" x14ac:dyDescent="0.2">
      <c r="A3" s="248"/>
      <c r="B3" s="248"/>
      <c r="C3" s="248"/>
      <c r="D3" s="248"/>
      <c r="E3" s="250"/>
    </row>
    <row r="4" spans="1:5" ht="15" customHeight="1" x14ac:dyDescent="0.2">
      <c r="A4" s="248"/>
      <c r="B4" s="248"/>
      <c r="C4" s="248"/>
    </row>
    <row r="5" spans="1:5" x14ac:dyDescent="0.2">
      <c r="A5" s="253" t="s">
        <v>57</v>
      </c>
      <c r="B5" s="734"/>
      <c r="C5" s="253"/>
      <c r="D5" s="253"/>
      <c r="E5" s="253"/>
    </row>
    <row r="6" spans="1:5" x14ac:dyDescent="0.2">
      <c r="A6" s="735" t="s">
        <v>175</v>
      </c>
      <c r="B6" s="734"/>
      <c r="C6" s="735"/>
      <c r="D6" s="735"/>
      <c r="E6" s="735"/>
    </row>
    <row r="7" spans="1:5" x14ac:dyDescent="0.2">
      <c r="A7" s="252" t="str">
        <f>_TestYear</f>
        <v>FOR THE TWELVE MONTHS ENDED JUNE 30, 2018</v>
      </c>
      <c r="B7" s="734"/>
      <c r="C7" s="252"/>
      <c r="D7" s="252"/>
      <c r="E7" s="252"/>
    </row>
    <row r="8" spans="1:5" x14ac:dyDescent="0.2">
      <c r="A8" s="252" t="s">
        <v>694</v>
      </c>
      <c r="B8" s="734"/>
      <c r="C8" s="252"/>
      <c r="D8" s="252"/>
      <c r="E8" s="252"/>
    </row>
    <row r="9" spans="1:5" x14ac:dyDescent="0.2">
      <c r="A9" s="248"/>
      <c r="B9" s="248"/>
      <c r="C9" s="248"/>
      <c r="D9" s="248"/>
      <c r="E9" s="248"/>
    </row>
    <row r="10" spans="1:5" x14ac:dyDescent="0.2">
      <c r="A10" s="254" t="s">
        <v>32</v>
      </c>
      <c r="B10" s="248"/>
      <c r="C10" s="248"/>
      <c r="D10" s="248"/>
      <c r="E10" s="248"/>
    </row>
    <row r="11" spans="1:5" x14ac:dyDescent="0.2">
      <c r="A11" s="255" t="s">
        <v>34</v>
      </c>
      <c r="B11" s="256" t="s">
        <v>35</v>
      </c>
      <c r="C11" s="257"/>
      <c r="D11" s="257"/>
      <c r="E11" s="448" t="s">
        <v>44</v>
      </c>
    </row>
    <row r="12" spans="1:5" x14ac:dyDescent="0.2">
      <c r="A12" s="249"/>
      <c r="B12" s="249"/>
      <c r="C12" s="249"/>
      <c r="D12" s="249"/>
      <c r="E12" s="258"/>
    </row>
    <row r="13" spans="1:5" ht="15" customHeight="1" x14ac:dyDescent="0.2">
      <c r="A13" s="258">
        <v>1</v>
      </c>
      <c r="B13" s="259" t="s">
        <v>158</v>
      </c>
      <c r="C13" s="249"/>
      <c r="D13" s="249"/>
      <c r="E13" s="260">
        <f>'[3]4.01 E'!$E$14</f>
        <v>8.0199999999999994E-3</v>
      </c>
    </row>
    <row r="14" spans="1:5" ht="15" customHeight="1" x14ac:dyDescent="0.2">
      <c r="A14" s="258">
        <v>2</v>
      </c>
      <c r="B14" s="259" t="s">
        <v>159</v>
      </c>
      <c r="C14" s="249"/>
      <c r="D14" s="249"/>
      <c r="E14" s="260">
        <f>'[3]4.01 E'!$E$15</f>
        <v>2E-3</v>
      </c>
    </row>
    <row r="15" spans="1:5" ht="15" customHeight="1" x14ac:dyDescent="0.2">
      <c r="A15" s="258">
        <v>3</v>
      </c>
      <c r="B15" s="259" t="str">
        <f>"STATE UTILITY TAX - NET OF BAD DEBTS ( "&amp;D15*100&amp;"% - ( LINE 1 * "&amp;D15*100&amp;"%) )"</f>
        <v>STATE UTILITY TAX - NET OF BAD DEBTS ( 3.8734% - ( LINE 1 * 3.8734%) )</v>
      </c>
      <c r="C15" s="249"/>
      <c r="D15" s="261">
        <f>'[3]4.01 E'!$D$16</f>
        <v>3.8733999999999998E-2</v>
      </c>
      <c r="E15" s="262">
        <f>ROUND(D15-(D15*E13),6)</f>
        <v>3.8422999999999999E-2</v>
      </c>
    </row>
    <row r="16" spans="1:5" ht="15" customHeight="1" x14ac:dyDescent="0.2">
      <c r="A16" s="258">
        <v>4</v>
      </c>
      <c r="B16" s="259"/>
      <c r="C16" s="249"/>
      <c r="D16" s="249"/>
      <c r="E16" s="263"/>
    </row>
    <row r="17" spans="1:5" ht="15" customHeight="1" x14ac:dyDescent="0.2">
      <c r="A17" s="258">
        <v>5</v>
      </c>
      <c r="B17" s="259" t="s">
        <v>160</v>
      </c>
      <c r="C17" s="249"/>
      <c r="D17" s="249"/>
      <c r="E17" s="260">
        <f>ROUND(SUM(E13:E15),6)</f>
        <v>4.8443E-2</v>
      </c>
    </row>
    <row r="18" spans="1:5" ht="15" customHeight="1" x14ac:dyDescent="0.2">
      <c r="A18" s="258">
        <v>6</v>
      </c>
      <c r="B18" s="249"/>
      <c r="C18" s="249"/>
      <c r="D18" s="249"/>
      <c r="E18" s="260"/>
    </row>
    <row r="19" spans="1:5" ht="15" customHeight="1" x14ac:dyDescent="0.2">
      <c r="A19" s="258">
        <v>7</v>
      </c>
      <c r="B19" s="249" t="s">
        <v>161</v>
      </c>
      <c r="C19" s="249"/>
      <c r="D19" s="249"/>
      <c r="E19" s="260">
        <f>ROUND(1-E17,6)</f>
        <v>0.95155699999999999</v>
      </c>
    </row>
    <row r="20" spans="1:5" ht="15" customHeight="1" x14ac:dyDescent="0.2">
      <c r="A20" s="258">
        <v>8</v>
      </c>
      <c r="B20" s="259" t="s">
        <v>704</v>
      </c>
      <c r="C20" s="249"/>
      <c r="D20" s="277">
        <v>0.21</v>
      </c>
      <c r="E20" s="260">
        <f>ROUND((E19)*D20,6)</f>
        <v>0.199827</v>
      </c>
    </row>
    <row r="21" spans="1:5" ht="15" customHeight="1" x14ac:dyDescent="0.2">
      <c r="A21" s="258">
        <v>9</v>
      </c>
      <c r="B21" s="259" t="s">
        <v>162</v>
      </c>
      <c r="C21" s="249"/>
      <c r="D21" s="249"/>
      <c r="E21" s="264">
        <f>ROUND(1-E20-E17,6)</f>
        <v>0.75173000000000001</v>
      </c>
    </row>
    <row r="22" spans="1:5" x14ac:dyDescent="0.2">
      <c r="A22" s="249"/>
      <c r="B22" s="249"/>
      <c r="C22" s="249"/>
      <c r="D22" s="249"/>
      <c r="E22" s="258"/>
    </row>
    <row r="25" spans="1:5" x14ac:dyDescent="0.2">
      <c r="E25" s="265"/>
    </row>
  </sheetData>
  <mergeCells count="1">
    <mergeCell ref="D1:E1"/>
  </mergeCells>
  <printOptions horizontalCentered="1"/>
  <pageMargins left="0.65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  <pageSetUpPr fitToPage="1"/>
  </sheetPr>
  <dimension ref="A1:S88"/>
  <sheetViews>
    <sheetView zoomScale="85" zoomScaleNormal="85" workbookViewId="0">
      <pane xSplit="2" ySplit="10" topLeftCell="E33" activePane="bottomRight" state="frozen"/>
      <selection activeCell="E44" sqref="E44"/>
      <selection pane="topRight" activeCell="E44" sqref="E44"/>
      <selection pane="bottomLeft" activeCell="E44" sqref="E44"/>
      <selection pane="bottomRight" sqref="A1:M57"/>
    </sheetView>
  </sheetViews>
  <sheetFormatPr defaultColWidth="9.28515625" defaultRowHeight="15" x14ac:dyDescent="0.25"/>
  <cols>
    <col min="1" max="1" width="6" style="84" bestFit="1" customWidth="1"/>
    <col min="2" max="2" width="46" style="84" customWidth="1"/>
    <col min="3" max="7" width="18.7109375" style="84" customWidth="1"/>
    <col min="8" max="8" width="19.5703125" style="84" customWidth="1"/>
    <col min="9" max="9" width="20.42578125" style="84" customWidth="1"/>
    <col min="10" max="10" width="21.140625" style="94" customWidth="1"/>
    <col min="11" max="11" width="20.42578125" style="94" bestFit="1" customWidth="1"/>
    <col min="12" max="12" width="18.7109375" style="94" customWidth="1"/>
    <col min="13" max="13" width="20.42578125" style="94" bestFit="1" customWidth="1"/>
    <col min="14" max="14" width="15.140625" bestFit="1" customWidth="1"/>
    <col min="15" max="16" width="9.140625" customWidth="1"/>
    <col min="17" max="16384" width="9.28515625" style="84"/>
  </cols>
  <sheetData>
    <row r="1" spans="1:16" ht="18" customHeight="1" thickBot="1" x14ac:dyDescent="0.3">
      <c r="L1" s="671" t="s">
        <v>689</v>
      </c>
      <c r="M1" s="600"/>
    </row>
    <row r="2" spans="1:16" s="288" customFormat="1" ht="15" customHeight="1" x14ac:dyDescent="0.25">
      <c r="A2" s="62" t="s">
        <v>57</v>
      </c>
      <c r="B2" s="34"/>
      <c r="C2" s="35"/>
      <c r="D2" s="43"/>
      <c r="E2" s="34"/>
      <c r="F2" s="34"/>
      <c r="G2" s="34"/>
      <c r="H2" s="68"/>
      <c r="I2" s="34"/>
      <c r="J2" s="34"/>
      <c r="K2" s="34"/>
      <c r="L2" s="34"/>
      <c r="M2" s="34"/>
      <c r="N2" s="703"/>
      <c r="O2" s="287"/>
      <c r="P2" s="287"/>
    </row>
    <row r="3" spans="1:16" ht="15" customHeight="1" x14ac:dyDescent="0.25">
      <c r="A3" s="652" t="s">
        <v>76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6" ht="15" customHeight="1" x14ac:dyDescent="0.25">
      <c r="A4" s="43" t="str">
        <f>+'ERF ROR'!A7</f>
        <v>FOR THE TWELVE MONTHS ENDED JUNE 30, 2018</v>
      </c>
      <c r="B4" s="34"/>
      <c r="C4" s="34"/>
      <c r="D4" s="43"/>
      <c r="E4" s="34"/>
      <c r="F4" s="34"/>
      <c r="G4" s="34"/>
      <c r="H4" s="34"/>
      <c r="I4" s="34"/>
      <c r="J4" s="34"/>
      <c r="K4" s="34"/>
      <c r="L4" s="34"/>
      <c r="M4" s="34"/>
    </row>
    <row r="5" spans="1:16" customFormat="1" ht="18.75" x14ac:dyDescent="0.3">
      <c r="A5" s="96"/>
      <c r="B5" s="34"/>
      <c r="C5" s="34"/>
      <c r="D5" s="34"/>
      <c r="E5" s="34"/>
      <c r="F5" s="34"/>
      <c r="G5" s="34"/>
      <c r="H5" s="34"/>
      <c r="I5" s="651"/>
      <c r="J5" s="653"/>
      <c r="L5" s="94"/>
      <c r="M5" s="94"/>
    </row>
    <row r="6" spans="1:16" ht="18.75" x14ac:dyDescent="0.3">
      <c r="A6" s="96"/>
      <c r="B6" s="34"/>
      <c r="C6"/>
      <c r="D6"/>
      <c r="E6"/>
      <c r="F6"/>
      <c r="G6"/>
      <c r="H6"/>
      <c r="I6"/>
      <c r="K6"/>
    </row>
    <row r="7" spans="1:16" x14ac:dyDescent="0.25">
      <c r="A7" s="51"/>
      <c r="B7" s="51"/>
      <c r="C7" s="521" t="s">
        <v>33</v>
      </c>
      <c r="D7" s="522" t="s">
        <v>39</v>
      </c>
      <c r="E7" s="504" t="s">
        <v>406</v>
      </c>
      <c r="F7" s="561" t="s">
        <v>37</v>
      </c>
      <c r="G7" s="504" t="s">
        <v>403</v>
      </c>
      <c r="H7" s="561" t="s">
        <v>415</v>
      </c>
      <c r="I7" s="504" t="s">
        <v>405</v>
      </c>
      <c r="J7" s="561" t="s">
        <v>407</v>
      </c>
      <c r="K7" s="504" t="s">
        <v>86</v>
      </c>
      <c r="L7" s="561" t="s">
        <v>61</v>
      </c>
      <c r="M7" s="504" t="s">
        <v>72</v>
      </c>
    </row>
    <row r="8" spans="1:16" x14ac:dyDescent="0.25">
      <c r="A8" s="27" t="s">
        <v>32</v>
      </c>
      <c r="B8" s="51"/>
      <c r="C8" s="502" t="s">
        <v>42</v>
      </c>
      <c r="D8" s="523" t="s">
        <v>408</v>
      </c>
      <c r="E8" s="505" t="s">
        <v>42</v>
      </c>
      <c r="F8" s="560" t="s">
        <v>401</v>
      </c>
      <c r="G8" s="505" t="s">
        <v>42</v>
      </c>
      <c r="H8" s="560" t="s">
        <v>404</v>
      </c>
      <c r="I8" s="505" t="s">
        <v>42</v>
      </c>
      <c r="J8" s="560" t="s">
        <v>654</v>
      </c>
      <c r="K8" s="505" t="s">
        <v>42</v>
      </c>
      <c r="L8" s="560" t="s">
        <v>96</v>
      </c>
      <c r="M8" s="505" t="s">
        <v>44</v>
      </c>
    </row>
    <row r="9" spans="1:16" x14ac:dyDescent="0.25">
      <c r="A9" s="31" t="s">
        <v>34</v>
      </c>
      <c r="B9" s="54"/>
      <c r="C9" s="503" t="s">
        <v>43</v>
      </c>
      <c r="D9" s="524" t="s">
        <v>51</v>
      </c>
      <c r="E9" s="506" t="s">
        <v>43</v>
      </c>
      <c r="F9" s="448" t="s">
        <v>402</v>
      </c>
      <c r="G9" s="506" t="s">
        <v>43</v>
      </c>
      <c r="H9" s="448" t="s">
        <v>51</v>
      </c>
      <c r="I9" s="506" t="s">
        <v>43</v>
      </c>
      <c r="J9" s="448" t="s">
        <v>655</v>
      </c>
      <c r="K9" s="506" t="s">
        <v>43</v>
      </c>
      <c r="L9" s="448" t="str">
        <f>IF(L16&lt;0,"SUFFICIENCY","DEFICIENCY")</f>
        <v>DEFICIENCY</v>
      </c>
      <c r="M9" s="506" t="str">
        <f>IF(L16&lt;0,"DECREASE","INCREASE")</f>
        <v>INCREASE</v>
      </c>
    </row>
    <row r="10" spans="1:16" x14ac:dyDescent="0.25">
      <c r="A10" s="28"/>
      <c r="B10" s="28"/>
      <c r="C10" s="525" t="s">
        <v>77</v>
      </c>
      <c r="D10" s="526" t="s">
        <v>78</v>
      </c>
      <c r="E10" s="507" t="s">
        <v>79</v>
      </c>
      <c r="F10" s="37" t="s">
        <v>80</v>
      </c>
      <c r="G10" s="507" t="s">
        <v>411</v>
      </c>
      <c r="H10" s="37" t="s">
        <v>409</v>
      </c>
      <c r="I10" s="507" t="s">
        <v>412</v>
      </c>
      <c r="J10" s="37" t="s">
        <v>410</v>
      </c>
      <c r="K10" s="507" t="s">
        <v>453</v>
      </c>
      <c r="L10" s="37" t="s">
        <v>413</v>
      </c>
      <c r="M10" s="507" t="s">
        <v>414</v>
      </c>
    </row>
    <row r="11" spans="1:16" x14ac:dyDescent="0.25">
      <c r="A11" s="29">
        <v>1</v>
      </c>
      <c r="B11" s="42" t="s">
        <v>4</v>
      </c>
      <c r="C11" s="520"/>
      <c r="D11" s="278"/>
      <c r="E11" s="508"/>
      <c r="F11" s="49"/>
      <c r="G11" s="508"/>
      <c r="H11" s="562"/>
      <c r="I11" s="508"/>
      <c r="J11" s="49"/>
      <c r="K11" s="508"/>
      <c r="L11" s="49"/>
      <c r="M11" s="508"/>
    </row>
    <row r="12" spans="1:16" x14ac:dyDescent="0.25">
      <c r="A12" s="29">
        <f t="shared" ref="A12:A57" si="0">+A11+1</f>
        <v>2</v>
      </c>
      <c r="B12" s="30" t="s">
        <v>5</v>
      </c>
      <c r="C12" s="527">
        <f>+'CBR Model'!EB15</f>
        <v>2239474108.7599998</v>
      </c>
      <c r="D12" s="528">
        <f>+'CBR Model'!EC15</f>
        <v>-181393834.83441979</v>
      </c>
      <c r="E12" s="509">
        <f>C12+D12</f>
        <v>2058080273.92558</v>
      </c>
      <c r="F12" s="85">
        <f>+'EOP Adj Summary'!H11</f>
        <v>0</v>
      </c>
      <c r="G12" s="509">
        <f>E12+F12</f>
        <v>2058080273.92558</v>
      </c>
      <c r="H12" s="367">
        <f>+'ERF Adj Summary'!R11</f>
        <v>-39353726.6053835</v>
      </c>
      <c r="I12" s="509">
        <f>G12+H12</f>
        <v>2018726547.3201966</v>
      </c>
      <c r="J12" s="85">
        <f>+'Remove Non-ERF'!C13</f>
        <v>-724521412.41610312</v>
      </c>
      <c r="K12" s="509">
        <f>I12+J12</f>
        <v>1294205134.9040935</v>
      </c>
      <c r="L12" s="85">
        <f>Deficiency!C25</f>
        <v>18850551.993076473</v>
      </c>
      <c r="M12" s="509">
        <f>SUM(K12:L12)</f>
        <v>1313055686.8971701</v>
      </c>
    </row>
    <row r="13" spans="1:16" x14ac:dyDescent="0.25">
      <c r="A13" s="29">
        <f t="shared" si="0"/>
        <v>3</v>
      </c>
      <c r="B13" s="30" t="s">
        <v>6</v>
      </c>
      <c r="C13" s="529">
        <f>+'CBR Model'!EB16</f>
        <v>342919.04</v>
      </c>
      <c r="D13" s="530">
        <f>+'CBR Model'!EC16</f>
        <v>766</v>
      </c>
      <c r="E13" s="510">
        <f t="shared" ref="E13:K15" si="1">C13+D13</f>
        <v>343685.04</v>
      </c>
      <c r="F13" s="133">
        <f>+'EOP Adj Summary'!H12</f>
        <v>0</v>
      </c>
      <c r="G13" s="510">
        <f t="shared" si="1"/>
        <v>343685.04</v>
      </c>
      <c r="H13" s="114">
        <f>+'ERF Adj Summary'!R12</f>
        <v>-13829.039999999979</v>
      </c>
      <c r="I13" s="510">
        <f t="shared" si="1"/>
        <v>329856</v>
      </c>
      <c r="J13" s="133">
        <f>+'Remove Non-ERF'!C14</f>
        <v>0</v>
      </c>
      <c r="K13" s="510">
        <f t="shared" si="1"/>
        <v>329856</v>
      </c>
      <c r="L13" s="133">
        <f>Deficiency!C23</f>
        <v>3069.0069235267192</v>
      </c>
      <c r="M13" s="510">
        <f>SUM(K13:L13)</f>
        <v>332925.0069235267</v>
      </c>
    </row>
    <row r="14" spans="1:16" x14ac:dyDescent="0.25">
      <c r="A14" s="29">
        <f t="shared" si="0"/>
        <v>4</v>
      </c>
      <c r="B14" s="30" t="s">
        <v>7</v>
      </c>
      <c r="C14" s="529">
        <f>+'CBR Model'!EB17</f>
        <v>116721927.84999999</v>
      </c>
      <c r="D14" s="530">
        <f>+'CBR Model'!EC17</f>
        <v>0</v>
      </c>
      <c r="E14" s="510">
        <f t="shared" si="1"/>
        <v>116721927.84999999</v>
      </c>
      <c r="F14" s="133">
        <f>+'EOP Adj Summary'!H13</f>
        <v>0</v>
      </c>
      <c r="G14" s="510">
        <f t="shared" si="1"/>
        <v>116721927.84999999</v>
      </c>
      <c r="H14" s="114">
        <f>+'ERF Adj Summary'!R13</f>
        <v>-55279030.301403992</v>
      </c>
      <c r="I14" s="510">
        <f t="shared" si="1"/>
        <v>61442897.548596002</v>
      </c>
      <c r="J14" s="133">
        <f>+'Remove Non-ERF'!C15</f>
        <v>-61442897.548596002</v>
      </c>
      <c r="K14" s="510">
        <f t="shared" si="1"/>
        <v>0</v>
      </c>
      <c r="L14" s="133"/>
      <c r="M14" s="510">
        <f>SUM(K14:L14)</f>
        <v>0</v>
      </c>
    </row>
    <row r="15" spans="1:16" x14ac:dyDescent="0.25">
      <c r="A15" s="29">
        <f t="shared" si="0"/>
        <v>5</v>
      </c>
      <c r="B15" s="30" t="s">
        <v>8</v>
      </c>
      <c r="C15" s="531">
        <f>+'CBR Model'!EB18</f>
        <v>15770153.8199999</v>
      </c>
      <c r="D15" s="532">
        <f>+'CBR Model'!EC18</f>
        <v>26473673.859999999</v>
      </c>
      <c r="E15" s="511">
        <f t="shared" si="1"/>
        <v>42243827.679999903</v>
      </c>
      <c r="F15" s="242">
        <f>+'EOP Adj Summary'!H14</f>
        <v>0</v>
      </c>
      <c r="G15" s="511">
        <f t="shared" si="1"/>
        <v>42243827.679999903</v>
      </c>
      <c r="H15" s="563">
        <f>+'ERF Adj Summary'!R14</f>
        <v>27354971.957181886</v>
      </c>
      <c r="I15" s="511">
        <f t="shared" si="1"/>
        <v>69598799.637181789</v>
      </c>
      <c r="J15" s="242">
        <f>+'Remove Non-ERF'!C16</f>
        <v>-13961272.227181884</v>
      </c>
      <c r="K15" s="511">
        <f t="shared" si="1"/>
        <v>55637527.409999907</v>
      </c>
      <c r="L15" s="242"/>
      <c r="M15" s="511">
        <f>SUM(K15:L15)</f>
        <v>55637527.409999907</v>
      </c>
    </row>
    <row r="16" spans="1:16" x14ac:dyDescent="0.25">
      <c r="A16" s="29">
        <f t="shared" si="0"/>
        <v>6</v>
      </c>
      <c r="B16" s="30" t="s">
        <v>9</v>
      </c>
      <c r="C16" s="533">
        <f t="shared" ref="C16:F16" si="2">SUM(C12:C15)</f>
        <v>2372309109.4699993</v>
      </c>
      <c r="D16" s="534">
        <f t="shared" si="2"/>
        <v>-154919394.97441977</v>
      </c>
      <c r="E16" s="512">
        <f t="shared" si="2"/>
        <v>2217389714.4955797</v>
      </c>
      <c r="F16" s="534">
        <f t="shared" si="2"/>
        <v>0</v>
      </c>
      <c r="G16" s="512">
        <f t="shared" ref="G16:I16" si="3">SUM(G12:G15)</f>
        <v>2217389714.4955797</v>
      </c>
      <c r="H16" s="133">
        <f>SUM(H12:H15)</f>
        <v>-67291613.989605606</v>
      </c>
      <c r="I16" s="512">
        <f t="shared" si="3"/>
        <v>2150098100.5059743</v>
      </c>
      <c r="J16" s="47">
        <f>SUM(J12:J15)</f>
        <v>-799925582.19188106</v>
      </c>
      <c r="K16" s="512">
        <f t="shared" ref="K16" si="4">SUM(K12:K15)</f>
        <v>1350172518.3140934</v>
      </c>
      <c r="L16" s="47">
        <f>SUM(L12:L15)</f>
        <v>18853621</v>
      </c>
      <c r="M16" s="512">
        <f>SUM(M12:M15)</f>
        <v>1369026139.3140934</v>
      </c>
    </row>
    <row r="17" spans="1:13" x14ac:dyDescent="0.25">
      <c r="A17" s="29">
        <f t="shared" si="0"/>
        <v>7</v>
      </c>
      <c r="B17" s="28"/>
      <c r="C17" s="529"/>
      <c r="D17" s="530"/>
      <c r="E17" s="510"/>
      <c r="F17" s="133"/>
      <c r="G17" s="510"/>
      <c r="H17" s="564"/>
      <c r="I17" s="510"/>
      <c r="J17" s="133"/>
      <c r="K17" s="510"/>
      <c r="L17" s="133"/>
      <c r="M17" s="510"/>
    </row>
    <row r="18" spans="1:13" x14ac:dyDescent="0.25">
      <c r="A18" s="29">
        <f t="shared" si="0"/>
        <v>8</v>
      </c>
      <c r="B18" s="44" t="s">
        <v>10</v>
      </c>
      <c r="C18" s="529"/>
      <c r="D18" s="530"/>
      <c r="E18" s="513"/>
      <c r="F18" s="47"/>
      <c r="G18" s="513"/>
      <c r="H18" s="564"/>
      <c r="I18" s="513"/>
      <c r="J18" s="47"/>
      <c r="K18" s="513"/>
      <c r="L18" s="47"/>
      <c r="M18" s="513"/>
    </row>
    <row r="19" spans="1:13" x14ac:dyDescent="0.25">
      <c r="A19" s="29">
        <f t="shared" si="0"/>
        <v>9</v>
      </c>
      <c r="B19" s="28"/>
      <c r="C19" s="529"/>
      <c r="D19" s="530"/>
      <c r="E19" s="510"/>
      <c r="F19" s="133"/>
      <c r="G19" s="510"/>
      <c r="H19" s="564"/>
      <c r="I19" s="510"/>
      <c r="J19" s="133"/>
      <c r="K19" s="510"/>
      <c r="L19" s="133"/>
      <c r="M19" s="510"/>
    </row>
    <row r="20" spans="1:13" x14ac:dyDescent="0.25">
      <c r="A20" s="29">
        <f t="shared" si="0"/>
        <v>10</v>
      </c>
      <c r="B20" s="42" t="s">
        <v>11</v>
      </c>
      <c r="C20" s="529"/>
      <c r="D20" s="530"/>
      <c r="E20" s="513"/>
      <c r="F20" s="47"/>
      <c r="G20" s="513"/>
      <c r="H20" s="564"/>
      <c r="I20" s="513"/>
      <c r="J20" s="47"/>
      <c r="K20" s="513"/>
      <c r="L20" s="47"/>
      <c r="M20" s="513"/>
    </row>
    <row r="21" spans="1:13" x14ac:dyDescent="0.25">
      <c r="A21" s="29">
        <f t="shared" si="0"/>
        <v>11</v>
      </c>
      <c r="B21" s="30" t="s">
        <v>46</v>
      </c>
      <c r="C21" s="529">
        <f>+'CBR Model'!EB24</f>
        <v>192974971.49000001</v>
      </c>
      <c r="D21" s="530">
        <f>+'CBR Model'!EC24</f>
        <v>-1703775.51</v>
      </c>
      <c r="E21" s="513">
        <f>SUM(C21:D21)</f>
        <v>191271195.98000002</v>
      </c>
      <c r="F21" s="47">
        <f>+'EOP Adj Summary'!H20</f>
        <v>0</v>
      </c>
      <c r="G21" s="513">
        <f>SUM(E21:F21)</f>
        <v>191271195.98000002</v>
      </c>
      <c r="H21" s="133">
        <f>+'ERF Adj Summary'!R20</f>
        <v>17172047.285193443</v>
      </c>
      <c r="I21" s="513">
        <f>SUM(G21:H21)</f>
        <v>208443243.26519346</v>
      </c>
      <c r="J21" s="47">
        <f>+'Remove Non-ERF'!C22</f>
        <v>-208443243.26519346</v>
      </c>
      <c r="K21" s="513">
        <f>SUM(I21:J21)</f>
        <v>0</v>
      </c>
      <c r="L21" s="47">
        <v>0</v>
      </c>
      <c r="M21" s="513">
        <f>SUM(K21:L21)</f>
        <v>0</v>
      </c>
    </row>
    <row r="22" spans="1:13" x14ac:dyDescent="0.25">
      <c r="A22" s="29">
        <f t="shared" si="0"/>
        <v>12</v>
      </c>
      <c r="B22" s="145" t="s">
        <v>0</v>
      </c>
      <c r="C22" s="529">
        <f>+'CBR Model'!EB25</f>
        <v>499358138.91999996</v>
      </c>
      <c r="D22" s="530">
        <f>+'CBR Model'!EC25</f>
        <v>1452625.701643636</v>
      </c>
      <c r="E22" s="513">
        <f>SUM(C22:D22)</f>
        <v>500810764.6216436</v>
      </c>
      <c r="F22" s="47">
        <f>+'EOP Adj Summary'!H21</f>
        <v>0</v>
      </c>
      <c r="G22" s="513">
        <f>SUM(E22:F22)</f>
        <v>500810764.6216436</v>
      </c>
      <c r="H22" s="133">
        <f>+'ERF Adj Summary'!R21</f>
        <v>-55440600.524609394</v>
      </c>
      <c r="I22" s="513">
        <f>SUM(G22:H22)</f>
        <v>445370164.09703422</v>
      </c>
      <c r="J22" s="47">
        <f>+'Remove Non-ERF'!C23</f>
        <v>-434843424.46961474</v>
      </c>
      <c r="K22" s="513">
        <f>SUM(I22:J22)</f>
        <v>10526739.627419472</v>
      </c>
      <c r="L22" s="47"/>
      <c r="M22" s="513">
        <f>SUM(K22:L22)</f>
        <v>10526739.627419472</v>
      </c>
    </row>
    <row r="23" spans="1:13" x14ac:dyDescent="0.25">
      <c r="A23" s="29">
        <f t="shared" si="0"/>
        <v>13</v>
      </c>
      <c r="B23" s="145" t="s">
        <v>49</v>
      </c>
      <c r="C23" s="529">
        <f>+'CBR Model'!EB26</f>
        <v>116538099.3</v>
      </c>
      <c r="D23" s="530">
        <f>+'CBR Model'!EC26</f>
        <v>0</v>
      </c>
      <c r="E23" s="513">
        <f>SUM(C23:D23)</f>
        <v>116538099.3</v>
      </c>
      <c r="F23" s="47">
        <f>+'EOP Adj Summary'!H22</f>
        <v>0</v>
      </c>
      <c r="G23" s="513">
        <f>SUM(E23:F23)</f>
        <v>116538099.3</v>
      </c>
      <c r="H23" s="133">
        <f>+'ERF Adj Summary'!R22</f>
        <v>-5731611.2223677486</v>
      </c>
      <c r="I23" s="513">
        <f>SUM(G23:H23)</f>
        <v>110806488.07763225</v>
      </c>
      <c r="J23" s="47">
        <f>+'Remove Non-ERF'!C24</f>
        <v>-110806488.07763225</v>
      </c>
      <c r="K23" s="513">
        <f>SUM(I23:J23)</f>
        <v>0</v>
      </c>
      <c r="L23" s="47"/>
      <c r="M23" s="513">
        <f>SUM(K23:L23)</f>
        <v>0</v>
      </c>
    </row>
    <row r="24" spans="1:13" x14ac:dyDescent="0.25">
      <c r="A24" s="29">
        <f t="shared" si="0"/>
        <v>14</v>
      </c>
      <c r="B24" s="226" t="s">
        <v>15</v>
      </c>
      <c r="C24" s="529">
        <f>+'CBR Model'!EB27</f>
        <v>-77400560.560000002</v>
      </c>
      <c r="D24" s="530">
        <f>+'CBR Model'!EC27</f>
        <v>77400560.560000002</v>
      </c>
      <c r="E24" s="514">
        <f>SUM(C24:D24)</f>
        <v>0</v>
      </c>
      <c r="F24" s="47">
        <f>+'EOP Adj Summary'!H23</f>
        <v>0</v>
      </c>
      <c r="G24" s="514">
        <f>SUM(E24:F24)</f>
        <v>0</v>
      </c>
      <c r="H24" s="133">
        <f>+'ERF Adj Summary'!R23</f>
        <v>0</v>
      </c>
      <c r="I24" s="514">
        <f>SUM(G24:H24)</f>
        <v>0</v>
      </c>
      <c r="J24" s="47">
        <f>+'Remove Non-ERF'!C25</f>
        <v>0</v>
      </c>
      <c r="K24" s="514">
        <f>SUM(I24:J24)</f>
        <v>0</v>
      </c>
      <c r="L24" s="47"/>
      <c r="M24" s="514">
        <f>SUM(K24:L24)</f>
        <v>0</v>
      </c>
    </row>
    <row r="25" spans="1:13" x14ac:dyDescent="0.25">
      <c r="A25" s="29">
        <f t="shared" si="0"/>
        <v>15</v>
      </c>
      <c r="B25" s="145" t="s">
        <v>16</v>
      </c>
      <c r="C25" s="533">
        <f>SUM(C21:C24)</f>
        <v>731470649.14999986</v>
      </c>
      <c r="D25" s="534">
        <f>SUM(D21:D24)</f>
        <v>77149410.751643643</v>
      </c>
      <c r="E25" s="512">
        <f t="shared" ref="E25:G25" si="5">SUM(E21:E24)</f>
        <v>808620059.90164351</v>
      </c>
      <c r="F25" s="534">
        <f>SUM(F21:F24)</f>
        <v>0</v>
      </c>
      <c r="G25" s="512">
        <f t="shared" si="5"/>
        <v>808620059.90164351</v>
      </c>
      <c r="H25" s="565">
        <f>SUM(H21:H24)</f>
        <v>-44000164.4617837</v>
      </c>
      <c r="I25" s="512">
        <f t="shared" ref="I25:K25" si="6">SUM(I21:I24)</f>
        <v>764619895.43985987</v>
      </c>
      <c r="J25" s="565">
        <f>SUM(J21:J24)</f>
        <v>-754093155.8124404</v>
      </c>
      <c r="K25" s="512">
        <f t="shared" si="6"/>
        <v>10526739.627419472</v>
      </c>
      <c r="L25" s="565">
        <f>SUM(L21:L24)</f>
        <v>0</v>
      </c>
      <c r="M25" s="512">
        <f>SUM(M21:M24)</f>
        <v>10526739.627419472</v>
      </c>
    </row>
    <row r="26" spans="1:13" x14ac:dyDescent="0.25">
      <c r="A26" s="29">
        <f t="shared" si="0"/>
        <v>16</v>
      </c>
      <c r="B26" s="145"/>
      <c r="C26" s="529"/>
      <c r="D26" s="530"/>
      <c r="E26" s="510"/>
      <c r="F26" s="133"/>
      <c r="G26" s="510"/>
      <c r="H26" s="654"/>
      <c r="I26" s="510"/>
      <c r="J26" s="133"/>
      <c r="K26" s="510"/>
      <c r="L26" s="133"/>
      <c r="M26" s="510"/>
    </row>
    <row r="27" spans="1:13" x14ac:dyDescent="0.25">
      <c r="A27" s="29">
        <f t="shared" si="0"/>
        <v>17</v>
      </c>
      <c r="B27" s="44" t="s">
        <v>1</v>
      </c>
      <c r="C27" s="529">
        <f>+'CBR Model'!EB30</f>
        <v>125620030.10999976</v>
      </c>
      <c r="D27" s="530">
        <f>+'CBR Model'!EC30</f>
        <v>-502051.37094650435</v>
      </c>
      <c r="E27" s="513">
        <f t="shared" ref="E27:K41" si="7">SUM(C27:D27)</f>
        <v>125117978.73905325</v>
      </c>
      <c r="F27" s="47">
        <f>+'EOP Adj Summary'!H26</f>
        <v>0</v>
      </c>
      <c r="G27" s="513">
        <f t="shared" si="7"/>
        <v>125117978.73905325</v>
      </c>
      <c r="H27" s="114">
        <f>+'ERF Adj Summary'!R26</f>
        <v>2497698.9330957532</v>
      </c>
      <c r="I27" s="513">
        <f t="shared" si="7"/>
        <v>127615677.672149</v>
      </c>
      <c r="J27" s="47">
        <f>+'Remove Non-ERF'!C28</f>
        <v>0</v>
      </c>
      <c r="K27" s="513">
        <f t="shared" si="7"/>
        <v>127615677.672149</v>
      </c>
      <c r="L27" s="47">
        <v>0</v>
      </c>
      <c r="M27" s="513">
        <f t="shared" ref="M27:M41" si="8">SUM(K27:L27)</f>
        <v>127615677.672149</v>
      </c>
    </row>
    <row r="28" spans="1:13" x14ac:dyDescent="0.25">
      <c r="A28" s="29">
        <f t="shared" si="0"/>
        <v>18</v>
      </c>
      <c r="B28" s="30" t="s">
        <v>17</v>
      </c>
      <c r="C28" s="529">
        <f>+'CBR Model'!EB31</f>
        <v>21791677.05999998</v>
      </c>
      <c r="D28" s="530">
        <f>+'CBR Model'!EC31</f>
        <v>129472.25666666671</v>
      </c>
      <c r="E28" s="513">
        <f t="shared" si="7"/>
        <v>21921149.316666648</v>
      </c>
      <c r="F28" s="47">
        <f>+'EOP Adj Summary'!H27</f>
        <v>0</v>
      </c>
      <c r="G28" s="513">
        <f t="shared" si="7"/>
        <v>21921149.316666648</v>
      </c>
      <c r="H28" s="114">
        <f>+'ERF Adj Summary'!R27</f>
        <v>0</v>
      </c>
      <c r="I28" s="513">
        <f t="shared" si="7"/>
        <v>21921149.316666648</v>
      </c>
      <c r="J28" s="47">
        <f>+'Remove Non-ERF'!C29</f>
        <v>0</v>
      </c>
      <c r="K28" s="513">
        <f t="shared" si="7"/>
        <v>21921149.316666648</v>
      </c>
      <c r="L28" s="47"/>
      <c r="M28" s="513">
        <f t="shared" si="8"/>
        <v>21921149.316666648</v>
      </c>
    </row>
    <row r="29" spans="1:13" x14ac:dyDescent="0.25">
      <c r="A29" s="29">
        <f t="shared" si="0"/>
        <v>19</v>
      </c>
      <c r="B29" s="30" t="s">
        <v>18</v>
      </c>
      <c r="C29" s="529">
        <f>+'CBR Model'!EB32</f>
        <v>79064740.699999675</v>
      </c>
      <c r="D29" s="530">
        <f>+'CBR Model'!EC32</f>
        <v>3449638.3383333329</v>
      </c>
      <c r="E29" s="513">
        <f t="shared" si="7"/>
        <v>82514379.038333014</v>
      </c>
      <c r="F29" s="47">
        <f>+'EOP Adj Summary'!H28</f>
        <v>0</v>
      </c>
      <c r="G29" s="513">
        <f t="shared" si="7"/>
        <v>82514379.038333014</v>
      </c>
      <c r="H29" s="114">
        <f>+'ERF Adj Summary'!R28</f>
        <v>0</v>
      </c>
      <c r="I29" s="513">
        <f t="shared" si="7"/>
        <v>82514379.038333014</v>
      </c>
      <c r="J29" s="47">
        <f>+'Remove Non-ERF'!C30</f>
        <v>0</v>
      </c>
      <c r="K29" s="513">
        <f t="shared" si="7"/>
        <v>82514379.038333014</v>
      </c>
      <c r="L29" s="47"/>
      <c r="M29" s="513">
        <f t="shared" si="8"/>
        <v>82514379.038333014</v>
      </c>
    </row>
    <row r="30" spans="1:13" x14ac:dyDescent="0.25">
      <c r="A30" s="29">
        <f t="shared" si="0"/>
        <v>20</v>
      </c>
      <c r="B30" s="30" t="s">
        <v>3</v>
      </c>
      <c r="C30" s="529">
        <f>+'CBR Model'!EB33</f>
        <v>52024798.43</v>
      </c>
      <c r="D30" s="530">
        <f>+'CBR Model'!EC33</f>
        <v>-502946.10599597782</v>
      </c>
      <c r="E30" s="513">
        <f t="shared" si="7"/>
        <v>51521852.324004024</v>
      </c>
      <c r="F30" s="47">
        <f>+'EOP Adj Summary'!H29</f>
        <v>0</v>
      </c>
      <c r="G30" s="513">
        <f t="shared" si="7"/>
        <v>51521852.324004024</v>
      </c>
      <c r="H30" s="114">
        <f>+'ERF Adj Summary'!R29</f>
        <v>1150583.150565231</v>
      </c>
      <c r="I30" s="513">
        <f t="shared" si="7"/>
        <v>52672435.474569254</v>
      </c>
      <c r="J30" s="47">
        <f>+'Remove Non-ERF'!C31</f>
        <v>-5810661.7275771461</v>
      </c>
      <c r="K30" s="513">
        <f t="shared" si="7"/>
        <v>46861773.746992111</v>
      </c>
      <c r="L30" s="47">
        <f>'E ERF Conv Factr'!E13*L16</f>
        <v>151206.04041999998</v>
      </c>
      <c r="M30" s="513">
        <f t="shared" si="8"/>
        <v>47012979.787412114</v>
      </c>
    </row>
    <row r="31" spans="1:13" x14ac:dyDescent="0.25">
      <c r="A31" s="29">
        <f t="shared" si="0"/>
        <v>21</v>
      </c>
      <c r="B31" s="30" t="s">
        <v>20</v>
      </c>
      <c r="C31" s="529">
        <f>+'CBR Model'!EB34</f>
        <v>21813620.449999992</v>
      </c>
      <c r="D31" s="530">
        <f>+'CBR Model'!EC34</f>
        <v>-18463659.789999999</v>
      </c>
      <c r="E31" s="513">
        <f t="shared" si="7"/>
        <v>3349960.6599999927</v>
      </c>
      <c r="F31" s="47">
        <f>+'EOP Adj Summary'!H30</f>
        <v>0</v>
      </c>
      <c r="G31" s="513">
        <f t="shared" si="7"/>
        <v>3349960.6599999927</v>
      </c>
      <c r="H31" s="114">
        <f>+'ERF Adj Summary'!R30</f>
        <v>0</v>
      </c>
      <c r="I31" s="513">
        <f t="shared" si="7"/>
        <v>3349960.6599999927</v>
      </c>
      <c r="J31" s="47">
        <f>+'Remove Non-ERF'!C32</f>
        <v>0</v>
      </c>
      <c r="K31" s="513">
        <f t="shared" si="7"/>
        <v>3349960.6599999927</v>
      </c>
      <c r="L31" s="47"/>
      <c r="M31" s="513">
        <f t="shared" si="8"/>
        <v>3349960.6599999927</v>
      </c>
    </row>
    <row r="32" spans="1:13" x14ac:dyDescent="0.25">
      <c r="A32" s="29">
        <f t="shared" si="0"/>
        <v>22</v>
      </c>
      <c r="B32" s="30" t="s">
        <v>21</v>
      </c>
      <c r="C32" s="529">
        <f>+'CBR Model'!EB35</f>
        <v>106701547.08</v>
      </c>
      <c r="D32" s="530">
        <f>+'CBR Model'!EC35</f>
        <v>-106701547.08</v>
      </c>
      <c r="E32" s="513">
        <f t="shared" si="7"/>
        <v>0</v>
      </c>
      <c r="F32" s="47">
        <f>+'EOP Adj Summary'!H31</f>
        <v>0</v>
      </c>
      <c r="G32" s="513">
        <f t="shared" si="7"/>
        <v>0</v>
      </c>
      <c r="H32" s="114">
        <f>+'ERF Adj Summary'!R31</f>
        <v>0</v>
      </c>
      <c r="I32" s="513">
        <f t="shared" si="7"/>
        <v>0</v>
      </c>
      <c r="J32" s="47">
        <f>+'Remove Non-ERF'!C33</f>
        <v>0</v>
      </c>
      <c r="K32" s="513">
        <f t="shared" si="7"/>
        <v>0</v>
      </c>
      <c r="L32" s="47"/>
      <c r="M32" s="513">
        <f t="shared" si="8"/>
        <v>0</v>
      </c>
    </row>
    <row r="33" spans="1:13" x14ac:dyDescent="0.25">
      <c r="A33" s="29">
        <f t="shared" si="0"/>
        <v>23</v>
      </c>
      <c r="B33" s="30" t="s">
        <v>22</v>
      </c>
      <c r="C33" s="529">
        <f>+'CBR Model'!EB36</f>
        <v>123469095.73999998</v>
      </c>
      <c r="D33" s="530">
        <f>+'CBR Model'!EC36</f>
        <v>271890.52887749288</v>
      </c>
      <c r="E33" s="513">
        <f t="shared" si="7"/>
        <v>123740986.26887748</v>
      </c>
      <c r="F33" s="47">
        <f>+'EOP Adj Summary'!H32</f>
        <v>0</v>
      </c>
      <c r="G33" s="513">
        <f t="shared" si="7"/>
        <v>123740986.26887748</v>
      </c>
      <c r="H33" s="114">
        <f>+'ERF Adj Summary'!R32</f>
        <v>-94364.782010766983</v>
      </c>
      <c r="I33" s="513">
        <f t="shared" si="7"/>
        <v>123646621.48686671</v>
      </c>
      <c r="J33" s="47">
        <f>+'Remove Non-ERF'!C34</f>
        <v>-1449042.8248322064</v>
      </c>
      <c r="K33" s="513">
        <f t="shared" si="7"/>
        <v>122197578.66203451</v>
      </c>
      <c r="L33" s="47">
        <f>'E ERF Conv Factr'!E14*L16</f>
        <v>37707.241999999998</v>
      </c>
      <c r="M33" s="513">
        <f t="shared" si="8"/>
        <v>122235285.90403451</v>
      </c>
    </row>
    <row r="34" spans="1:13" x14ac:dyDescent="0.25">
      <c r="A34" s="29">
        <f t="shared" si="0"/>
        <v>24</v>
      </c>
      <c r="B34" s="30" t="s">
        <v>59</v>
      </c>
      <c r="C34" s="529">
        <f>+'CBR Model'!EB37</f>
        <v>316187695.34999996</v>
      </c>
      <c r="D34" s="530">
        <f>+'CBR Model'!EC37</f>
        <v>-200943</v>
      </c>
      <c r="E34" s="513">
        <f t="shared" si="7"/>
        <v>315986752.34999996</v>
      </c>
      <c r="F34" s="47">
        <f>+'EOP Adj Summary'!H33</f>
        <v>20424403.41265443</v>
      </c>
      <c r="G34" s="513">
        <f t="shared" si="7"/>
        <v>336411155.76265442</v>
      </c>
      <c r="H34" s="114">
        <f>+'ERF Adj Summary'!R33</f>
        <v>25808343.623523332</v>
      </c>
      <c r="I34" s="513">
        <f t="shared" si="7"/>
        <v>362219499.38617778</v>
      </c>
      <c r="J34" s="47">
        <f>+'Remove Non-ERF'!C35</f>
        <v>0</v>
      </c>
      <c r="K34" s="513">
        <f t="shared" si="7"/>
        <v>362219499.38617778</v>
      </c>
      <c r="L34" s="47"/>
      <c r="M34" s="513">
        <f t="shared" si="8"/>
        <v>362219499.38617778</v>
      </c>
    </row>
    <row r="35" spans="1:13" x14ac:dyDescent="0.25">
      <c r="A35" s="29">
        <f t="shared" si="0"/>
        <v>25</v>
      </c>
      <c r="B35" s="30" t="s">
        <v>41</v>
      </c>
      <c r="C35" s="529">
        <f>+'CBR Model'!EB38</f>
        <v>63634800.319999993</v>
      </c>
      <c r="D35" s="530">
        <f>+'CBR Model'!EC38</f>
        <v>0</v>
      </c>
      <c r="E35" s="513">
        <f t="shared" si="7"/>
        <v>63634800.319999993</v>
      </c>
      <c r="F35" s="47">
        <f>+'EOP Adj Summary'!H34</f>
        <v>0</v>
      </c>
      <c r="G35" s="513">
        <f t="shared" si="7"/>
        <v>63634800.319999993</v>
      </c>
      <c r="H35" s="114">
        <f>+'ERF Adj Summary'!R34</f>
        <v>0</v>
      </c>
      <c r="I35" s="513">
        <f t="shared" si="7"/>
        <v>63634800.319999993</v>
      </c>
      <c r="J35" s="47">
        <f>+'Remove Non-ERF'!C36</f>
        <v>0</v>
      </c>
      <c r="K35" s="513">
        <f t="shared" si="7"/>
        <v>63634800.319999993</v>
      </c>
      <c r="L35" s="47"/>
      <c r="M35" s="513">
        <f t="shared" si="8"/>
        <v>63634800.319999993</v>
      </c>
    </row>
    <row r="36" spans="1:13" x14ac:dyDescent="0.25">
      <c r="A36" s="29">
        <f t="shared" si="0"/>
        <v>26</v>
      </c>
      <c r="B36" s="38" t="s">
        <v>58</v>
      </c>
      <c r="C36" s="529">
        <f>+'CBR Model'!EB39</f>
        <v>28310947.7099999</v>
      </c>
      <c r="D36" s="530">
        <f>+'CBR Model'!EC39</f>
        <v>0</v>
      </c>
      <c r="E36" s="513">
        <f t="shared" si="7"/>
        <v>28310947.7099999</v>
      </c>
      <c r="F36" s="47">
        <f>+'EOP Adj Summary'!H35</f>
        <v>0</v>
      </c>
      <c r="G36" s="513">
        <f t="shared" si="7"/>
        <v>28310947.7099999</v>
      </c>
      <c r="H36" s="114">
        <f>+'ERF Adj Summary'!R35</f>
        <v>6982411.9179631118</v>
      </c>
      <c r="I36" s="513">
        <f t="shared" si="7"/>
        <v>35293359.627963014</v>
      </c>
      <c r="J36" s="47">
        <f>+'Remove Non-ERF'!C37</f>
        <v>0</v>
      </c>
      <c r="K36" s="513">
        <f t="shared" si="7"/>
        <v>35293359.627963014</v>
      </c>
      <c r="L36" s="47"/>
      <c r="M36" s="513">
        <f t="shared" si="8"/>
        <v>35293359.627963014</v>
      </c>
    </row>
    <row r="37" spans="1:13" x14ac:dyDescent="0.25">
      <c r="A37" s="29">
        <f t="shared" si="0"/>
        <v>27</v>
      </c>
      <c r="B37" s="30" t="s">
        <v>23</v>
      </c>
      <c r="C37" s="529">
        <f>+'CBR Model'!EB40</f>
        <v>-77871386.200000018</v>
      </c>
      <c r="D37" s="530">
        <f>+'CBR Model'!EC40</f>
        <v>85828799.890000001</v>
      </c>
      <c r="E37" s="513">
        <f t="shared" si="7"/>
        <v>7957413.6899999827</v>
      </c>
      <c r="F37" s="47">
        <f>+'EOP Adj Summary'!H36</f>
        <v>0</v>
      </c>
      <c r="G37" s="513">
        <f t="shared" si="7"/>
        <v>7957413.6899999827</v>
      </c>
      <c r="H37" s="114">
        <f>+'ERF Adj Summary'!R36</f>
        <v>1868384.860339859</v>
      </c>
      <c r="I37" s="513">
        <f t="shared" si="7"/>
        <v>9825798.5503398422</v>
      </c>
      <c r="J37" s="47">
        <f>+'Remove Non-ERF'!C38</f>
        <v>0</v>
      </c>
      <c r="K37" s="513">
        <f t="shared" si="7"/>
        <v>9825798.5503398422</v>
      </c>
      <c r="L37" s="47"/>
      <c r="M37" s="513">
        <f t="shared" si="8"/>
        <v>9825798.5503398422</v>
      </c>
    </row>
    <row r="38" spans="1:13" x14ac:dyDescent="0.25">
      <c r="A38" s="29">
        <f t="shared" si="0"/>
        <v>28</v>
      </c>
      <c r="B38" s="30" t="s">
        <v>60</v>
      </c>
      <c r="C38" s="529">
        <f>+'CBR Model'!EB41</f>
        <v>-237759.90000001015</v>
      </c>
      <c r="D38" s="530">
        <f>+'CBR Model'!EC41</f>
        <v>237759.90000001015</v>
      </c>
      <c r="E38" s="513">
        <f t="shared" si="7"/>
        <v>0</v>
      </c>
      <c r="F38" s="47">
        <f>+'EOP Adj Summary'!H37</f>
        <v>0</v>
      </c>
      <c r="G38" s="513">
        <f t="shared" si="7"/>
        <v>0</v>
      </c>
      <c r="H38" s="114">
        <f>+'ERF Adj Summary'!R37</f>
        <v>0</v>
      </c>
      <c r="I38" s="513">
        <f t="shared" si="7"/>
        <v>0</v>
      </c>
      <c r="J38" s="47">
        <f>+'Remove Non-ERF'!C39</f>
        <v>0</v>
      </c>
      <c r="K38" s="513">
        <f t="shared" si="7"/>
        <v>0</v>
      </c>
      <c r="L38" s="47"/>
      <c r="M38" s="513">
        <f t="shared" si="8"/>
        <v>0</v>
      </c>
    </row>
    <row r="39" spans="1:13" x14ac:dyDescent="0.25">
      <c r="A39" s="29">
        <f t="shared" si="0"/>
        <v>29</v>
      </c>
      <c r="B39" s="30" t="s">
        <v>52</v>
      </c>
      <c r="C39" s="529">
        <f>+'CBR Model'!EB42</f>
        <v>242620498.299999</v>
      </c>
      <c r="D39" s="530">
        <f>+'CBR Model'!EC42</f>
        <v>-150366527.03786603</v>
      </c>
      <c r="E39" s="513">
        <f t="shared" si="7"/>
        <v>92253971.262132972</v>
      </c>
      <c r="F39" s="47">
        <f>+'EOP Adj Summary'!H38</f>
        <v>0</v>
      </c>
      <c r="G39" s="513">
        <f t="shared" si="7"/>
        <v>92253971.262132972</v>
      </c>
      <c r="H39" s="114">
        <f>+'ERF Adj Summary'!R38</f>
        <v>-1979855.8227195374</v>
      </c>
      <c r="I39" s="513">
        <f t="shared" si="7"/>
        <v>90274115.439413428</v>
      </c>
      <c r="J39" s="47">
        <f>+'Remove Non-ERF'!C40</f>
        <v>-29197002.106144242</v>
      </c>
      <c r="K39" s="513">
        <f t="shared" si="7"/>
        <v>61077113.333269186</v>
      </c>
      <c r="L39" s="47">
        <f>'E ERF Conv Factr'!E15*L16</f>
        <v>724412.67968299997</v>
      </c>
      <c r="M39" s="513">
        <f t="shared" si="8"/>
        <v>61801526.012952186</v>
      </c>
    </row>
    <row r="40" spans="1:13" x14ac:dyDescent="0.25">
      <c r="A40" s="29">
        <f t="shared" si="0"/>
        <v>30</v>
      </c>
      <c r="B40" s="30" t="s">
        <v>24</v>
      </c>
      <c r="C40" s="529">
        <f>+'CBR Model'!EB43</f>
        <v>61778949.609999999</v>
      </c>
      <c r="D40" s="530">
        <f>+'CBR Model'!EC43</f>
        <v>18540237.39671519</v>
      </c>
      <c r="E40" s="513">
        <f t="shared" si="7"/>
        <v>80319187.006715193</v>
      </c>
      <c r="F40" s="47">
        <f>+'EOP Adj Summary'!H39</f>
        <v>-5331752.813852624</v>
      </c>
      <c r="G40" s="513">
        <f t="shared" si="7"/>
        <v>74987434.19286257</v>
      </c>
      <c r="H40" s="114">
        <f>+'ERF Adj Summary'!R39</f>
        <v>-45962453.810474984</v>
      </c>
      <c r="I40" s="513">
        <f t="shared" si="7"/>
        <v>29024980.382387586</v>
      </c>
      <c r="J40" s="47">
        <f>+'Remove Non-ERF'!C41</f>
        <v>-1968901.1413862524</v>
      </c>
      <c r="K40" s="513">
        <f t="shared" si="7"/>
        <v>27056079.241001334</v>
      </c>
      <c r="L40" s="47">
        <f>L16*'E ERF Conv Factr'!E20</f>
        <v>3767462.5235669999</v>
      </c>
      <c r="M40" s="513">
        <f t="shared" si="8"/>
        <v>30823541.764568333</v>
      </c>
    </row>
    <row r="41" spans="1:13" x14ac:dyDescent="0.25">
      <c r="A41" s="29">
        <f t="shared" si="0"/>
        <v>31</v>
      </c>
      <c r="B41" s="28" t="s">
        <v>25</v>
      </c>
      <c r="C41" s="529">
        <f>+'CBR Model'!EB44</f>
        <v>85037422.109999061</v>
      </c>
      <c r="D41" s="530">
        <f>+'CBR Model'!EC44</f>
        <v>-76912474.757944033</v>
      </c>
      <c r="E41" s="513">
        <f t="shared" si="7"/>
        <v>8124947.3520550281</v>
      </c>
      <c r="F41" s="47">
        <f>+'EOP Adj Summary'!H40</f>
        <v>0</v>
      </c>
      <c r="G41" s="513">
        <f t="shared" si="7"/>
        <v>8124947.3520550281</v>
      </c>
      <c r="H41" s="563">
        <f>+'ERF Adj Summary'!R40</f>
        <v>0</v>
      </c>
      <c r="I41" s="513">
        <f t="shared" si="7"/>
        <v>8124947.3520550281</v>
      </c>
      <c r="J41" s="47">
        <f>+'Remove Non-ERF'!C42</f>
        <v>0</v>
      </c>
      <c r="K41" s="513">
        <f t="shared" si="7"/>
        <v>8124947.3520550281</v>
      </c>
      <c r="L41" s="47"/>
      <c r="M41" s="513">
        <f t="shared" si="8"/>
        <v>8124947.3520550281</v>
      </c>
    </row>
    <row r="42" spans="1:13" x14ac:dyDescent="0.25">
      <c r="A42" s="29">
        <f t="shared" si="0"/>
        <v>32</v>
      </c>
      <c r="B42" s="30" t="s">
        <v>26</v>
      </c>
      <c r="C42" s="535">
        <f t="shared" ref="C42:F42" si="9">SUM(C25:C41)</f>
        <v>1981417326.0199966</v>
      </c>
      <c r="D42" s="536">
        <f t="shared" si="9"/>
        <v>-168042940.08051622</v>
      </c>
      <c r="E42" s="515">
        <f t="shared" si="9"/>
        <v>1813374385.939481</v>
      </c>
      <c r="F42" s="536">
        <f t="shared" si="9"/>
        <v>15092650.598801807</v>
      </c>
      <c r="G42" s="515">
        <f t="shared" ref="G42:I42" si="10">SUM(G25:G41)</f>
        <v>1828467036.5382826</v>
      </c>
      <c r="H42" s="566">
        <f>SUM(H25:H41)</f>
        <v>-53729416.391501702</v>
      </c>
      <c r="I42" s="515">
        <f t="shared" si="10"/>
        <v>1774737620.146781</v>
      </c>
      <c r="J42" s="566">
        <f>SUM(J25:J41)</f>
        <v>-792518763.61238015</v>
      </c>
      <c r="K42" s="515">
        <f t="shared" ref="K42" si="11">SUM(K25:K41)</f>
        <v>982218856.53440094</v>
      </c>
      <c r="L42" s="566">
        <f t="shared" ref="L42:M42" si="12">SUM(L25:L41)</f>
        <v>4680788.4856700003</v>
      </c>
      <c r="M42" s="515">
        <f t="shared" si="12"/>
        <v>986899645.02007103</v>
      </c>
    </row>
    <row r="43" spans="1:13" x14ac:dyDescent="0.25">
      <c r="A43" s="29">
        <f t="shared" si="0"/>
        <v>33</v>
      </c>
      <c r="B43" s="28"/>
      <c r="C43" s="527"/>
      <c r="D43" s="528"/>
      <c r="E43" s="509"/>
      <c r="F43" s="85"/>
      <c r="G43" s="509"/>
      <c r="H43" s="562"/>
      <c r="I43" s="509"/>
      <c r="J43" s="85"/>
      <c r="K43" s="509"/>
      <c r="L43" s="85"/>
      <c r="M43" s="509"/>
    </row>
    <row r="44" spans="1:13" x14ac:dyDescent="0.25">
      <c r="A44" s="29">
        <f t="shared" si="0"/>
        <v>34</v>
      </c>
      <c r="B44" s="28" t="s">
        <v>27</v>
      </c>
      <c r="C44" s="537">
        <f>C16-C42</f>
        <v>390891783.45000267</v>
      </c>
      <c r="D44" s="538">
        <f t="shared" ref="D44:F44" si="13">D16-D42</f>
        <v>13123545.106096447</v>
      </c>
      <c r="E44" s="516">
        <f t="shared" si="13"/>
        <v>404015328.5560987</v>
      </c>
      <c r="F44" s="538">
        <f t="shared" si="13"/>
        <v>-15092650.598801807</v>
      </c>
      <c r="G44" s="516">
        <f t="shared" ref="G44:I44" si="14">G16-G42</f>
        <v>388922677.95729709</v>
      </c>
      <c r="H44" s="64">
        <f>H16-H42</f>
        <v>-13562197.598103903</v>
      </c>
      <c r="I44" s="516">
        <f t="shared" si="14"/>
        <v>375360480.35919333</v>
      </c>
      <c r="J44" s="64">
        <f>J16-J42</f>
        <v>-7406818.5795009136</v>
      </c>
      <c r="K44" s="516">
        <f t="shared" ref="K44" si="15">K16-K42</f>
        <v>367953661.77969241</v>
      </c>
      <c r="L44" s="64">
        <f t="shared" ref="L44:M44" si="16">L16-L42</f>
        <v>14172832.51433</v>
      </c>
      <c r="M44" s="516">
        <f t="shared" si="16"/>
        <v>382126494.29402232</v>
      </c>
    </row>
    <row r="45" spans="1:13" x14ac:dyDescent="0.25">
      <c r="A45" s="29">
        <f t="shared" si="0"/>
        <v>35</v>
      </c>
      <c r="B45" s="30"/>
      <c r="C45" s="539"/>
      <c r="D45" s="540"/>
      <c r="E45" s="517"/>
      <c r="F45" s="567"/>
      <c r="G45" s="517"/>
      <c r="H45" s="568"/>
      <c r="I45" s="517"/>
      <c r="J45" s="567"/>
      <c r="K45" s="517"/>
      <c r="L45" s="567"/>
      <c r="M45" s="517"/>
    </row>
    <row r="46" spans="1:13" x14ac:dyDescent="0.25">
      <c r="A46" s="29">
        <f t="shared" si="0"/>
        <v>36</v>
      </c>
      <c r="B46" s="28" t="s">
        <v>28</v>
      </c>
      <c r="C46" s="527">
        <f>C57</f>
        <v>5173537804.2968702</v>
      </c>
      <c r="D46" s="528">
        <f>D57</f>
        <v>-1756001.3912499999</v>
      </c>
      <c r="E46" s="509">
        <f>SUM(C46:D46)</f>
        <v>5171781802.9056206</v>
      </c>
      <c r="F46" s="528">
        <f>F57</f>
        <v>-47834916.175310865</v>
      </c>
      <c r="G46" s="509">
        <f>SUM(E46:F46)</f>
        <v>5123946886.7303095</v>
      </c>
      <c r="H46" s="367">
        <f>H57</f>
        <v>-22124531.14121912</v>
      </c>
      <c r="I46" s="509">
        <f>SUM(G46:H46)</f>
        <v>5101822355.5890903</v>
      </c>
      <c r="J46" s="85">
        <f>J57</f>
        <v>0</v>
      </c>
      <c r="K46" s="509">
        <f>SUM(I46:J46)</f>
        <v>5101822355.5890903</v>
      </c>
      <c r="L46" s="85">
        <f>+L57</f>
        <v>0</v>
      </c>
      <c r="M46" s="509">
        <f>SUM(K46:L46)</f>
        <v>5101822355.5890903</v>
      </c>
    </row>
    <row r="47" spans="1:13" x14ac:dyDescent="0.25">
      <c r="A47" s="29">
        <f t="shared" si="0"/>
        <v>37</v>
      </c>
      <c r="B47" s="28"/>
      <c r="C47" s="527"/>
      <c r="D47" s="530">
        <f>+'CBR Model'!EC50</f>
        <v>0</v>
      </c>
      <c r="E47" s="508"/>
      <c r="F47" s="49"/>
      <c r="G47" s="508"/>
      <c r="H47" s="562"/>
      <c r="I47" s="508"/>
      <c r="J47" s="49"/>
      <c r="K47" s="508"/>
      <c r="L47" s="49"/>
      <c r="M47" s="508"/>
    </row>
    <row r="48" spans="1:13" x14ac:dyDescent="0.25">
      <c r="A48" s="29">
        <f t="shared" si="0"/>
        <v>38</v>
      </c>
      <c r="B48" s="28" t="s">
        <v>29</v>
      </c>
      <c r="C48" s="541">
        <f>C44/C46</f>
        <v>7.5555992482619599E-2</v>
      </c>
      <c r="D48" s="572" t="s">
        <v>438</v>
      </c>
      <c r="E48" s="518">
        <f>E44/E46</f>
        <v>7.8119175161085491E-2</v>
      </c>
      <c r="F48" s="572" t="s">
        <v>438</v>
      </c>
      <c r="G48" s="518">
        <f>G44/G46</f>
        <v>7.5902948753139049E-2</v>
      </c>
      <c r="H48" s="572" t="s">
        <v>438</v>
      </c>
      <c r="I48" s="518">
        <f>I44/I46</f>
        <v>7.3573804455967132E-2</v>
      </c>
      <c r="J48" s="572" t="s">
        <v>438</v>
      </c>
      <c r="K48" s="518">
        <f>K44/K46</f>
        <v>7.2122005850830145E-2</v>
      </c>
      <c r="L48" s="572" t="s">
        <v>438</v>
      </c>
      <c r="M48" s="518">
        <f>M44/M46</f>
        <v>7.4899999972637119E-2</v>
      </c>
    </row>
    <row r="49" spans="1:13" x14ac:dyDescent="0.25">
      <c r="A49" s="29">
        <f t="shared" si="0"/>
        <v>39</v>
      </c>
      <c r="B49" s="28"/>
      <c r="C49" s="520"/>
      <c r="D49" s="278"/>
      <c r="E49" s="508"/>
      <c r="F49" s="49"/>
      <c r="G49" s="508"/>
      <c r="H49" s="562"/>
      <c r="I49" s="508"/>
      <c r="J49" s="49"/>
      <c r="K49" s="508"/>
      <c r="L49" s="49" t="s">
        <v>30</v>
      </c>
      <c r="M49" s="508"/>
    </row>
    <row r="50" spans="1:13" x14ac:dyDescent="0.25">
      <c r="A50" s="29">
        <f t="shared" si="0"/>
        <v>40</v>
      </c>
      <c r="B50" s="28" t="s">
        <v>2</v>
      </c>
      <c r="C50" s="520"/>
      <c r="D50" s="278"/>
      <c r="E50" s="508"/>
      <c r="F50" s="49"/>
      <c r="G50" s="508"/>
      <c r="H50" s="562"/>
      <c r="I50" s="508"/>
      <c r="J50" s="49"/>
      <c r="K50" s="508"/>
      <c r="L50" s="49" t="s">
        <v>30</v>
      </c>
      <c r="M50" s="508"/>
    </row>
    <row r="51" spans="1:13" x14ac:dyDescent="0.25">
      <c r="A51" s="29">
        <f t="shared" si="0"/>
        <v>41</v>
      </c>
      <c r="B51" s="118" t="s">
        <v>87</v>
      </c>
      <c r="C51" s="527">
        <f>'[4]ERB AMA'!D92</f>
        <v>10364897707.224737</v>
      </c>
      <c r="D51" s="530">
        <f>+'CBR Model'!EC54</f>
        <v>-4539303</v>
      </c>
      <c r="E51" s="509">
        <f t="shared" ref="E51:K56" si="17">+D51+C51</f>
        <v>10360358404.224737</v>
      </c>
      <c r="F51" s="85">
        <f>+'EOP Adj Summary'!H50</f>
        <v>176214591.37430191</v>
      </c>
      <c r="G51" s="509">
        <f t="shared" si="17"/>
        <v>10536572995.599039</v>
      </c>
      <c r="H51" s="85">
        <f>+'ERF Adj Summary'!R50</f>
        <v>0</v>
      </c>
      <c r="I51" s="509">
        <f t="shared" si="17"/>
        <v>10536572995.599039</v>
      </c>
      <c r="J51" s="85">
        <v>0</v>
      </c>
      <c r="K51" s="509">
        <f t="shared" si="17"/>
        <v>10536572995.599039</v>
      </c>
      <c r="L51" s="85"/>
      <c r="M51" s="509">
        <f t="shared" ref="M51:M56" si="18">SUM(K51:L51)</f>
        <v>10536572995.599039</v>
      </c>
    </row>
    <row r="52" spans="1:13" x14ac:dyDescent="0.25">
      <c r="A52" s="29">
        <f t="shared" si="0"/>
        <v>42</v>
      </c>
      <c r="B52" s="118" t="s">
        <v>63</v>
      </c>
      <c r="C52" s="529">
        <f>'[4]ERB AMA'!D93</f>
        <v>-4091031740.6961212</v>
      </c>
      <c r="D52" s="542">
        <f>+'CBR Model'!EC55</f>
        <v>1910783</v>
      </c>
      <c r="E52" s="513">
        <f t="shared" si="17"/>
        <v>-4089120957.6961212</v>
      </c>
      <c r="F52" s="47">
        <f>+'EOP Adj Summary'!H51</f>
        <v>-173870992.80144313</v>
      </c>
      <c r="G52" s="513">
        <f t="shared" si="17"/>
        <v>-4262991950.4975643</v>
      </c>
      <c r="H52" s="47">
        <f>+'ERF Adj Summary'!R51</f>
        <v>-25808343.623523332</v>
      </c>
      <c r="I52" s="513">
        <f t="shared" si="17"/>
        <v>-4288800294.1210876</v>
      </c>
      <c r="J52" s="47">
        <v>0</v>
      </c>
      <c r="K52" s="513">
        <f t="shared" si="17"/>
        <v>-4288800294.1210876</v>
      </c>
      <c r="L52" s="47"/>
      <c r="M52" s="513">
        <f t="shared" si="18"/>
        <v>-4288800294.1210876</v>
      </c>
    </row>
    <row r="53" spans="1:13" x14ac:dyDescent="0.25">
      <c r="A53" s="29">
        <f t="shared" si="0"/>
        <v>43</v>
      </c>
      <c r="B53" s="118" t="s">
        <v>88</v>
      </c>
      <c r="C53" s="529">
        <f>'[4]ERB AMA'!D94</f>
        <v>257055280.59625006</v>
      </c>
      <c r="D53" s="542">
        <f>+'CBR Model'!EC56</f>
        <v>0</v>
      </c>
      <c r="E53" s="513">
        <f t="shared" si="17"/>
        <v>257055280.59625006</v>
      </c>
      <c r="F53" s="47">
        <f>+'EOP Adj Summary'!H52</f>
        <v>28717574.393749952</v>
      </c>
      <c r="G53" s="513">
        <f t="shared" si="17"/>
        <v>285772854.99000001</v>
      </c>
      <c r="H53" s="47">
        <f>+'ERF Adj Summary'!R52</f>
        <v>-2724477.9196326532</v>
      </c>
      <c r="I53" s="513">
        <f t="shared" si="17"/>
        <v>283048377.07036734</v>
      </c>
      <c r="J53" s="47">
        <v>0</v>
      </c>
      <c r="K53" s="513">
        <f t="shared" si="17"/>
        <v>283048377.07036734</v>
      </c>
      <c r="L53" s="47"/>
      <c r="M53" s="513">
        <f t="shared" si="18"/>
        <v>283048377.07036734</v>
      </c>
    </row>
    <row r="54" spans="1:13" x14ac:dyDescent="0.25">
      <c r="A54" s="29">
        <f t="shared" si="0"/>
        <v>44</v>
      </c>
      <c r="B54" s="118" t="s">
        <v>89</v>
      </c>
      <c r="C54" s="529">
        <f>'[4]ERB AMA'!D95</f>
        <v>-1436108670.41483</v>
      </c>
      <c r="D54" s="542">
        <f>+'CBR Model'!EC57</f>
        <v>872518.60875000001</v>
      </c>
      <c r="E54" s="513">
        <f t="shared" si="17"/>
        <v>-1435236151.8060799</v>
      </c>
      <c r="F54" s="47">
        <f>+'EOP Adj Summary'!H53</f>
        <v>746015.19119801745</v>
      </c>
      <c r="G54" s="513">
        <f t="shared" si="17"/>
        <v>-1434490136.6148818</v>
      </c>
      <c r="H54" s="47">
        <f>+'ERF Adj Summary'!R53</f>
        <v>6408290.4019368673</v>
      </c>
      <c r="I54" s="513">
        <f t="shared" si="17"/>
        <v>-1428081846.212945</v>
      </c>
      <c r="J54" s="47">
        <v>0</v>
      </c>
      <c r="K54" s="513">
        <f t="shared" si="17"/>
        <v>-1428081846.212945</v>
      </c>
      <c r="L54" s="47"/>
      <c r="M54" s="513">
        <f t="shared" si="18"/>
        <v>-1428081846.212945</v>
      </c>
    </row>
    <row r="55" spans="1:13" x14ac:dyDescent="0.25">
      <c r="A55" s="29">
        <f>+A54+1</f>
        <v>45</v>
      </c>
      <c r="B55" s="118" t="s">
        <v>90</v>
      </c>
      <c r="C55" s="529">
        <f>'[4]ERB AMA'!D96</f>
        <v>183434144.27723971</v>
      </c>
      <c r="D55" s="542">
        <f>+'CBR Model'!EC58</f>
        <v>0</v>
      </c>
      <c r="E55" s="513">
        <f t="shared" si="17"/>
        <v>183434144.27723971</v>
      </c>
      <c r="F55" s="47">
        <f>+'EOP Adj Summary'!H54</f>
        <v>-81814006.51923801</v>
      </c>
      <c r="G55" s="513">
        <f t="shared" si="17"/>
        <v>101620137.7580017</v>
      </c>
      <c r="H55" s="47">
        <f>+'ERF Adj Summary'!R54</f>
        <v>0</v>
      </c>
      <c r="I55" s="513">
        <f t="shared" si="17"/>
        <v>101620137.7580017</v>
      </c>
      <c r="J55" s="47">
        <v>0</v>
      </c>
      <c r="K55" s="513">
        <f t="shared" si="17"/>
        <v>101620137.7580017</v>
      </c>
      <c r="L55" s="47"/>
      <c r="M55" s="513">
        <f t="shared" si="18"/>
        <v>101620137.7580017</v>
      </c>
    </row>
    <row r="56" spans="1:13" x14ac:dyDescent="0.25">
      <c r="A56" s="29">
        <f t="shared" si="0"/>
        <v>46</v>
      </c>
      <c r="B56" s="118" t="s">
        <v>91</v>
      </c>
      <c r="C56" s="529">
        <f>'[4]ERB AMA'!D97</f>
        <v>-104708916.6904054</v>
      </c>
      <c r="D56" s="543">
        <f>+'CBR Model'!EC59</f>
        <v>0</v>
      </c>
      <c r="E56" s="513">
        <f t="shared" si="17"/>
        <v>-104708916.6904054</v>
      </c>
      <c r="F56" s="47">
        <f>+'EOP Adj Summary'!H55</f>
        <v>2171902.1861203909</v>
      </c>
      <c r="G56" s="513">
        <f t="shared" si="17"/>
        <v>-102537014.50428501</v>
      </c>
      <c r="H56" s="47">
        <f>+'ERF Adj Summary'!R55</f>
        <v>0</v>
      </c>
      <c r="I56" s="513">
        <f t="shared" si="17"/>
        <v>-102537014.50428501</v>
      </c>
      <c r="J56" s="47">
        <v>0</v>
      </c>
      <c r="K56" s="513">
        <f t="shared" si="17"/>
        <v>-102537014.50428501</v>
      </c>
      <c r="L56" s="47"/>
      <c r="M56" s="514">
        <f t="shared" si="18"/>
        <v>-102537014.50428501</v>
      </c>
    </row>
    <row r="57" spans="1:13" ht="15.75" thickBot="1" x14ac:dyDescent="0.3">
      <c r="A57" s="29">
        <f t="shared" si="0"/>
        <v>47</v>
      </c>
      <c r="B57" s="28" t="s">
        <v>56</v>
      </c>
      <c r="C57" s="569">
        <f>SUM(C51:C56)</f>
        <v>5173537804.2968702</v>
      </c>
      <c r="D57" s="570">
        <f t="shared" ref="D57:M57" si="19">SUM(D51:D56)</f>
        <v>-1756001.3912499999</v>
      </c>
      <c r="E57" s="571">
        <f t="shared" si="19"/>
        <v>5171781802.9056206</v>
      </c>
      <c r="F57" s="570">
        <f t="shared" si="19"/>
        <v>-47834916.175310865</v>
      </c>
      <c r="G57" s="571">
        <f t="shared" si="19"/>
        <v>5123946886.7303095</v>
      </c>
      <c r="H57" s="570">
        <f t="shared" si="19"/>
        <v>-22124531.14121912</v>
      </c>
      <c r="I57" s="571">
        <f t="shared" si="19"/>
        <v>5101822355.5890903</v>
      </c>
      <c r="J57" s="570">
        <f t="shared" si="19"/>
        <v>0</v>
      </c>
      <c r="K57" s="571">
        <f t="shared" ref="K57" si="20">SUM(K51:K56)</f>
        <v>5101822355.5890903</v>
      </c>
      <c r="L57" s="570">
        <f t="shared" si="19"/>
        <v>0</v>
      </c>
      <c r="M57" s="571">
        <f t="shared" si="19"/>
        <v>5101822355.5890903</v>
      </c>
    </row>
    <row r="58" spans="1:13" ht="15.75" thickTop="1" x14ac:dyDescent="0.25">
      <c r="A58" s="61"/>
      <c r="B58" s="61"/>
      <c r="C58" s="61"/>
      <c r="D58" s="61"/>
      <c r="E58" s="61"/>
      <c r="F58" s="61"/>
      <c r="G58" s="61"/>
      <c r="H58" s="83"/>
      <c r="I58" s="83"/>
    </row>
    <row r="59" spans="1:13" customFormat="1" ht="12.75" x14ac:dyDescent="0.2"/>
    <row r="60" spans="1:13" customFormat="1" ht="12.75" x14ac:dyDescent="0.2"/>
    <row r="61" spans="1:13" customFormat="1" ht="12.75" x14ac:dyDescent="0.2"/>
    <row r="62" spans="1:13" customFormat="1" ht="12.75" x14ac:dyDescent="0.2"/>
    <row r="63" spans="1:13" customFormat="1" ht="12.75" x14ac:dyDescent="0.2"/>
    <row r="64" spans="1:13" customFormat="1" ht="12.75" x14ac:dyDescent="0.2"/>
    <row r="65" spans="1:19" customFormat="1" ht="12.75" x14ac:dyDescent="0.2"/>
    <row r="66" spans="1:19" customFormat="1" ht="12.75" x14ac:dyDescent="0.2"/>
    <row r="67" spans="1:19" customFormat="1" ht="12.75" x14ac:dyDescent="0.2"/>
    <row r="68" spans="1:19" customFormat="1" ht="12.75" x14ac:dyDescent="0.2"/>
    <row r="69" spans="1:19" customFormat="1" ht="12.75" x14ac:dyDescent="0.2"/>
    <row r="70" spans="1:19" customFormat="1" ht="12.75" x14ac:dyDescent="0.2"/>
    <row r="71" spans="1:19" customFormat="1" ht="12.75" x14ac:dyDescent="0.2"/>
    <row r="72" spans="1:19" customFormat="1" ht="12.75" x14ac:dyDescent="0.2"/>
    <row r="73" spans="1:19" customFormat="1" ht="12.75" x14ac:dyDescent="0.2"/>
    <row r="74" spans="1:19" customFormat="1" ht="12.75" x14ac:dyDescent="0.2"/>
    <row r="75" spans="1:19" x14ac:dyDescent="0.25">
      <c r="A75"/>
      <c r="B75"/>
      <c r="C75"/>
      <c r="D75"/>
      <c r="E75"/>
      <c r="F75" s="94"/>
      <c r="G75" s="94"/>
      <c r="H75"/>
      <c r="I75"/>
      <c r="K75"/>
      <c r="L75"/>
      <c r="M75"/>
      <c r="Q75"/>
      <c r="R75"/>
      <c r="S75"/>
    </row>
    <row r="76" spans="1:19" x14ac:dyDescent="0.25">
      <c r="A76"/>
      <c r="B76"/>
      <c r="C76"/>
      <c r="D76"/>
      <c r="E76"/>
      <c r="F76" s="94"/>
      <c r="G76" s="94"/>
      <c r="H76"/>
      <c r="I76"/>
      <c r="K76"/>
      <c r="L76"/>
      <c r="M76"/>
      <c r="Q76"/>
      <c r="R76"/>
      <c r="S76"/>
    </row>
    <row r="77" spans="1:19" x14ac:dyDescent="0.25">
      <c r="A77"/>
      <c r="B77"/>
      <c r="C77"/>
      <c r="D77"/>
      <c r="E77"/>
      <c r="F77" s="94"/>
      <c r="G77" s="94"/>
      <c r="H77"/>
      <c r="I77"/>
      <c r="K77"/>
      <c r="L77"/>
      <c r="M77"/>
      <c r="Q77"/>
      <c r="R77"/>
      <c r="S77"/>
    </row>
    <row r="78" spans="1:19" ht="14.25" customHeight="1" x14ac:dyDescent="0.25">
      <c r="A78"/>
      <c r="B78"/>
      <c r="C78"/>
      <c r="D78"/>
      <c r="E78"/>
      <c r="F78" s="94"/>
      <c r="G78" s="94"/>
      <c r="H78"/>
      <c r="I78"/>
      <c r="K78"/>
      <c r="L78"/>
      <c r="M78"/>
      <c r="Q78"/>
      <c r="R78"/>
      <c r="S78"/>
    </row>
    <row r="79" spans="1:19" x14ac:dyDescent="0.25">
      <c r="A79"/>
      <c r="B79"/>
      <c r="C79"/>
      <c r="D79"/>
      <c r="E79"/>
      <c r="F79" s="94"/>
      <c r="G79" s="94"/>
      <c r="H79"/>
      <c r="I79"/>
      <c r="K79"/>
      <c r="L79"/>
      <c r="M79"/>
      <c r="Q79"/>
      <c r="R79"/>
      <c r="S79"/>
    </row>
    <row r="80" spans="1:19" x14ac:dyDescent="0.25">
      <c r="A80"/>
      <c r="B80"/>
      <c r="C80"/>
      <c r="D80"/>
      <c r="E80"/>
      <c r="F80" s="94"/>
      <c r="G80" s="94"/>
      <c r="H80"/>
      <c r="I80"/>
      <c r="K80"/>
      <c r="L80"/>
      <c r="M80"/>
      <c r="Q80"/>
      <c r="R80"/>
      <c r="S80"/>
    </row>
    <row r="81" spans="1:19" x14ac:dyDescent="0.25">
      <c r="A81"/>
      <c r="B81"/>
      <c r="C81"/>
      <c r="D81"/>
      <c r="E81"/>
      <c r="F81" s="94"/>
      <c r="G81" s="94"/>
      <c r="H81"/>
      <c r="I81"/>
      <c r="K81"/>
      <c r="L81"/>
      <c r="M81"/>
      <c r="Q81"/>
      <c r="R81"/>
      <c r="S81"/>
    </row>
    <row r="82" spans="1:19" x14ac:dyDescent="0.25">
      <c r="A82"/>
      <c r="B82"/>
      <c r="C82"/>
      <c r="D82"/>
      <c r="E82"/>
      <c r="F82" s="94"/>
      <c r="G82" s="94"/>
      <c r="H82"/>
      <c r="I82"/>
      <c r="K82"/>
      <c r="L82"/>
      <c r="M82"/>
      <c r="Q82"/>
      <c r="R82"/>
      <c r="S82"/>
    </row>
    <row r="83" spans="1:19" x14ac:dyDescent="0.25">
      <c r="A83"/>
      <c r="B83"/>
      <c r="C83"/>
      <c r="D83"/>
      <c r="E83"/>
      <c r="F83" s="94"/>
      <c r="G83" s="94"/>
      <c r="H83"/>
      <c r="I83"/>
      <c r="K83"/>
      <c r="L83"/>
      <c r="M83"/>
      <c r="Q83"/>
      <c r="R83"/>
      <c r="S83"/>
    </row>
    <row r="84" spans="1:19" x14ac:dyDescent="0.25">
      <c r="A84"/>
      <c r="B84"/>
      <c r="C84"/>
      <c r="D84"/>
      <c r="E84"/>
      <c r="F84" s="94"/>
      <c r="G84" s="94"/>
      <c r="H84"/>
      <c r="I84"/>
      <c r="K84"/>
      <c r="L84"/>
      <c r="M84"/>
      <c r="Q84"/>
      <c r="R84"/>
      <c r="S84"/>
    </row>
    <row r="85" spans="1:19" x14ac:dyDescent="0.25">
      <c r="A85"/>
      <c r="B85"/>
      <c r="C85"/>
      <c r="D85"/>
      <c r="E85"/>
      <c r="F85" s="94"/>
      <c r="G85" s="94"/>
      <c r="H85"/>
      <c r="I85"/>
      <c r="K85"/>
      <c r="L85"/>
      <c r="M85"/>
      <c r="Q85"/>
      <c r="R85"/>
      <c r="S85"/>
    </row>
    <row r="86" spans="1:19" x14ac:dyDescent="0.25">
      <c r="A86"/>
      <c r="B86"/>
      <c r="C86"/>
      <c r="D86"/>
      <c r="E86"/>
      <c r="F86" s="94"/>
      <c r="G86" s="94"/>
      <c r="H86"/>
      <c r="I86"/>
      <c r="K86"/>
      <c r="L86"/>
      <c r="M86"/>
      <c r="Q86"/>
      <c r="R86"/>
      <c r="S86"/>
    </row>
    <row r="87" spans="1:19" x14ac:dyDescent="0.25">
      <c r="A87"/>
      <c r="B87"/>
      <c r="C87"/>
      <c r="D87"/>
      <c r="E87"/>
      <c r="F87" s="94"/>
      <c r="G87" s="94"/>
      <c r="H87"/>
      <c r="I87"/>
      <c r="K87"/>
      <c r="L87"/>
      <c r="M87"/>
      <c r="Q87"/>
      <c r="R87"/>
      <c r="S87"/>
    </row>
    <row r="88" spans="1:19" x14ac:dyDescent="0.25">
      <c r="A88"/>
      <c r="B88"/>
      <c r="C88"/>
      <c r="D88"/>
      <c r="E88"/>
      <c r="F88" s="94"/>
      <c r="G88" s="94"/>
      <c r="H88"/>
      <c r="I88"/>
      <c r="K88"/>
      <c r="L88"/>
      <c r="M88"/>
      <c r="Q88"/>
      <c r="R88"/>
      <c r="S88"/>
    </row>
  </sheetData>
  <pageMargins left="0.2" right="0.2" top="0.75" bottom="0.5" header="0.3" footer="0.3"/>
  <pageSetup scale="64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88"/>
  <sheetViews>
    <sheetView zoomScale="85" zoomScaleNormal="85" workbookViewId="0">
      <pane xSplit="4" ySplit="8" topLeftCell="M32" activePane="bottomRight" state="frozen"/>
      <selection activeCell="E44" sqref="E44"/>
      <selection pane="topRight" activeCell="E44" sqref="E44"/>
      <selection pane="bottomLeft" activeCell="E44" sqref="E44"/>
      <selection pane="bottomRight" sqref="A1:S56"/>
    </sheetView>
  </sheetViews>
  <sheetFormatPr defaultColWidth="10.7109375" defaultRowHeight="12.75" x14ac:dyDescent="0.2"/>
  <cols>
    <col min="1" max="1" width="6" style="50" customWidth="1"/>
    <col min="2" max="2" width="44.5703125" style="226" customWidth="1"/>
    <col min="3" max="3" width="0.7109375" style="226" customWidth="1"/>
    <col min="4" max="4" width="20" style="226" customWidth="1"/>
    <col min="5" max="5" width="22.7109375" style="226" customWidth="1"/>
    <col min="6" max="6" width="20" style="226" customWidth="1"/>
    <col min="7" max="7" width="24.42578125" style="226" customWidth="1"/>
    <col min="8" max="8" width="18.7109375" style="226" customWidth="1"/>
    <col min="9" max="9" width="24" style="226" customWidth="1"/>
    <col min="10" max="10" width="22" style="226" customWidth="1"/>
    <col min="11" max="11" width="25.42578125" style="226" bestFit="1" customWidth="1"/>
    <col min="12" max="14" width="22" style="226" customWidth="1"/>
    <col min="15" max="15" width="25.28515625" style="226" customWidth="1"/>
    <col min="16" max="17" width="22" style="226" customWidth="1"/>
    <col min="18" max="18" width="20.7109375" style="226" customWidth="1"/>
    <col min="19" max="19" width="22" style="226" customWidth="1"/>
    <col min="20" max="20" width="2.85546875" style="226" customWidth="1"/>
    <col min="21" max="21" width="10.7109375" style="395"/>
    <col min="22" max="22" width="15.42578125" style="395" bestFit="1" customWidth="1"/>
    <col min="23" max="16384" width="10.7109375" style="226"/>
  </cols>
  <sheetData>
    <row r="1" spans="1:33" ht="19.5" customHeight="1" thickBot="1" x14ac:dyDescent="0.25">
      <c r="A1" s="51"/>
      <c r="I1" s="25"/>
      <c r="K1" s="676" t="s">
        <v>695</v>
      </c>
      <c r="R1" s="98"/>
      <c r="S1" s="676" t="s">
        <v>696</v>
      </c>
    </row>
    <row r="2" spans="1:33" ht="29.25" customHeight="1" x14ac:dyDescent="0.2">
      <c r="B2" s="219"/>
      <c r="C2" s="219"/>
      <c r="D2" s="252" t="s">
        <v>57</v>
      </c>
      <c r="E2" s="219"/>
      <c r="F2" s="219"/>
      <c r="G2" s="219"/>
      <c r="H2" s="252"/>
      <c r="I2" s="252"/>
      <c r="J2" s="219"/>
      <c r="K2" s="219"/>
      <c r="L2" s="252" t="s">
        <v>57</v>
      </c>
      <c r="M2" s="219"/>
      <c r="N2" s="219"/>
      <c r="O2" s="219"/>
      <c r="P2" s="219"/>
      <c r="Q2" s="219"/>
      <c r="R2" s="219"/>
      <c r="S2" s="295"/>
    </row>
    <row r="3" spans="1:33" s="296" customFormat="1" ht="15" customHeight="1" x14ac:dyDescent="0.2">
      <c r="B3" s="295"/>
      <c r="C3" s="295"/>
      <c r="D3" s="184" t="s">
        <v>176</v>
      </c>
      <c r="E3" s="295"/>
      <c r="F3" s="295"/>
      <c r="G3" s="295"/>
      <c r="H3" s="184"/>
      <c r="I3" s="184"/>
      <c r="J3" s="295"/>
      <c r="K3" s="295"/>
      <c r="L3" s="184" t="s">
        <v>176</v>
      </c>
      <c r="M3" s="295"/>
      <c r="N3" s="295"/>
      <c r="O3" s="295"/>
      <c r="P3" s="295"/>
      <c r="Q3" s="295"/>
      <c r="R3" s="295"/>
      <c r="S3" s="295"/>
      <c r="U3" s="677"/>
      <c r="V3" s="677"/>
    </row>
    <row r="4" spans="1:33" ht="15" customHeight="1" x14ac:dyDescent="0.2">
      <c r="B4" s="219"/>
      <c r="C4" s="219"/>
      <c r="D4" s="252" t="str">
        <f>+_TestYear</f>
        <v>FOR THE TWELVE MONTHS ENDED JUNE 30, 2018</v>
      </c>
      <c r="E4" s="219"/>
      <c r="F4" s="219"/>
      <c r="G4" s="219"/>
      <c r="H4" s="219"/>
      <c r="I4" s="252"/>
      <c r="J4" s="219"/>
      <c r="K4" s="219"/>
      <c r="L4" s="252" t="str">
        <f>+_TestYear</f>
        <v>FOR THE TWELVE MONTHS ENDED JUNE 30, 2018</v>
      </c>
      <c r="M4" s="219"/>
      <c r="N4" s="219"/>
      <c r="O4" s="219"/>
      <c r="P4" s="219"/>
      <c r="Q4" s="219"/>
      <c r="R4" s="219"/>
      <c r="S4" s="295"/>
    </row>
    <row r="5" spans="1:33" s="61" customFormat="1" ht="28.5" customHeight="1" x14ac:dyDescent="0.25">
      <c r="A5" s="131"/>
      <c r="B5" s="130"/>
      <c r="C5" s="129"/>
      <c r="D5" s="103"/>
      <c r="E5" s="103"/>
      <c r="F5" s="103"/>
      <c r="G5" s="103"/>
      <c r="H5" s="673"/>
      <c r="I5" s="103"/>
      <c r="J5" s="103"/>
      <c r="K5" s="103"/>
      <c r="L5" s="103"/>
      <c r="M5" s="103"/>
      <c r="N5" s="103"/>
      <c r="O5" s="103"/>
      <c r="P5" s="226"/>
      <c r="Q5" s="226"/>
      <c r="R5" s="99"/>
      <c r="S5" s="99"/>
      <c r="T5" s="128"/>
      <c r="U5" s="395"/>
      <c r="V5" s="395"/>
    </row>
    <row r="6" spans="1:33" ht="15" customHeight="1" x14ac:dyDescent="0.2">
      <c r="A6" s="53"/>
      <c r="B6" s="51"/>
      <c r="C6" s="51"/>
      <c r="D6" s="673" t="s">
        <v>403</v>
      </c>
      <c r="E6" s="673" t="s">
        <v>525</v>
      </c>
      <c r="F6" s="673" t="s">
        <v>59</v>
      </c>
      <c r="G6" s="673" t="s">
        <v>173</v>
      </c>
      <c r="H6" s="673" t="s">
        <v>450</v>
      </c>
      <c r="I6" s="673" t="s">
        <v>70</v>
      </c>
      <c r="J6" s="673" t="s">
        <v>101</v>
      </c>
      <c r="K6" s="673" t="s">
        <v>100</v>
      </c>
      <c r="L6" s="673" t="s">
        <v>71</v>
      </c>
      <c r="M6" s="673" t="s">
        <v>417</v>
      </c>
      <c r="N6" s="673" t="s">
        <v>472</v>
      </c>
      <c r="O6" s="673" t="s">
        <v>473</v>
      </c>
      <c r="P6" s="673" t="s">
        <v>455</v>
      </c>
      <c r="Q6" s="673" t="s">
        <v>507</v>
      </c>
      <c r="R6" s="673" t="s">
        <v>39</v>
      </c>
      <c r="S6" s="673" t="s">
        <v>405</v>
      </c>
      <c r="T6" s="51"/>
    </row>
    <row r="7" spans="1:33" ht="15" customHeight="1" x14ac:dyDescent="0.2">
      <c r="A7" s="45" t="s">
        <v>32</v>
      </c>
      <c r="B7" s="51"/>
      <c r="C7" s="51"/>
      <c r="D7" s="673" t="s">
        <v>42</v>
      </c>
      <c r="E7" s="673" t="s">
        <v>61</v>
      </c>
      <c r="F7" s="673" t="s">
        <v>99</v>
      </c>
      <c r="G7" s="65" t="s">
        <v>40</v>
      </c>
      <c r="H7" s="673" t="s">
        <v>451</v>
      </c>
      <c r="I7" s="673" t="s">
        <v>73</v>
      </c>
      <c r="J7" s="673" t="s">
        <v>98</v>
      </c>
      <c r="K7" s="673" t="s">
        <v>97</v>
      </c>
      <c r="L7" s="65" t="s">
        <v>74</v>
      </c>
      <c r="M7" s="65" t="s">
        <v>325</v>
      </c>
      <c r="N7" s="65" t="s">
        <v>324</v>
      </c>
      <c r="O7" s="65" t="s">
        <v>474</v>
      </c>
      <c r="P7" s="65" t="s">
        <v>456</v>
      </c>
      <c r="Q7" s="65" t="s">
        <v>508</v>
      </c>
      <c r="R7" s="672" t="s">
        <v>51</v>
      </c>
      <c r="S7" s="673" t="s">
        <v>42</v>
      </c>
      <c r="T7" s="673"/>
    </row>
    <row r="8" spans="1:33" ht="15" customHeight="1" x14ac:dyDescent="0.2">
      <c r="A8" s="45" t="s">
        <v>34</v>
      </c>
      <c r="B8" s="51"/>
      <c r="C8" s="51"/>
      <c r="D8" s="673" t="s">
        <v>43</v>
      </c>
      <c r="E8" s="66" t="s">
        <v>667</v>
      </c>
      <c r="F8" s="66" t="s">
        <v>668</v>
      </c>
      <c r="G8" s="66" t="s">
        <v>669</v>
      </c>
      <c r="H8" s="66" t="s">
        <v>670</v>
      </c>
      <c r="I8" s="66" t="s">
        <v>671</v>
      </c>
      <c r="J8" s="66" t="s">
        <v>672</v>
      </c>
      <c r="K8" s="66" t="s">
        <v>673</v>
      </c>
      <c r="L8" s="66" t="s">
        <v>674</v>
      </c>
      <c r="M8" s="66" t="s">
        <v>675</v>
      </c>
      <c r="N8" s="66" t="s">
        <v>676</v>
      </c>
      <c r="O8" s="66" t="s">
        <v>677</v>
      </c>
      <c r="P8" s="66" t="s">
        <v>678</v>
      </c>
      <c r="Q8" s="66" t="s">
        <v>679</v>
      </c>
      <c r="R8" s="672"/>
      <c r="S8" s="672" t="s">
        <v>43</v>
      </c>
      <c r="T8" s="673"/>
    </row>
    <row r="9" spans="1:33" ht="15" customHeight="1" x14ac:dyDescent="0.2">
      <c r="A9" s="46" t="s">
        <v>95</v>
      </c>
      <c r="B9" s="32"/>
      <c r="C9" s="32"/>
      <c r="D9" s="69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 t="s">
        <v>30</v>
      </c>
    </row>
    <row r="10" spans="1:33" ht="15" customHeight="1" x14ac:dyDescent="0.2">
      <c r="A10" s="29">
        <v>1</v>
      </c>
      <c r="B10" s="145" t="s">
        <v>47</v>
      </c>
      <c r="C10" s="145"/>
      <c r="D10" s="39"/>
      <c r="E10" s="48"/>
      <c r="F10" s="48"/>
      <c r="G10" s="48"/>
      <c r="H10" s="48"/>
      <c r="I10" s="48"/>
      <c r="L10" s="48"/>
      <c r="M10" s="48"/>
      <c r="N10" s="48"/>
      <c r="O10" s="48"/>
      <c r="P10" s="48"/>
      <c r="Q10" s="48"/>
      <c r="S10" s="48"/>
    </row>
    <row r="11" spans="1:33" ht="15" customHeight="1" x14ac:dyDescent="0.2">
      <c r="A11" s="29">
        <f t="shared" ref="A11:A42" si="0">A10+1</f>
        <v>2</v>
      </c>
      <c r="B11" s="145" t="s">
        <v>5</v>
      </c>
      <c r="C11" s="145"/>
      <c r="D11" s="41">
        <f>'ERF Main Summary'!G12</f>
        <v>2058080273.92558</v>
      </c>
      <c r="E11" s="41">
        <f>+'ERF Adj Pages'!E14+'ERF Adj Pages'!E15+'ERF Adj Pages'!E18</f>
        <v>-39353726.6053835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/>
      <c r="N11" s="41">
        <v>0</v>
      </c>
      <c r="O11" s="41">
        <v>0</v>
      </c>
      <c r="P11" s="41">
        <v>0</v>
      </c>
      <c r="Q11" s="41">
        <v>0</v>
      </c>
      <c r="R11" s="41">
        <f>SUM(E11:Q11)</f>
        <v>-39353726.6053835</v>
      </c>
      <c r="S11" s="41">
        <f>R11+D11</f>
        <v>2018726547.3201966</v>
      </c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</row>
    <row r="12" spans="1:33" ht="15" customHeight="1" x14ac:dyDescent="0.2">
      <c r="A12" s="29">
        <f t="shared" si="0"/>
        <v>3</v>
      </c>
      <c r="B12" s="145" t="s">
        <v>94</v>
      </c>
      <c r="C12" s="145"/>
      <c r="D12" s="40">
        <f>'ERF Main Summary'!G13</f>
        <v>343685.04</v>
      </c>
      <c r="E12" s="40">
        <f>+'ERF Adj Pages'!E16</f>
        <v>-13829.039999999979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>
        <f>SUM(E12:Q12)</f>
        <v>-13829.039999999979</v>
      </c>
      <c r="S12" s="40">
        <f>R12+D12</f>
        <v>329856</v>
      </c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</row>
    <row r="13" spans="1:33" ht="15" customHeight="1" x14ac:dyDescent="0.2">
      <c r="A13" s="29">
        <f t="shared" si="0"/>
        <v>4</v>
      </c>
      <c r="B13" s="145" t="s">
        <v>7</v>
      </c>
      <c r="C13" s="145"/>
      <c r="D13" s="40">
        <f>'ERF Main Summary'!G14</f>
        <v>116721927.84999999</v>
      </c>
      <c r="E13" s="40"/>
      <c r="F13" s="40"/>
      <c r="G13" s="40"/>
      <c r="H13" s="40"/>
      <c r="I13" s="40"/>
      <c r="J13" s="40"/>
      <c r="K13" s="40"/>
      <c r="L13" s="40"/>
      <c r="M13" s="40">
        <f>-'ERF Adj Pages'!AP18</f>
        <v>-55279030.301403992</v>
      </c>
      <c r="N13" s="40"/>
      <c r="O13" s="40"/>
      <c r="P13" s="40"/>
      <c r="Q13" s="40"/>
      <c r="R13" s="40">
        <f>SUM(E13:Q13)</f>
        <v>-55279030.301403992</v>
      </c>
      <c r="S13" s="40">
        <f>R13+D13</f>
        <v>61442897.548596002</v>
      </c>
      <c r="T13" s="4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</row>
    <row r="14" spans="1:33" ht="15" customHeight="1" x14ac:dyDescent="0.2">
      <c r="A14" s="29">
        <f t="shared" si="0"/>
        <v>5</v>
      </c>
      <c r="B14" s="145" t="s">
        <v>8</v>
      </c>
      <c r="C14" s="145"/>
      <c r="D14" s="40">
        <f>'ERF Main Summary'!G15</f>
        <v>42243827.679999903</v>
      </c>
      <c r="E14" s="47">
        <f>SUM('ERF Adj Pages'!E23:E25)</f>
        <v>22528213.530000001</v>
      </c>
      <c r="F14" s="47"/>
      <c r="G14" s="47"/>
      <c r="H14" s="47"/>
      <c r="I14" s="47"/>
      <c r="J14" s="47"/>
      <c r="K14" s="47"/>
      <c r="L14" s="47"/>
      <c r="M14" s="47">
        <f>-'ERF Adj Pages'!AP19</f>
        <v>4826758.4271818865</v>
      </c>
      <c r="N14" s="47"/>
      <c r="O14" s="47"/>
      <c r="P14" s="47"/>
      <c r="Q14" s="47"/>
      <c r="R14" s="40">
        <f>SUM(E14:Q14)</f>
        <v>27354971.957181886</v>
      </c>
      <c r="S14" s="40">
        <f>R14+D14</f>
        <v>69598799.637181789</v>
      </c>
      <c r="T14" s="40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</row>
    <row r="15" spans="1:33" ht="15" customHeight="1" x14ac:dyDescent="0.2">
      <c r="A15" s="29">
        <f t="shared" si="0"/>
        <v>6</v>
      </c>
      <c r="B15" s="145" t="s">
        <v>9</v>
      </c>
      <c r="C15" s="145"/>
      <c r="D15" s="126">
        <f t="shared" ref="D15:L15" si="1">SUM(D11:D14)</f>
        <v>2217389714.4955797</v>
      </c>
      <c r="E15" s="126">
        <f t="shared" si="1"/>
        <v>-16839342.115383498</v>
      </c>
      <c r="F15" s="126">
        <f t="shared" si="1"/>
        <v>0</v>
      </c>
      <c r="G15" s="126">
        <f t="shared" si="1"/>
        <v>0</v>
      </c>
      <c r="H15" s="126">
        <f t="shared" ref="H15" si="2">SUM(H11:H14)</f>
        <v>0</v>
      </c>
      <c r="I15" s="126">
        <f t="shared" si="1"/>
        <v>0</v>
      </c>
      <c r="J15" s="126">
        <f t="shared" si="1"/>
        <v>0</v>
      </c>
      <c r="K15" s="126">
        <f t="shared" si="1"/>
        <v>0</v>
      </c>
      <c r="L15" s="126">
        <f t="shared" si="1"/>
        <v>0</v>
      </c>
      <c r="M15" s="126">
        <f>SUM(M11:M14)</f>
        <v>-50452271.874222107</v>
      </c>
      <c r="N15" s="126">
        <f t="shared" ref="N15" si="3">SUM(N11:N14)</f>
        <v>0</v>
      </c>
      <c r="O15" s="126">
        <f t="shared" ref="O15" si="4">SUM(O11:O14)</f>
        <v>0</v>
      </c>
      <c r="P15" s="126">
        <f t="shared" ref="P15:Q15" si="5">SUM(P11:P14)</f>
        <v>0</v>
      </c>
      <c r="Q15" s="126">
        <f t="shared" si="5"/>
        <v>0</v>
      </c>
      <c r="R15" s="126">
        <f>SUM(R11:R14)</f>
        <v>-67291613.989605606</v>
      </c>
      <c r="S15" s="126">
        <f>R15+D15</f>
        <v>2150098100.5059743</v>
      </c>
      <c r="T15" s="47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</row>
    <row r="16" spans="1:33" ht="15" customHeight="1" x14ac:dyDescent="0.2">
      <c r="A16" s="29">
        <f t="shared" si="0"/>
        <v>7</v>
      </c>
      <c r="D16" s="40"/>
      <c r="E16" s="39" t="s">
        <v>30</v>
      </c>
      <c r="F16" s="39"/>
      <c r="G16" s="39" t="s">
        <v>30</v>
      </c>
      <c r="H16" s="39" t="s">
        <v>30</v>
      </c>
      <c r="I16" s="39" t="s">
        <v>30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7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</row>
    <row r="17" spans="1:33" ht="15" customHeight="1" x14ac:dyDescent="0.2">
      <c r="A17" s="29">
        <f t="shared" si="0"/>
        <v>8</v>
      </c>
      <c r="B17" s="145" t="s">
        <v>10</v>
      </c>
      <c r="C17" s="145"/>
      <c r="D17" s="4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</row>
    <row r="18" spans="1:33" ht="15" customHeight="1" x14ac:dyDescent="0.2">
      <c r="A18" s="29">
        <f t="shared" si="0"/>
        <v>9</v>
      </c>
      <c r="D18" s="113"/>
      <c r="T18" s="39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</row>
    <row r="19" spans="1:33" ht="15" customHeight="1" x14ac:dyDescent="0.2">
      <c r="A19" s="29">
        <f t="shared" si="0"/>
        <v>10</v>
      </c>
      <c r="B19" s="145" t="s">
        <v>11</v>
      </c>
      <c r="C19" s="145"/>
      <c r="D19" s="4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</row>
    <row r="20" spans="1:33" ht="15" customHeight="1" x14ac:dyDescent="0.2">
      <c r="A20" s="29">
        <f t="shared" si="0"/>
        <v>11</v>
      </c>
      <c r="B20" s="145" t="s">
        <v>12</v>
      </c>
      <c r="C20" s="145"/>
      <c r="D20" s="40">
        <f>'ERF Main Summary'!G21</f>
        <v>191271195.98000002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/>
      <c r="K20" s="40"/>
      <c r="L20" s="40">
        <v>0</v>
      </c>
      <c r="M20" s="40">
        <f>+'ERF Adj Pages'!AP14</f>
        <v>17172047.285193443</v>
      </c>
      <c r="N20" s="40">
        <v>0</v>
      </c>
      <c r="O20" s="40">
        <v>0</v>
      </c>
      <c r="P20" s="40">
        <v>0</v>
      </c>
      <c r="Q20" s="40">
        <v>0</v>
      </c>
      <c r="R20" s="40">
        <f>SUM(E20:Q20)</f>
        <v>17172047.285193443</v>
      </c>
      <c r="S20" s="40">
        <f>R20+D20</f>
        <v>208443243.26519346</v>
      </c>
      <c r="T20" s="39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</row>
    <row r="21" spans="1:33" ht="15" customHeight="1" x14ac:dyDescent="0.2">
      <c r="A21" s="29">
        <f t="shared" si="0"/>
        <v>12</v>
      </c>
      <c r="B21" s="145" t="s">
        <v>13</v>
      </c>
      <c r="C21" s="145"/>
      <c r="D21" s="40">
        <f>'ERF Main Summary'!G22</f>
        <v>500810764.6216436</v>
      </c>
      <c r="E21" s="40"/>
      <c r="F21" s="40"/>
      <c r="G21" s="40"/>
      <c r="H21" s="40"/>
      <c r="I21" s="40"/>
      <c r="J21" s="40"/>
      <c r="K21" s="40"/>
      <c r="L21" s="40"/>
      <c r="M21" s="40">
        <f>SUM('ERF Adj Pages'!AP15:AP16)</f>
        <v>-55440600.524609394</v>
      </c>
      <c r="N21" s="40"/>
      <c r="O21" s="40"/>
      <c r="P21" s="40"/>
      <c r="Q21" s="40"/>
      <c r="R21" s="40">
        <f>SUM(E21:Q21)</f>
        <v>-55440600.524609394</v>
      </c>
      <c r="S21" s="40">
        <f>R21+D21</f>
        <v>445370164.09703422</v>
      </c>
      <c r="T21" s="41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</row>
    <row r="22" spans="1:33" ht="15" customHeight="1" x14ac:dyDescent="0.2">
      <c r="A22" s="29">
        <f t="shared" si="0"/>
        <v>13</v>
      </c>
      <c r="B22" s="145" t="s">
        <v>14</v>
      </c>
      <c r="C22" s="145"/>
      <c r="D22" s="40">
        <f>'ERF Main Summary'!G23</f>
        <v>116538099.3</v>
      </c>
      <c r="E22" s="40"/>
      <c r="F22" s="40"/>
      <c r="G22" s="40"/>
      <c r="H22" s="40"/>
      <c r="I22" s="40"/>
      <c r="J22" s="40"/>
      <c r="K22" s="40"/>
      <c r="L22" s="40"/>
      <c r="M22" s="40">
        <f>+'ERF Adj Pages'!AP17</f>
        <v>-5731611.2223677486</v>
      </c>
      <c r="N22" s="40"/>
      <c r="O22" s="40"/>
      <c r="P22" s="40"/>
      <c r="Q22" s="40"/>
      <c r="R22" s="40">
        <f>SUM(E22:Q22)</f>
        <v>-5731611.2223677486</v>
      </c>
      <c r="S22" s="40">
        <f>R22+D22</f>
        <v>110806488.07763225</v>
      </c>
      <c r="T22" s="40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</row>
    <row r="23" spans="1:33" ht="15" customHeight="1" x14ac:dyDescent="0.2">
      <c r="A23" s="29">
        <f t="shared" si="0"/>
        <v>14</v>
      </c>
      <c r="B23" s="226" t="s">
        <v>50</v>
      </c>
      <c r="D23" s="89">
        <f>'ERF Main Summary'!G24</f>
        <v>0</v>
      </c>
      <c r="E23" s="89"/>
      <c r="F23" s="89"/>
      <c r="G23" s="89"/>
      <c r="H23" s="89"/>
      <c r="I23" s="89"/>
      <c r="J23" s="89"/>
      <c r="K23" s="89"/>
      <c r="L23" s="89"/>
      <c r="M23" s="47"/>
      <c r="N23" s="89"/>
      <c r="O23" s="89"/>
      <c r="P23" s="89"/>
      <c r="Q23" s="89"/>
      <c r="R23" s="40">
        <f>SUM(E23:Q23)</f>
        <v>0</v>
      </c>
      <c r="S23" s="40">
        <f>R23+D23</f>
        <v>0</v>
      </c>
      <c r="T23" s="40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</row>
    <row r="24" spans="1:33" ht="15" customHeight="1" x14ac:dyDescent="0.2">
      <c r="A24" s="29">
        <f t="shared" si="0"/>
        <v>15</v>
      </c>
      <c r="B24" s="145" t="s">
        <v>16</v>
      </c>
      <c r="C24" s="145"/>
      <c r="D24" s="126">
        <f>SUM(D20:D23)</f>
        <v>808620059.90164351</v>
      </c>
      <c r="E24" s="126">
        <f>SUM(E20:E23)</f>
        <v>0</v>
      </c>
      <c r="F24" s="126">
        <f>SUM(F20:F23)</f>
        <v>0</v>
      </c>
      <c r="G24" s="126">
        <f>SUM(G20:G23)</f>
        <v>0</v>
      </c>
      <c r="H24" s="126">
        <f>SUM(H20:H23)</f>
        <v>0</v>
      </c>
      <c r="I24" s="126">
        <f>SUM(I19:I23)</f>
        <v>0</v>
      </c>
      <c r="J24" s="126">
        <f>SUM(J19:J23)</f>
        <v>0</v>
      </c>
      <c r="K24" s="126">
        <f>SUM(K19:K23)</f>
        <v>0</v>
      </c>
      <c r="L24" s="126">
        <f>SUM(L20:L23)</f>
        <v>0</v>
      </c>
      <c r="M24" s="126">
        <f>SUM(M20:M23)</f>
        <v>-44000164.4617837</v>
      </c>
      <c r="N24" s="126">
        <f t="shared" ref="N24" si="6">SUM(N20:N23)</f>
        <v>0</v>
      </c>
      <c r="O24" s="126">
        <f t="shared" ref="O24" si="7">SUM(O20:O23)</f>
        <v>0</v>
      </c>
      <c r="P24" s="126">
        <f t="shared" ref="P24:Q24" si="8">SUM(P20:P23)</f>
        <v>0</v>
      </c>
      <c r="Q24" s="126">
        <f t="shared" si="8"/>
        <v>0</v>
      </c>
      <c r="R24" s="126">
        <f>SUM(R20:R23)</f>
        <v>-44000164.4617837</v>
      </c>
      <c r="S24" s="126">
        <f>R24+D24</f>
        <v>764619895.43985987</v>
      </c>
      <c r="T24" s="47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</row>
    <row r="25" spans="1:33" ht="15" customHeight="1" x14ac:dyDescent="0.2">
      <c r="A25" s="29">
        <f t="shared" si="0"/>
        <v>16</v>
      </c>
      <c r="B25" s="145"/>
      <c r="C25" s="145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7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</row>
    <row r="26" spans="1:33" ht="15" customHeight="1" x14ac:dyDescent="0.2">
      <c r="A26" s="29">
        <f t="shared" si="0"/>
        <v>17</v>
      </c>
      <c r="B26" s="38" t="s">
        <v>1</v>
      </c>
      <c r="C26" s="38"/>
      <c r="D26" s="40">
        <f>'ERF Main Summary'!G27</f>
        <v>125117978.73905325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/>
      <c r="K26" s="40"/>
      <c r="L26" s="40">
        <v>0</v>
      </c>
      <c r="M26" s="40">
        <f>+'ERF Adj Pages'!AP24</f>
        <v>2497698.9330957532</v>
      </c>
      <c r="N26" s="40">
        <v>0</v>
      </c>
      <c r="O26" s="40">
        <v>0</v>
      </c>
      <c r="P26" s="40">
        <v>0</v>
      </c>
      <c r="Q26" s="40">
        <v>0</v>
      </c>
      <c r="R26" s="40">
        <f t="shared" ref="R26:R40" si="9">SUM(E26:Q26)</f>
        <v>2497698.9330957532</v>
      </c>
      <c r="S26" s="40">
        <f t="shared" ref="S26:S40" si="10">R26+D26</f>
        <v>127615677.672149</v>
      </c>
      <c r="T26" s="48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</row>
    <row r="27" spans="1:33" ht="15" customHeight="1" x14ac:dyDescent="0.2">
      <c r="A27" s="29">
        <f t="shared" si="0"/>
        <v>18</v>
      </c>
      <c r="B27" s="145" t="s">
        <v>17</v>
      </c>
      <c r="C27" s="145"/>
      <c r="D27" s="40">
        <f>'ERF Main Summary'!G28</f>
        <v>21921149.316666648</v>
      </c>
      <c r="E27" s="40"/>
      <c r="F27" s="40"/>
      <c r="G27" s="40"/>
      <c r="H27" s="40"/>
      <c r="I27" s="40"/>
      <c r="J27" s="40"/>
      <c r="K27" s="40"/>
      <c r="L27" s="58">
        <v>0</v>
      </c>
      <c r="M27" s="58"/>
      <c r="N27" s="58">
        <v>0</v>
      </c>
      <c r="O27" s="58">
        <v>0</v>
      </c>
      <c r="P27" s="58">
        <v>0</v>
      </c>
      <c r="Q27" s="58">
        <v>0</v>
      </c>
      <c r="R27" s="40">
        <f t="shared" si="9"/>
        <v>0</v>
      </c>
      <c r="S27" s="40">
        <f t="shared" si="10"/>
        <v>21921149.316666648</v>
      </c>
      <c r="T27" s="41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</row>
    <row r="28" spans="1:33" ht="15" customHeight="1" x14ac:dyDescent="0.2">
      <c r="A28" s="29">
        <f t="shared" si="0"/>
        <v>19</v>
      </c>
      <c r="B28" s="145" t="s">
        <v>18</v>
      </c>
      <c r="C28" s="145"/>
      <c r="D28" s="40">
        <f>'ERF Main Summary'!G29</f>
        <v>82514379.038333014</v>
      </c>
      <c r="E28" s="40"/>
      <c r="F28" s="40"/>
      <c r="G28" s="40"/>
      <c r="H28" s="40"/>
      <c r="I28" s="40"/>
      <c r="J28" s="40"/>
      <c r="K28" s="40"/>
      <c r="L28" s="40">
        <v>0</v>
      </c>
      <c r="M28" s="40"/>
      <c r="N28" s="40">
        <v>0</v>
      </c>
      <c r="O28" s="40">
        <v>0</v>
      </c>
      <c r="P28" s="40">
        <v>0</v>
      </c>
      <c r="Q28" s="40">
        <v>0</v>
      </c>
      <c r="R28" s="40">
        <f t="shared" si="9"/>
        <v>0</v>
      </c>
      <c r="S28" s="40">
        <f t="shared" si="10"/>
        <v>82514379.038333014</v>
      </c>
      <c r="T28" s="40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</row>
    <row r="29" spans="1:33" ht="15" customHeight="1" x14ac:dyDescent="0.2">
      <c r="A29" s="29">
        <f t="shared" si="0"/>
        <v>20</v>
      </c>
      <c r="B29" s="145" t="s">
        <v>19</v>
      </c>
      <c r="C29" s="145"/>
      <c r="D29" s="40">
        <f>'ERF Main Summary'!G30</f>
        <v>51521852.324004024</v>
      </c>
      <c r="E29" s="122">
        <f>+'ERF Adj Pages'!D30</f>
        <v>-378402.77586317557</v>
      </c>
      <c r="F29" s="40"/>
      <c r="G29" s="40"/>
      <c r="H29" s="40"/>
      <c r="I29" s="40"/>
      <c r="J29" s="40"/>
      <c r="K29" s="40">
        <f>+'ERF Adj Pages'!AF17</f>
        <v>1528985.9264284065</v>
      </c>
      <c r="L29" s="40"/>
      <c r="M29" s="40"/>
      <c r="N29" s="40"/>
      <c r="O29" s="40"/>
      <c r="P29" s="40"/>
      <c r="Q29" s="40"/>
      <c r="R29" s="40">
        <f t="shared" si="9"/>
        <v>1150583.150565231</v>
      </c>
      <c r="S29" s="40">
        <f t="shared" si="10"/>
        <v>52672435.474569254</v>
      </c>
      <c r="T29" s="40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</row>
    <row r="30" spans="1:33" ht="15" customHeight="1" x14ac:dyDescent="0.2">
      <c r="A30" s="29">
        <f t="shared" si="0"/>
        <v>21</v>
      </c>
      <c r="B30" s="145" t="s">
        <v>20</v>
      </c>
      <c r="C30" s="145"/>
      <c r="D30" s="40">
        <f>'ERF Main Summary'!G31</f>
        <v>3349960.6599999927</v>
      </c>
      <c r="E30" s="122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>
        <f t="shared" si="9"/>
        <v>0</v>
      </c>
      <c r="S30" s="40">
        <f t="shared" si="10"/>
        <v>3349960.6599999927</v>
      </c>
      <c r="T30" s="40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</row>
    <row r="31" spans="1:33" ht="15" customHeight="1" x14ac:dyDescent="0.2">
      <c r="A31" s="29">
        <f t="shared" si="0"/>
        <v>22</v>
      </c>
      <c r="B31" s="145" t="s">
        <v>21</v>
      </c>
      <c r="C31" s="145"/>
      <c r="D31" s="40">
        <f>'ERF Main Summary'!G32</f>
        <v>0</v>
      </c>
      <c r="E31" s="122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>
        <f t="shared" si="9"/>
        <v>0</v>
      </c>
      <c r="S31" s="40">
        <f t="shared" si="10"/>
        <v>0</v>
      </c>
      <c r="T31" s="40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</row>
    <row r="32" spans="1:33" ht="15" customHeight="1" x14ac:dyDescent="0.2">
      <c r="A32" s="29">
        <f t="shared" si="0"/>
        <v>23</v>
      </c>
      <c r="B32" s="145" t="s">
        <v>22</v>
      </c>
      <c r="C32" s="145"/>
      <c r="D32" s="40">
        <f>'ERF Main Summary'!G33</f>
        <v>123740986.26887748</v>
      </c>
      <c r="E32" s="122">
        <f>+'ERF Adj Pages'!D31</f>
        <v>-94364.782010766983</v>
      </c>
      <c r="F32" s="40" t="s">
        <v>30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>
        <f t="shared" si="9"/>
        <v>-94364.782010766983</v>
      </c>
      <c r="S32" s="40">
        <f t="shared" si="10"/>
        <v>123646621.48686671</v>
      </c>
      <c r="T32" s="40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</row>
    <row r="33" spans="1:33" ht="15" customHeight="1" x14ac:dyDescent="0.2">
      <c r="A33" s="29">
        <f t="shared" si="0"/>
        <v>24</v>
      </c>
      <c r="B33" s="145" t="s">
        <v>59</v>
      </c>
      <c r="C33" s="145"/>
      <c r="D33" s="40">
        <f>'ERF Main Summary'!G34</f>
        <v>336411155.76265442</v>
      </c>
      <c r="E33" s="122"/>
      <c r="F33" s="40">
        <f>'ERF Adj Pages'!J18</f>
        <v>25808343.623523332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>
        <f t="shared" si="9"/>
        <v>25808343.623523332</v>
      </c>
      <c r="S33" s="40">
        <f t="shared" si="10"/>
        <v>362219499.38617778</v>
      </c>
      <c r="T33" s="40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</row>
    <row r="34" spans="1:33" ht="15" customHeight="1" x14ac:dyDescent="0.2">
      <c r="A34" s="29">
        <f t="shared" si="0"/>
        <v>25</v>
      </c>
      <c r="B34" s="145" t="s">
        <v>41</v>
      </c>
      <c r="C34" s="145"/>
      <c r="D34" s="40">
        <f>'ERF Main Summary'!G35</f>
        <v>63634800.319999993</v>
      </c>
      <c r="E34" s="122"/>
      <c r="F34" s="40"/>
      <c r="G34" s="40"/>
      <c r="H34" s="40"/>
      <c r="I34" s="40"/>
      <c r="J34" s="40"/>
      <c r="K34" s="40"/>
      <c r="R34" s="40">
        <f t="shared" si="9"/>
        <v>0</v>
      </c>
      <c r="S34" s="40">
        <f t="shared" si="10"/>
        <v>63634800.319999993</v>
      </c>
      <c r="T34" s="40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</row>
    <row r="35" spans="1:33" ht="15" customHeight="1" x14ac:dyDescent="0.2">
      <c r="A35" s="29">
        <f t="shared" si="0"/>
        <v>26</v>
      </c>
      <c r="B35" s="38" t="s">
        <v>58</v>
      </c>
      <c r="C35" s="38"/>
      <c r="D35" s="40">
        <f>'ERF Main Summary'!G36</f>
        <v>28310947.7099999</v>
      </c>
      <c r="E35" s="122"/>
      <c r="F35" s="40"/>
      <c r="G35" s="40"/>
      <c r="H35" s="40"/>
      <c r="I35" s="40" t="s">
        <v>30</v>
      </c>
      <c r="J35" s="40"/>
      <c r="K35" s="40"/>
      <c r="L35" s="40">
        <f>'ERF Adj Pages'!AK33</f>
        <v>4578700.9199999981</v>
      </c>
      <c r="M35" s="40"/>
      <c r="N35" s="40"/>
      <c r="O35" s="40">
        <f>+'ERF Adj Pages'!AZ52</f>
        <v>25299.018181818072</v>
      </c>
      <c r="P35" s="40">
        <f>'ERF Adj Pages'!BE19</f>
        <v>2378411.9797812956</v>
      </c>
      <c r="Q35" s="40"/>
      <c r="R35" s="40">
        <f t="shared" si="9"/>
        <v>6982411.9179631118</v>
      </c>
      <c r="S35" s="40">
        <f t="shared" si="10"/>
        <v>35293359.627963014</v>
      </c>
      <c r="T35" s="40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</row>
    <row r="36" spans="1:33" ht="15" customHeight="1" x14ac:dyDescent="0.2">
      <c r="A36" s="29">
        <f t="shared" si="0"/>
        <v>27</v>
      </c>
      <c r="B36" s="145" t="s">
        <v>23</v>
      </c>
      <c r="C36" s="145"/>
      <c r="D36" s="40">
        <f>'ERF Main Summary'!G37</f>
        <v>7957413.6899999827</v>
      </c>
      <c r="E36" s="122"/>
      <c r="F36" s="40"/>
      <c r="G36" s="40"/>
      <c r="H36" s="40"/>
      <c r="I36" s="40">
        <f>'ERF Adj Pages'!V23</f>
        <v>-122487.84666666761</v>
      </c>
      <c r="J36" s="40">
        <f>'ERF Adj Pages'!AA27</f>
        <v>662136.55811139452</v>
      </c>
      <c r="K36" s="40"/>
      <c r="L36" s="40"/>
      <c r="M36" s="40"/>
      <c r="N36" s="40"/>
      <c r="O36" s="40">
        <f>+'ERF Adj Pages'!AZ47+'ERF Adj Pages'!AZ48+'ERF Adj Pages'!AZ50+'ERF Adj Pages'!AZ51</f>
        <v>-196537.85110486799</v>
      </c>
      <c r="P36" s="40"/>
      <c r="Q36" s="40">
        <f>+'ERF Adj Pages'!BJ20</f>
        <v>1525274</v>
      </c>
      <c r="R36" s="40">
        <f t="shared" si="9"/>
        <v>1868384.860339859</v>
      </c>
      <c r="S36" s="40">
        <f t="shared" si="10"/>
        <v>9825798.5503398422</v>
      </c>
      <c r="T36" s="40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</row>
    <row r="37" spans="1:33" ht="15" customHeight="1" x14ac:dyDescent="0.2">
      <c r="A37" s="29">
        <f t="shared" si="0"/>
        <v>28</v>
      </c>
      <c r="B37" s="226" t="s">
        <v>82</v>
      </c>
      <c r="D37" s="40">
        <f>'ERF Main Summary'!G38</f>
        <v>0</v>
      </c>
      <c r="E37" s="205"/>
      <c r="R37" s="40">
        <f t="shared" si="9"/>
        <v>0</v>
      </c>
      <c r="S37" s="40">
        <f t="shared" si="10"/>
        <v>0</v>
      </c>
      <c r="T37" s="40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</row>
    <row r="38" spans="1:33" ht="15" customHeight="1" x14ac:dyDescent="0.2">
      <c r="A38" s="29">
        <f t="shared" si="0"/>
        <v>29</v>
      </c>
      <c r="B38" s="145" t="s">
        <v>68</v>
      </c>
      <c r="C38" s="145"/>
      <c r="D38" s="40">
        <f>'ERF Main Summary'!G39</f>
        <v>92253971.262132972</v>
      </c>
      <c r="E38" s="122">
        <f>+'ERF Adj Pages'!D34</f>
        <v>-1812889.0095998498</v>
      </c>
      <c r="F38" s="40"/>
      <c r="G38" s="40"/>
      <c r="H38" s="40"/>
      <c r="I38" s="40"/>
      <c r="J38" s="40"/>
      <c r="K38" s="40"/>
      <c r="L38" s="40"/>
      <c r="M38" s="40"/>
      <c r="N38" s="40">
        <f>-'ERF Adj Pages'!AU24</f>
        <v>-166966.81311968761</v>
      </c>
      <c r="O38" s="40"/>
      <c r="P38" s="40"/>
      <c r="Q38" s="40"/>
      <c r="R38" s="40">
        <f t="shared" si="9"/>
        <v>-1979855.8227195374</v>
      </c>
      <c r="S38" s="40">
        <f t="shared" si="10"/>
        <v>90274115.439413428</v>
      </c>
      <c r="T38" s="40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</row>
    <row r="39" spans="1:33" ht="15" customHeight="1" x14ac:dyDescent="0.2">
      <c r="A39" s="29">
        <f t="shared" si="0"/>
        <v>30</v>
      </c>
      <c r="B39" s="145" t="s">
        <v>67</v>
      </c>
      <c r="C39" s="145"/>
      <c r="D39" s="40">
        <f>'ERF Main Summary'!G40</f>
        <v>74987434.19286257</v>
      </c>
      <c r="E39" s="122">
        <f>(E15-SUM(E29:E38))*'E ERF Conv Factr'!D20</f>
        <v>-3056273.9650610383</v>
      </c>
      <c r="F39" s="40">
        <f>'ERF Adj Pages'!J23</f>
        <v>-5419752.1609398993</v>
      </c>
      <c r="G39" s="40">
        <f>SUM('ERF Adj Pages'!N29:N30)</f>
        <v>-2602969.5395739973</v>
      </c>
      <c r="H39" s="40">
        <f>'ERF Adj Pages'!R21</f>
        <v>-30855821.606602818</v>
      </c>
      <c r="I39" s="40">
        <f>'ERF Adj Pages'!V25</f>
        <v>25722.447800000198</v>
      </c>
      <c r="J39" s="40">
        <f>'ERF Adj Pages'!AA29</f>
        <v>-139049</v>
      </c>
      <c r="K39" s="40">
        <f>'ERF Adj Pages'!AF22</f>
        <v>-321087.04454996536</v>
      </c>
      <c r="L39" s="40">
        <f>'ERF Adj Pages'!AK35</f>
        <v>-961527.19319999951</v>
      </c>
      <c r="M39" s="40">
        <f>-'ERF Adj Pages'!AP27</f>
        <v>-1879459.3325621733</v>
      </c>
      <c r="N39" s="40">
        <f>+'ERF Adj Pages'!AU26</f>
        <v>31577.485055134377</v>
      </c>
      <c r="O39" s="40">
        <f>'ERF Adj Pages'!AZ59</f>
        <v>35960.154913840481</v>
      </c>
      <c r="P39" s="40">
        <f>'ERF Adj Pages'!BE25</f>
        <v>-499466.51575407205</v>
      </c>
      <c r="Q39" s="40">
        <f>+'ERF Adj Pages'!BJ24</f>
        <v>-320307.53999999998</v>
      </c>
      <c r="R39" s="40">
        <f t="shared" si="9"/>
        <v>-45962453.810474984</v>
      </c>
      <c r="S39" s="40">
        <f t="shared" si="10"/>
        <v>29024980.382387586</v>
      </c>
      <c r="T39" s="40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</row>
    <row r="40" spans="1:33" ht="15" customHeight="1" x14ac:dyDescent="0.2">
      <c r="A40" s="29">
        <f t="shared" si="0"/>
        <v>31</v>
      </c>
      <c r="B40" s="226" t="s">
        <v>25</v>
      </c>
      <c r="D40" s="89">
        <f>'ERF Main Summary'!G41</f>
        <v>8124947.3520550281</v>
      </c>
      <c r="E40" s="89"/>
      <c r="F40" s="89"/>
      <c r="G40" s="89">
        <f>'ERF Adj Pages'!N49</f>
        <v>0</v>
      </c>
      <c r="H40" s="89"/>
      <c r="I40" s="89"/>
      <c r="J40" s="89"/>
      <c r="K40" s="89"/>
      <c r="L40" s="89"/>
      <c r="M40" s="330"/>
      <c r="N40" s="89"/>
      <c r="O40" s="89"/>
      <c r="P40" s="89"/>
      <c r="Q40" s="89"/>
      <c r="R40" s="89">
        <f t="shared" si="9"/>
        <v>0</v>
      </c>
      <c r="S40" s="89">
        <f t="shared" si="10"/>
        <v>8124947.3520550281</v>
      </c>
      <c r="T40" s="40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</row>
    <row r="41" spans="1:33" ht="15" customHeight="1" x14ac:dyDescent="0.2">
      <c r="A41" s="29">
        <f t="shared" si="0"/>
        <v>32</v>
      </c>
      <c r="B41" s="145" t="s">
        <v>26</v>
      </c>
      <c r="C41" s="145"/>
      <c r="D41" s="126">
        <f t="shared" ref="D41:S41" si="11">SUM(D24:D40)</f>
        <v>1828467036.5382826</v>
      </c>
      <c r="E41" s="126">
        <f t="shared" si="11"/>
        <v>-5341930.5325348303</v>
      </c>
      <c r="F41" s="126">
        <f t="shared" si="11"/>
        <v>20388591.462583434</v>
      </c>
      <c r="G41" s="126">
        <f t="shared" si="11"/>
        <v>-2602969.5395739973</v>
      </c>
      <c r="H41" s="126">
        <f t="shared" ref="H41" si="12">SUM(H24:H40)</f>
        <v>-30855821.606602818</v>
      </c>
      <c r="I41" s="126">
        <f t="shared" si="11"/>
        <v>-96765.398866667412</v>
      </c>
      <c r="J41" s="126">
        <f t="shared" si="11"/>
        <v>523087.55811139452</v>
      </c>
      <c r="K41" s="126">
        <f t="shared" si="11"/>
        <v>1207898.8818784412</v>
      </c>
      <c r="L41" s="126">
        <f t="shared" si="11"/>
        <v>3617173.7267999984</v>
      </c>
      <c r="M41" s="126">
        <f>SUM(M24:M40)</f>
        <v>-43381924.861250117</v>
      </c>
      <c r="N41" s="126">
        <f t="shared" ref="N41" si="13">SUM(N24:N40)</f>
        <v>-135389.32806455324</v>
      </c>
      <c r="O41" s="126">
        <f t="shared" ref="O41" si="14">SUM(O24:O40)</f>
        <v>-135278.67800920946</v>
      </c>
      <c r="P41" s="126">
        <f t="shared" ref="P41:Q41" si="15">SUM(P24:P40)</f>
        <v>1878945.4640272236</v>
      </c>
      <c r="Q41" s="126">
        <f t="shared" si="15"/>
        <v>1204966.46</v>
      </c>
      <c r="R41" s="126">
        <f t="shared" si="11"/>
        <v>-53729416.391501702</v>
      </c>
      <c r="S41" s="126">
        <f t="shared" si="11"/>
        <v>1774737620.146781</v>
      </c>
      <c r="T41" s="85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</row>
    <row r="42" spans="1:33" ht="15" customHeight="1" x14ac:dyDescent="0.2">
      <c r="A42" s="29">
        <f t="shared" si="0"/>
        <v>33</v>
      </c>
      <c r="D42" s="116"/>
      <c r="E42" s="116" t="s">
        <v>30</v>
      </c>
      <c r="F42" s="116"/>
      <c r="G42" s="116" t="s">
        <v>30</v>
      </c>
      <c r="H42" s="116" t="s">
        <v>30</v>
      </c>
      <c r="I42" s="116" t="s">
        <v>30</v>
      </c>
      <c r="J42" s="116" t="s">
        <v>30</v>
      </c>
      <c r="K42" s="116"/>
      <c r="L42" s="116" t="s">
        <v>30</v>
      </c>
      <c r="M42" s="116"/>
      <c r="N42" s="116" t="s">
        <v>30</v>
      </c>
      <c r="O42" s="116" t="s">
        <v>30</v>
      </c>
      <c r="P42" s="116" t="s">
        <v>30</v>
      </c>
      <c r="Q42" s="116" t="s">
        <v>30</v>
      </c>
      <c r="R42" s="116"/>
      <c r="S42" s="116"/>
      <c r="T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</row>
    <row r="43" spans="1:33" ht="15" customHeight="1" x14ac:dyDescent="0.2">
      <c r="A43" s="29">
        <f t="shared" ref="A43:A56" si="16">A42+1</f>
        <v>34</v>
      </c>
      <c r="B43" s="145" t="s">
        <v>27</v>
      </c>
      <c r="C43" s="145"/>
      <c r="D43" s="123">
        <f t="shared" ref="D43:S43" si="17">D15-D41</f>
        <v>388922677.95729709</v>
      </c>
      <c r="E43" s="123">
        <f t="shared" si="17"/>
        <v>-11497411.582848668</v>
      </c>
      <c r="F43" s="123">
        <f t="shared" si="17"/>
        <v>-20388591.462583434</v>
      </c>
      <c r="G43" s="123">
        <f t="shared" si="17"/>
        <v>2602969.5395739973</v>
      </c>
      <c r="H43" s="123">
        <f t="shared" ref="H43" si="18">H15-H41</f>
        <v>30855821.606602818</v>
      </c>
      <c r="I43" s="123">
        <f t="shared" si="17"/>
        <v>96765.398866667412</v>
      </c>
      <c r="J43" s="123">
        <f t="shared" si="17"/>
        <v>-523087.55811139452</v>
      </c>
      <c r="K43" s="123">
        <f t="shared" si="17"/>
        <v>-1207898.8818784412</v>
      </c>
      <c r="L43" s="123">
        <f t="shared" si="17"/>
        <v>-3617173.7267999984</v>
      </c>
      <c r="M43" s="123">
        <f t="shared" si="17"/>
        <v>-7070347.0129719898</v>
      </c>
      <c r="N43" s="123">
        <f t="shared" ref="N43" si="19">N15-N41</f>
        <v>135389.32806455324</v>
      </c>
      <c r="O43" s="123">
        <f t="shared" ref="O43" si="20">O15-O41</f>
        <v>135278.67800920946</v>
      </c>
      <c r="P43" s="123">
        <f t="shared" ref="P43:Q43" si="21">P15-P41</f>
        <v>-1878945.4640272236</v>
      </c>
      <c r="Q43" s="123">
        <f t="shared" si="21"/>
        <v>-1204966.46</v>
      </c>
      <c r="R43" s="123">
        <f t="shared" si="17"/>
        <v>-13562197.598103903</v>
      </c>
      <c r="S43" s="123">
        <f t="shared" si="17"/>
        <v>375360480.35919333</v>
      </c>
      <c r="T43" s="41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</row>
    <row r="44" spans="1:33" ht="15" customHeight="1" x14ac:dyDescent="0.2">
      <c r="A44" s="29">
        <f t="shared" si="16"/>
        <v>35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</row>
    <row r="45" spans="1:33" ht="15" customHeight="1" x14ac:dyDescent="0.2">
      <c r="A45" s="29">
        <f t="shared" si="16"/>
        <v>36</v>
      </c>
      <c r="B45" s="145" t="s">
        <v>28</v>
      </c>
      <c r="C45" s="145"/>
      <c r="D45" s="123">
        <f>'ERF Main Summary'!G46</f>
        <v>5123946886.7303095</v>
      </c>
      <c r="E45" s="123">
        <v>0</v>
      </c>
      <c r="F45" s="123">
        <f>F56</f>
        <v>-20388591.46258343</v>
      </c>
      <c r="G45" s="40">
        <f>G56</f>
        <v>0</v>
      </c>
      <c r="H45" s="40">
        <f>H56</f>
        <v>0</v>
      </c>
      <c r="I45" s="123">
        <f>I56</f>
        <v>0</v>
      </c>
      <c r="J45" s="123">
        <f>J56</f>
        <v>0</v>
      </c>
      <c r="K45" s="123">
        <v>0</v>
      </c>
      <c r="L45" s="123">
        <f>L56</f>
        <v>0</v>
      </c>
      <c r="M45" s="123">
        <f>M56</f>
        <v>0</v>
      </c>
      <c r="N45" s="123">
        <f t="shared" ref="N45" si="22">N56</f>
        <v>0</v>
      </c>
      <c r="O45" s="123">
        <f t="shared" ref="O45" si="23">O56</f>
        <v>143005.78539153805</v>
      </c>
      <c r="P45" s="123">
        <f t="shared" ref="P45:Q45" si="24">P56</f>
        <v>-1878945.4640272241</v>
      </c>
      <c r="Q45" s="123">
        <f t="shared" si="24"/>
        <v>0</v>
      </c>
      <c r="R45" s="123">
        <f>R56</f>
        <v>-22124531.14121912</v>
      </c>
      <c r="S45" s="123">
        <f>+R45+D45</f>
        <v>5101822355.5890903</v>
      </c>
      <c r="T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</row>
    <row r="46" spans="1:33" ht="15" customHeight="1" x14ac:dyDescent="0.2">
      <c r="A46" s="29">
        <f t="shared" si="16"/>
        <v>37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</row>
    <row r="47" spans="1:33" ht="15" customHeight="1" x14ac:dyDescent="0.2">
      <c r="A47" s="29">
        <f t="shared" si="16"/>
        <v>38</v>
      </c>
      <c r="B47" s="145" t="s">
        <v>29</v>
      </c>
      <c r="C47" s="145"/>
      <c r="D47" s="70">
        <f>D43/D45</f>
        <v>7.5902948753139049E-2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70">
        <f>S43/S45</f>
        <v>7.3573804455967132E-2</v>
      </c>
      <c r="T47" s="59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</row>
    <row r="48" spans="1:33" ht="15" customHeight="1" x14ac:dyDescent="0.2">
      <c r="A48" s="29">
        <f t="shared" si="16"/>
        <v>39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</row>
    <row r="49" spans="1:33" ht="15" customHeight="1" x14ac:dyDescent="0.2">
      <c r="A49" s="29">
        <f t="shared" si="16"/>
        <v>40</v>
      </c>
      <c r="B49" s="226" t="s">
        <v>2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</row>
    <row r="50" spans="1:33" ht="15" customHeight="1" x14ac:dyDescent="0.2">
      <c r="A50" s="29">
        <f t="shared" si="16"/>
        <v>41</v>
      </c>
      <c r="B50" s="121" t="s">
        <v>69</v>
      </c>
      <c r="C50" s="121"/>
      <c r="D50" s="123">
        <f>'ERF Main Summary'!G51</f>
        <v>10536572995.599039</v>
      </c>
      <c r="E50" s="123">
        <v>0</v>
      </c>
      <c r="F50" s="123">
        <v>0</v>
      </c>
      <c r="G50" s="40">
        <v>0</v>
      </c>
      <c r="H50" s="40">
        <v>0</v>
      </c>
      <c r="I50" s="123"/>
      <c r="J50" s="123">
        <v>0</v>
      </c>
      <c r="K50" s="123">
        <v>0</v>
      </c>
      <c r="L50" s="123">
        <v>0</v>
      </c>
      <c r="M50" s="123"/>
      <c r="N50" s="123">
        <v>0</v>
      </c>
      <c r="O50" s="123">
        <v>0</v>
      </c>
      <c r="P50" s="123">
        <v>0</v>
      </c>
      <c r="Q50" s="123">
        <v>0</v>
      </c>
      <c r="R50" s="123">
        <f t="shared" ref="R50:R55" si="25">SUM(E50:Q50)</f>
        <v>0</v>
      </c>
      <c r="S50" s="123">
        <f t="shared" ref="S50:S55" si="26">+R50+D50</f>
        <v>10536572995.599039</v>
      </c>
      <c r="T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</row>
    <row r="51" spans="1:33" ht="15" customHeight="1" x14ac:dyDescent="0.2">
      <c r="A51" s="29">
        <f t="shared" si="16"/>
        <v>42</v>
      </c>
      <c r="B51" s="121" t="s">
        <v>63</v>
      </c>
      <c r="C51" s="121"/>
      <c r="D51" s="47">
        <f>'ERF Main Summary'!G52</f>
        <v>-4262991950.4975643</v>
      </c>
      <c r="E51" s="40"/>
      <c r="F51" s="40">
        <f>+'ERF Adj Pages'!J27</f>
        <v>-25808343.623523332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125">
        <f t="shared" si="25"/>
        <v>-25808343.623523332</v>
      </c>
      <c r="S51" s="125">
        <f t="shared" si="26"/>
        <v>-4288800294.1210876</v>
      </c>
      <c r="T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</row>
    <row r="52" spans="1:33" ht="15" customHeight="1" x14ac:dyDescent="0.2">
      <c r="A52" s="29">
        <f t="shared" si="16"/>
        <v>43</v>
      </c>
      <c r="B52" s="226" t="s">
        <v>81</v>
      </c>
      <c r="D52" s="47">
        <f>'ERF Main Summary'!G53</f>
        <v>285772854.99000001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>
        <f>'[5]Lead E'!$C$64</f>
        <v>-346065.93985135731</v>
      </c>
      <c r="P52" s="40">
        <f>'ERF Adj Pages'!BE14</f>
        <v>-2378411.9797812961</v>
      </c>
      <c r="Q52" s="40"/>
      <c r="R52" s="125">
        <f t="shared" si="25"/>
        <v>-2724477.9196326532</v>
      </c>
      <c r="S52" s="125">
        <f t="shared" si="26"/>
        <v>283048377.07036734</v>
      </c>
      <c r="T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</row>
    <row r="53" spans="1:33" ht="15" customHeight="1" x14ac:dyDescent="0.2">
      <c r="A53" s="29">
        <f t="shared" si="16"/>
        <v>44</v>
      </c>
      <c r="B53" s="226" t="s">
        <v>166</v>
      </c>
      <c r="D53" s="47">
        <f>'ERF Main Summary'!G54</f>
        <v>-1434490136.6148818</v>
      </c>
      <c r="E53" s="40"/>
      <c r="F53" s="40">
        <f>+'ERF Adj Pages'!J28</f>
        <v>5419752.1609399002</v>
      </c>
      <c r="G53" s="40"/>
      <c r="H53" s="40"/>
      <c r="I53" s="40"/>
      <c r="J53" s="40"/>
      <c r="K53" s="40"/>
      <c r="L53" s="40"/>
      <c r="M53" s="40"/>
      <c r="N53" s="40"/>
      <c r="O53" s="40">
        <f>'[5]Lead E'!$C$65</f>
        <v>489071.72524289537</v>
      </c>
      <c r="P53" s="40">
        <f>'ERF Adj Pages'!BE15</f>
        <v>499466.515754072</v>
      </c>
      <c r="Q53" s="40"/>
      <c r="R53" s="125">
        <f t="shared" si="25"/>
        <v>6408290.4019368673</v>
      </c>
      <c r="S53" s="125">
        <f t="shared" si="26"/>
        <v>-1428081846.212945</v>
      </c>
      <c r="T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</row>
    <row r="54" spans="1:33" ht="15" customHeight="1" x14ac:dyDescent="0.2">
      <c r="A54" s="29">
        <f t="shared" si="16"/>
        <v>45</v>
      </c>
      <c r="B54" s="226" t="s">
        <v>55</v>
      </c>
      <c r="D54" s="47">
        <f>'ERF Main Summary'!G55</f>
        <v>101620137.7580017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125">
        <f t="shared" si="25"/>
        <v>0</v>
      </c>
      <c r="S54" s="125">
        <f t="shared" si="26"/>
        <v>101620137.7580017</v>
      </c>
      <c r="T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</row>
    <row r="55" spans="1:33" ht="15" customHeight="1" x14ac:dyDescent="0.2">
      <c r="A55" s="29">
        <f t="shared" si="16"/>
        <v>46</v>
      </c>
      <c r="B55" s="226" t="s">
        <v>54</v>
      </c>
      <c r="D55" s="47">
        <f>'ERF Main Summary'!G56</f>
        <v>-102537014.50428501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125">
        <f t="shared" si="25"/>
        <v>0</v>
      </c>
      <c r="S55" s="125">
        <f t="shared" si="26"/>
        <v>-102537014.50428501</v>
      </c>
      <c r="T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</row>
    <row r="56" spans="1:33" ht="20.25" customHeight="1" thickBot="1" x14ac:dyDescent="0.25">
      <c r="A56" s="29">
        <f t="shared" si="16"/>
        <v>47</v>
      </c>
      <c r="B56" s="226" t="s">
        <v>56</v>
      </c>
      <c r="D56" s="100">
        <f t="shared" ref="D56:R56" si="27">SUM(D50:D55)</f>
        <v>5123946886.7303095</v>
      </c>
      <c r="E56" s="100">
        <f t="shared" si="27"/>
        <v>0</v>
      </c>
      <c r="F56" s="100">
        <f>SUM(F50:F55)</f>
        <v>-20388591.46258343</v>
      </c>
      <c r="G56" s="100">
        <f t="shared" si="27"/>
        <v>0</v>
      </c>
      <c r="H56" s="100">
        <f t="shared" ref="H56" si="28">SUM(H50:H55)</f>
        <v>0</v>
      </c>
      <c r="I56" s="100">
        <f t="shared" si="27"/>
        <v>0</v>
      </c>
      <c r="J56" s="100">
        <f t="shared" si="27"/>
        <v>0</v>
      </c>
      <c r="K56" s="100">
        <f t="shared" si="27"/>
        <v>0</v>
      </c>
      <c r="L56" s="100">
        <f t="shared" si="27"/>
        <v>0</v>
      </c>
      <c r="M56" s="100">
        <f>SUM(M50:M55)</f>
        <v>0</v>
      </c>
      <c r="N56" s="100">
        <f t="shared" ref="N56" si="29">SUM(N50:N55)</f>
        <v>0</v>
      </c>
      <c r="O56" s="100">
        <f t="shared" ref="O56" si="30">SUM(O50:O55)</f>
        <v>143005.78539153805</v>
      </c>
      <c r="P56" s="100">
        <f t="shared" ref="P56:Q56" si="31">SUM(P50:P55)</f>
        <v>-1878945.4640272241</v>
      </c>
      <c r="Q56" s="100">
        <f t="shared" si="31"/>
        <v>0</v>
      </c>
      <c r="R56" s="100">
        <f t="shared" si="27"/>
        <v>-22124531.14121912</v>
      </c>
      <c r="S56" s="100">
        <f>SUM(S50:S55)</f>
        <v>5101822355.5890903</v>
      </c>
      <c r="T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</row>
    <row r="57" spans="1:33" s="103" customFormat="1" ht="20.25" customHeight="1" thickTop="1" x14ac:dyDescent="0.2">
      <c r="P57" s="226"/>
    </row>
    <row r="58" spans="1:33" s="103" customFormat="1" x14ac:dyDescent="0.2">
      <c r="P58" s="226"/>
    </row>
    <row r="59" spans="1:33" customFormat="1" x14ac:dyDescent="0.2"/>
    <row r="60" spans="1:33" customFormat="1" x14ac:dyDescent="0.2"/>
    <row r="61" spans="1:33" customFormat="1" x14ac:dyDescent="0.2"/>
    <row r="62" spans="1:33" customFormat="1" x14ac:dyDescent="0.2"/>
    <row r="63" spans="1:33" customFormat="1" x14ac:dyDescent="0.2"/>
    <row r="64" spans="1:33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</sheetData>
  <pageMargins left="0.45" right="0.46" top="0.5" bottom="0.83" header="0.24" footer="0.31"/>
  <pageSetup scale="70" fitToWidth="0" orientation="landscape" r:id="rId1"/>
  <headerFooter alignWithMargins="0">
    <oddFooter>&amp;R&amp;"Times New Roman,Bold"&amp;12Exh. ___(SEF-9)
Page  &amp;P of 12</oddFooter>
  </headerFooter>
  <colBreaks count="1" manualBreakCount="1">
    <brk id="11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J132"/>
  <sheetViews>
    <sheetView zoomScale="85" zoomScaleNormal="85" workbookViewId="0">
      <pane xSplit="1" ySplit="1" topLeftCell="BB4" activePane="bottomRight" state="frozen"/>
      <selection activeCell="E44" sqref="E44"/>
      <selection pane="topRight" activeCell="E44" sqref="E44"/>
      <selection pane="bottomLeft" activeCell="E44" sqref="E44"/>
      <selection pane="bottomRight" activeCell="BB22" sqref="BB22"/>
    </sheetView>
  </sheetViews>
  <sheetFormatPr defaultRowHeight="12.75" x14ac:dyDescent="0.2"/>
  <cols>
    <col min="1" max="1" width="5.42578125" style="94" bestFit="1" customWidth="1"/>
    <col min="2" max="2" width="90.28515625" style="94" customWidth="1"/>
    <col min="3" max="3" width="20.28515625" style="94" customWidth="1"/>
    <col min="4" max="4" width="22.140625" style="94" customWidth="1"/>
    <col min="5" max="5" width="17.28515625" style="94" customWidth="1"/>
    <col min="6" max="6" width="6" style="28" bestFit="1" customWidth="1"/>
    <col min="7" max="7" width="64.28515625" style="28" customWidth="1"/>
    <col min="8" max="8" width="18.7109375" style="28" customWidth="1"/>
    <col min="9" max="9" width="21" style="28" customWidth="1"/>
    <col min="10" max="10" width="18.7109375" style="28" customWidth="1"/>
    <col min="11" max="11" width="5.85546875" style="94" customWidth="1"/>
    <col min="12" max="12" width="57.140625" style="94" customWidth="1"/>
    <col min="13" max="13" width="9.140625" style="94" customWidth="1"/>
    <col min="14" max="14" width="18.42578125" style="94" customWidth="1"/>
    <col min="15" max="15" width="5.42578125" style="52" bestFit="1" customWidth="1"/>
    <col min="16" max="16" width="75.28515625" style="52" bestFit="1" customWidth="1"/>
    <col min="17" max="17" width="19.140625" style="52" bestFit="1" customWidth="1"/>
    <col min="18" max="18" width="17.7109375" style="52" customWidth="1"/>
    <col min="19" max="19" width="5.42578125" style="28" bestFit="1" customWidth="1"/>
    <col min="20" max="20" width="63.42578125" style="28" customWidth="1"/>
    <col min="21" max="21" width="20" style="28" customWidth="1"/>
    <col min="22" max="22" width="15" style="28" customWidth="1"/>
    <col min="23" max="23" width="6.85546875" style="28" customWidth="1"/>
    <col min="24" max="24" width="80.85546875" style="28" customWidth="1"/>
    <col min="25" max="25" width="9.85546875" style="28" customWidth="1"/>
    <col min="26" max="26" width="15.5703125" style="28" bestFit="1" customWidth="1"/>
    <col min="27" max="27" width="18.5703125" style="28" bestFit="1" customWidth="1"/>
    <col min="28" max="28" width="6.5703125" style="94" bestFit="1" customWidth="1"/>
    <col min="29" max="29" width="65.42578125" style="94" customWidth="1"/>
    <col min="30" max="30" width="17.85546875" style="94" customWidth="1"/>
    <col min="31" max="31" width="20.5703125" style="94" customWidth="1"/>
    <col min="32" max="32" width="16.28515625" style="94" bestFit="1" customWidth="1"/>
    <col min="33" max="33" width="6.85546875" style="28" customWidth="1"/>
    <col min="34" max="34" width="62.85546875" style="28" customWidth="1"/>
    <col min="35" max="35" width="20" style="28" bestFit="1" customWidth="1"/>
    <col min="36" max="36" width="19.28515625" style="28" bestFit="1" customWidth="1"/>
    <col min="37" max="37" width="17.5703125" style="28" bestFit="1" customWidth="1"/>
    <col min="38" max="38" width="5.42578125" style="226" bestFit="1" customWidth="1"/>
    <col min="39" max="39" width="57.42578125" style="226" customWidth="1"/>
    <col min="40" max="40" width="18.5703125" style="226" customWidth="1"/>
    <col min="41" max="41" width="21.5703125" style="226" customWidth="1"/>
    <col min="42" max="42" width="21.28515625" style="226" customWidth="1"/>
    <col min="43" max="43" width="11.5703125" style="226" customWidth="1"/>
    <col min="44" max="44" width="41.7109375" style="226" bestFit="1" customWidth="1"/>
    <col min="45" max="45" width="5.28515625" style="226" customWidth="1"/>
    <col min="46" max="47" width="19.5703125" style="226" customWidth="1"/>
    <col min="48" max="48" width="5.42578125" style="226" bestFit="1" customWidth="1"/>
    <col min="49" max="49" width="79.28515625" style="226" customWidth="1"/>
    <col min="50" max="50" width="19.5703125" style="226" customWidth="1"/>
    <col min="51" max="51" width="21.42578125" style="226" customWidth="1"/>
    <col min="52" max="52" width="19.5703125" style="226" customWidth="1"/>
    <col min="53" max="53" width="6.28515625" style="94" bestFit="1" customWidth="1"/>
    <col min="54" max="54" width="45.42578125" style="94" customWidth="1"/>
    <col min="55" max="55" width="19" style="94" customWidth="1"/>
    <col min="56" max="56" width="20.5703125" style="94" customWidth="1"/>
    <col min="57" max="57" width="18" style="94" customWidth="1"/>
    <col min="58" max="58" width="5.28515625" style="94" bestFit="1" customWidth="1"/>
    <col min="59" max="59" width="61.5703125" style="94" customWidth="1"/>
    <col min="60" max="60" width="18.28515625" style="94" customWidth="1"/>
    <col min="61" max="61" width="22" style="94" customWidth="1"/>
    <col min="62" max="62" width="17" style="94" customWidth="1"/>
    <col min="63" max="16384" width="9.140625" style="94"/>
  </cols>
  <sheetData>
    <row r="1" spans="1:62" x14ac:dyDescent="0.2">
      <c r="A1" s="225">
        <f>ROUND(SUM(E1:AZ1),0)</f>
        <v>0</v>
      </c>
      <c r="B1" s="189"/>
      <c r="C1" s="189"/>
      <c r="D1" s="189"/>
      <c r="E1" s="224">
        <f>ROUND('ERF Adj Summary'!E43-E40,0)</f>
        <v>0</v>
      </c>
      <c r="F1" s="189"/>
      <c r="G1" s="189"/>
      <c r="H1" s="189"/>
      <c r="I1" s="189"/>
      <c r="J1" s="224">
        <f>ROUND('ERF Adj Summary'!F43-J24,0)</f>
        <v>0</v>
      </c>
      <c r="K1" s="189"/>
      <c r="L1" s="189"/>
      <c r="M1" s="189"/>
      <c r="N1" s="224">
        <f>ROUND('ERF Adj Summary'!G43-N31,0)</f>
        <v>0</v>
      </c>
      <c r="O1" s="189"/>
      <c r="P1" s="189"/>
      <c r="Q1" s="189"/>
      <c r="R1" s="224">
        <f>ROUND('ERF Adj Summary'!H43-R23,0)</f>
        <v>0</v>
      </c>
      <c r="S1" s="189"/>
      <c r="T1" s="189"/>
      <c r="U1" s="189"/>
      <c r="V1" s="224">
        <f>ROUND('ERF Adj Summary'!I43-V27,0)</f>
        <v>0</v>
      </c>
      <c r="W1" s="189"/>
      <c r="X1" s="189"/>
      <c r="Y1" s="189"/>
      <c r="Z1" s="189"/>
      <c r="AA1" s="224">
        <f>ROUND('ERF Adj Summary'!J43-AA31,0)</f>
        <v>0</v>
      </c>
      <c r="AB1" s="188"/>
      <c r="AC1" s="188"/>
      <c r="AD1" s="188"/>
      <c r="AE1" s="188"/>
      <c r="AF1" s="224">
        <f>ROUND('ERF Adj Summary'!K43-AF24,0)</f>
        <v>0</v>
      </c>
      <c r="AG1" s="189"/>
      <c r="AH1" s="189"/>
      <c r="AI1" s="189"/>
      <c r="AJ1" s="189"/>
      <c r="AK1" s="224">
        <f>ROUND('ERF Adj Summary'!L43-AK37,0)</f>
        <v>0</v>
      </c>
      <c r="AL1" s="189"/>
      <c r="AM1" s="189"/>
      <c r="AN1" s="189"/>
      <c r="AO1" s="189"/>
      <c r="AP1" s="224">
        <f>ROUND('ERF Adj Summary'!M43-AP28,0)</f>
        <v>0</v>
      </c>
      <c r="AQ1" s="189"/>
      <c r="AR1" s="189"/>
      <c r="AS1" s="189"/>
      <c r="AT1" s="189"/>
      <c r="AU1" s="224">
        <f>ROUND('ERF Adj Summary'!N43-AU27,0)</f>
        <v>0</v>
      </c>
      <c r="AV1" s="189"/>
      <c r="AW1" s="189"/>
      <c r="AX1" s="189"/>
      <c r="AY1" s="189"/>
      <c r="AZ1" s="224">
        <f>ROUND('ERF Adj Summary'!O43-AZ61,0)</f>
        <v>0</v>
      </c>
      <c r="BA1" s="189"/>
      <c r="BB1" s="189"/>
      <c r="BC1" s="189"/>
      <c r="BD1" s="189"/>
      <c r="BE1" s="224">
        <f>ROUND('ERF Adj Summary'!P43-BE26,0)</f>
        <v>0</v>
      </c>
      <c r="BF1" s="189"/>
      <c r="BG1" s="189"/>
      <c r="BH1" s="189"/>
      <c r="BI1" s="189"/>
      <c r="BJ1" s="224">
        <f>ROUND('ERF Adj Summary'!Q43-BJ25,0)</f>
        <v>0</v>
      </c>
    </row>
    <row r="2" spans="1:62" x14ac:dyDescent="0.2">
      <c r="A2" s="51"/>
      <c r="B2" s="28"/>
      <c r="C2" s="28"/>
      <c r="D2" s="28"/>
      <c r="E2" s="25"/>
      <c r="F2" s="51"/>
      <c r="J2" s="224">
        <f>'ERF Adj Summary'!F45-J30</f>
        <v>0</v>
      </c>
      <c r="K2" s="51"/>
      <c r="L2" s="28"/>
      <c r="M2" s="28"/>
      <c r="N2" s="25"/>
      <c r="O2" s="25"/>
      <c r="P2" s="25"/>
      <c r="Q2" s="25"/>
      <c r="R2" s="25"/>
      <c r="S2" s="51"/>
      <c r="T2" s="161"/>
      <c r="U2" s="161"/>
      <c r="V2" s="25"/>
      <c r="W2" s="51"/>
      <c r="AA2" s="25"/>
      <c r="AB2" s="103"/>
      <c r="AC2" s="103"/>
      <c r="AD2" s="103"/>
      <c r="AF2" s="25"/>
      <c r="AG2" s="51"/>
      <c r="AH2" s="198"/>
      <c r="AI2" s="198"/>
      <c r="AJ2" s="198"/>
      <c r="AK2" s="25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25"/>
      <c r="AW2" s="25"/>
      <c r="AX2" s="25"/>
      <c r="AY2" s="25"/>
      <c r="AZ2" s="25"/>
      <c r="BA2" s="25"/>
      <c r="BB2" s="25"/>
      <c r="BC2" s="25"/>
      <c r="BD2" s="25"/>
      <c r="BE2" s="25"/>
    </row>
    <row r="3" spans="1:62" ht="14.25" customHeight="1" thickBot="1" x14ac:dyDescent="0.25">
      <c r="A3"/>
      <c r="B3" s="28"/>
      <c r="C3" s="28"/>
      <c r="D3" s="28"/>
      <c r="E3" s="25"/>
      <c r="G3" s="157"/>
      <c r="H3" s="157"/>
      <c r="I3" s="157"/>
      <c r="J3" s="25"/>
      <c r="K3" s="28"/>
      <c r="L3" s="28"/>
      <c r="M3" s="28"/>
      <c r="N3" s="25"/>
      <c r="O3" s="25"/>
      <c r="P3" s="25"/>
      <c r="Q3" s="25"/>
      <c r="R3" s="25"/>
      <c r="V3" s="25"/>
      <c r="AA3" s="25"/>
      <c r="AB3" s="28"/>
      <c r="AC3" s="28"/>
      <c r="AD3" s="28"/>
      <c r="AE3" s="52"/>
      <c r="AF3" s="25"/>
      <c r="AG3" s="25"/>
      <c r="AH3" s="25"/>
      <c r="AI3" s="25"/>
      <c r="AJ3" s="25"/>
      <c r="AK3" s="25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25"/>
      <c r="AW3" s="25"/>
      <c r="AX3" s="25"/>
      <c r="AY3" s="25"/>
      <c r="AZ3" s="25"/>
      <c r="BA3" s="25"/>
      <c r="BB3" s="25"/>
      <c r="BC3" s="25"/>
      <c r="BD3" s="25"/>
      <c r="BE3" s="25"/>
    </row>
    <row r="4" spans="1:62" s="186" customFormat="1" ht="18" customHeight="1" thickBot="1" x14ac:dyDescent="0.25">
      <c r="A4"/>
      <c r="B4" s="119"/>
      <c r="C4" s="119"/>
      <c r="D4" s="119"/>
      <c r="E4" s="187" t="str">
        <f>+'ERF Adj Summary'!E8</f>
        <v>REF 9.02</v>
      </c>
      <c r="F4" s="101"/>
      <c r="G4" s="101"/>
      <c r="H4" s="101"/>
      <c r="I4" s="101"/>
      <c r="J4" s="187" t="str">
        <f>+'ERF Adj Summary'!F8</f>
        <v>REF 9.03</v>
      </c>
      <c r="K4" s="101"/>
      <c r="L4" s="101"/>
      <c r="M4" s="101"/>
      <c r="N4" s="187" t="str">
        <f>+'ERF Adj Summary'!G8</f>
        <v>REF 9.04</v>
      </c>
      <c r="O4" s="589"/>
      <c r="P4" s="589"/>
      <c r="Q4" s="589"/>
      <c r="R4" s="187" t="str">
        <f>+'ERF Adj Summary'!H8</f>
        <v>REF 9.05</v>
      </c>
      <c r="S4" s="101"/>
      <c r="T4" s="101"/>
      <c r="U4" s="101"/>
      <c r="V4" s="187" t="str">
        <f>+'ERF Adj Summary'!I8</f>
        <v>REF 9.06</v>
      </c>
      <c r="W4" s="101"/>
      <c r="X4" s="101"/>
      <c r="Y4" s="101"/>
      <c r="Z4" s="101"/>
      <c r="AA4" s="187" t="str">
        <f>+'ERF Adj Summary'!J8</f>
        <v>REF 9.07</v>
      </c>
      <c r="AB4" s="29"/>
      <c r="AC4" s="29"/>
      <c r="AD4" s="29"/>
      <c r="AF4" s="187" t="str">
        <f>+'ERF Adj Summary'!K8</f>
        <v>REF 9.08</v>
      </c>
      <c r="AG4" s="197"/>
      <c r="AH4" s="197"/>
      <c r="AI4" s="197"/>
      <c r="AJ4" s="197"/>
      <c r="AK4" s="187" t="str">
        <f>+'ERF Adj Summary'!L8</f>
        <v>REF 9.09</v>
      </c>
      <c r="AP4" s="187" t="str">
        <f>+'ERF Adj Summary'!M8</f>
        <v>REF 9.10</v>
      </c>
      <c r="AQ4" s="589"/>
      <c r="AR4" s="589"/>
      <c r="AS4" s="589"/>
      <c r="AT4" s="589"/>
      <c r="AU4" s="187" t="str">
        <f>+'ERF Adj Summary'!N8</f>
        <v>REF 9.11</v>
      </c>
      <c r="AV4" s="589"/>
      <c r="AW4" s="589"/>
      <c r="AX4" s="589"/>
      <c r="AY4" s="589"/>
      <c r="AZ4" s="187" t="str">
        <f>+'ERF Adj Summary'!O8</f>
        <v>REF 9.12</v>
      </c>
      <c r="BA4" s="589"/>
      <c r="BB4" s="589"/>
      <c r="BC4" s="589"/>
      <c r="BD4" s="589"/>
      <c r="BE4" s="187" t="str">
        <f>+'ERF Adj Summary'!P8</f>
        <v>REF 9.13</v>
      </c>
      <c r="BJ4" s="187" t="str">
        <f>+'ERF Adj Summary'!Q8</f>
        <v>REF 9.14</v>
      </c>
    </row>
    <row r="5" spans="1:62" s="52" customFormat="1" ht="17.25" customHeight="1" x14ac:dyDescent="0.2">
      <c r="A5"/>
      <c r="B5" s="108" t="s">
        <v>125</v>
      </c>
      <c r="C5" s="34"/>
      <c r="D5" s="34"/>
      <c r="E5" s="34"/>
      <c r="F5" s="108" t="s">
        <v>125</v>
      </c>
      <c r="G5" s="34"/>
      <c r="H5" s="34"/>
      <c r="I5" s="34"/>
      <c r="J5" s="43"/>
      <c r="K5" s="108" t="s">
        <v>125</v>
      </c>
      <c r="L5" s="34"/>
      <c r="M5" s="34"/>
      <c r="N5" s="183"/>
      <c r="O5" s="108" t="s">
        <v>125</v>
      </c>
      <c r="P5" s="34"/>
      <c r="Q5" s="34"/>
      <c r="R5" s="34"/>
      <c r="S5" s="108" t="s">
        <v>125</v>
      </c>
      <c r="T5" s="34"/>
      <c r="U5" s="34"/>
      <c r="V5" s="34"/>
      <c r="W5" s="108" t="s">
        <v>125</v>
      </c>
      <c r="X5" s="34"/>
      <c r="Y5" s="34"/>
      <c r="Z5" s="34"/>
      <c r="AA5" s="34"/>
      <c r="AB5" s="762" t="s">
        <v>125</v>
      </c>
      <c r="AC5" s="762"/>
      <c r="AD5" s="762"/>
      <c r="AE5" s="762"/>
      <c r="AF5" s="762"/>
      <c r="AG5" s="762" t="s">
        <v>125</v>
      </c>
      <c r="AH5" s="762"/>
      <c r="AI5" s="762"/>
      <c r="AJ5" s="762"/>
      <c r="AK5" s="762"/>
      <c r="AL5" s="252" t="s">
        <v>125</v>
      </c>
      <c r="AM5" s="252"/>
      <c r="AN5" s="253"/>
      <c r="AO5" s="252"/>
      <c r="AP5" s="252"/>
      <c r="AQ5" s="253" t="s">
        <v>125</v>
      </c>
      <c r="AR5" s="552"/>
      <c r="AS5" s="253"/>
      <c r="AT5" s="253"/>
      <c r="AU5" s="253"/>
      <c r="AV5" s="762" t="s">
        <v>125</v>
      </c>
      <c r="AW5" s="761"/>
      <c r="AX5" s="761"/>
      <c r="AY5" s="761"/>
      <c r="AZ5" s="761"/>
      <c r="BA5" s="762" t="s">
        <v>125</v>
      </c>
      <c r="BB5" s="761"/>
      <c r="BC5" s="761"/>
      <c r="BD5" s="761"/>
      <c r="BE5" s="761"/>
      <c r="BF5" s="760" t="s">
        <v>57</v>
      </c>
      <c r="BG5" s="760"/>
      <c r="BH5" s="760"/>
      <c r="BI5" s="760"/>
      <c r="BJ5" s="760"/>
    </row>
    <row r="6" spans="1:62" s="52" customFormat="1" ht="15.75" customHeight="1" x14ac:dyDescent="0.2">
      <c r="B6" s="185" t="s">
        <v>468</v>
      </c>
      <c r="C6" s="109"/>
      <c r="D6" s="109"/>
      <c r="E6" s="109"/>
      <c r="F6" s="185" t="s">
        <v>124</v>
      </c>
      <c r="G6" s="34"/>
      <c r="H6" s="34"/>
      <c r="I6" s="34"/>
      <c r="J6" s="109"/>
      <c r="K6" s="185" t="s">
        <v>482</v>
      </c>
      <c r="L6" s="34"/>
      <c r="M6" s="34"/>
      <c r="N6" s="183"/>
      <c r="O6" s="184" t="s">
        <v>449</v>
      </c>
      <c r="P6" s="184"/>
      <c r="Q6" s="184"/>
      <c r="R6" s="491"/>
      <c r="S6" s="185" t="s">
        <v>123</v>
      </c>
      <c r="T6" s="34"/>
      <c r="U6" s="34"/>
      <c r="V6" s="34"/>
      <c r="W6" s="184" t="s">
        <v>122</v>
      </c>
      <c r="X6" s="34"/>
      <c r="Y6" s="34"/>
      <c r="Z6" s="34"/>
      <c r="AA6" s="109"/>
      <c r="AB6" s="184" t="s">
        <v>121</v>
      </c>
      <c r="AC6" s="34"/>
      <c r="AD6" s="34"/>
      <c r="AE6" s="34"/>
      <c r="AF6" s="109"/>
      <c r="AG6" s="184" t="s">
        <v>126</v>
      </c>
      <c r="AH6" s="34"/>
      <c r="AI6" s="34"/>
      <c r="AJ6" s="34"/>
      <c r="AK6" s="34"/>
      <c r="AL6" s="550" t="s">
        <v>382</v>
      </c>
      <c r="AM6" s="551"/>
      <c r="AN6" s="551"/>
      <c r="AO6" s="551"/>
      <c r="AP6" s="109"/>
      <c r="AQ6" s="491" t="s">
        <v>469</v>
      </c>
      <c r="AR6" s="109"/>
      <c r="AS6" s="109"/>
      <c r="AT6" s="109"/>
      <c r="AU6" s="109"/>
      <c r="AV6" s="550" t="s">
        <v>465</v>
      </c>
      <c r="AW6" s="109"/>
      <c r="AX6" s="109"/>
      <c r="AY6" s="109"/>
      <c r="AZ6" s="109"/>
      <c r="BA6" s="550" t="s">
        <v>464</v>
      </c>
      <c r="BB6" s="551"/>
      <c r="BC6" s="551"/>
      <c r="BD6" s="551"/>
      <c r="BE6" s="109"/>
      <c r="BF6" s="763" t="s">
        <v>475</v>
      </c>
      <c r="BG6" s="763"/>
      <c r="BH6" s="763"/>
      <c r="BI6" s="763"/>
      <c r="BJ6" s="763"/>
    </row>
    <row r="7" spans="1:62" ht="18" customHeight="1" x14ac:dyDescent="0.2">
      <c r="B7" s="108" t="s">
        <v>378</v>
      </c>
      <c r="C7" s="34"/>
      <c r="D7" s="34"/>
      <c r="E7" s="35"/>
      <c r="F7" s="108" t="str">
        <f>+_TestYear</f>
        <v>FOR THE TWELVE MONTHS ENDED JUNE 30, 2018</v>
      </c>
      <c r="G7" s="34"/>
      <c r="H7" s="34"/>
      <c r="I7" s="34"/>
      <c r="J7" s="35"/>
      <c r="K7" s="108" t="str">
        <f>+_TestYear</f>
        <v>FOR THE TWELVE MONTHS ENDED JUNE 30, 2018</v>
      </c>
      <c r="L7" s="34"/>
      <c r="M7" s="34"/>
      <c r="N7" s="183"/>
      <c r="O7" s="34" t="str">
        <f>TESTYEAR</f>
        <v>FOR THE TWELVE MONTHS ENDED JUNE 30, 2018</v>
      </c>
      <c r="P7" s="34"/>
      <c r="Q7" s="34"/>
      <c r="R7" s="35"/>
      <c r="S7" s="108" t="str">
        <f>+_TestYear</f>
        <v>FOR THE TWELVE MONTHS ENDED JUNE 30, 2018</v>
      </c>
      <c r="T7" s="34"/>
      <c r="U7" s="34"/>
      <c r="V7" s="34"/>
      <c r="W7" s="108" t="str">
        <f>+_TestYear</f>
        <v>FOR THE TWELVE MONTHS ENDED JUNE 30, 2018</v>
      </c>
      <c r="X7" s="34"/>
      <c r="Y7" s="34"/>
      <c r="Z7" s="34"/>
      <c r="AA7" s="35"/>
      <c r="AB7" s="108" t="str">
        <f>+_TestYear</f>
        <v>FOR THE TWELVE MONTHS ENDED JUNE 30, 2018</v>
      </c>
      <c r="AC7" s="34"/>
      <c r="AD7" s="34"/>
      <c r="AE7" s="34"/>
      <c r="AF7" s="35"/>
      <c r="AG7" s="108" t="str">
        <f>+_TestYear</f>
        <v>FOR THE TWELVE MONTHS ENDED JUNE 30, 2018</v>
      </c>
      <c r="AH7" s="34"/>
      <c r="AI7" s="34"/>
      <c r="AJ7" s="34"/>
      <c r="AK7" s="34"/>
      <c r="AL7" s="34" t="s">
        <v>378</v>
      </c>
      <c r="AM7" s="34"/>
      <c r="AN7" s="108"/>
      <c r="AO7" s="34"/>
      <c r="AP7" s="34"/>
      <c r="AQ7" s="34" t="s">
        <v>378</v>
      </c>
      <c r="AR7" s="34"/>
      <c r="AS7" s="34"/>
      <c r="AT7" s="34"/>
      <c r="AU7" s="34"/>
      <c r="AV7" s="108" t="str">
        <f>+_TestYear</f>
        <v>FOR THE TWELVE MONTHS ENDED JUNE 30, 2018</v>
      </c>
      <c r="AW7" s="34"/>
      <c r="AX7" s="34"/>
      <c r="AY7" s="34"/>
      <c r="AZ7" s="34"/>
      <c r="BA7" s="253" t="str">
        <f>+_TestYear</f>
        <v>FOR THE TWELVE MONTHS ENDED JUNE 30, 2018</v>
      </c>
      <c r="BB7" s="252"/>
      <c r="BC7" s="253"/>
      <c r="BD7" s="252"/>
      <c r="BE7" s="252"/>
      <c r="BF7" s="760" t="s">
        <v>378</v>
      </c>
      <c r="BG7" s="760"/>
      <c r="BH7" s="760"/>
      <c r="BI7" s="760"/>
      <c r="BJ7" s="760"/>
    </row>
    <row r="8" spans="1:62" ht="15.75" x14ac:dyDescent="0.25">
      <c r="B8" s="108" t="s">
        <v>137</v>
      </c>
      <c r="C8" s="34"/>
      <c r="D8" s="34"/>
      <c r="E8" s="34"/>
      <c r="F8" s="108" t="str">
        <f>+_CaseName</f>
        <v>EXPEDITED RATE FILING</v>
      </c>
      <c r="G8" s="34"/>
      <c r="H8" s="34"/>
      <c r="I8" s="108"/>
      <c r="J8" s="35"/>
      <c r="K8" s="108" t="str">
        <f>+_CaseName</f>
        <v>EXPEDITED RATE FILING</v>
      </c>
      <c r="L8" s="108"/>
      <c r="M8" s="108"/>
      <c r="N8" s="182"/>
      <c r="O8" s="108" t="str">
        <f>DOCKET</f>
        <v>COMMISSION BASIS REPORT</v>
      </c>
      <c r="P8" s="34"/>
      <c r="Q8" s="34"/>
      <c r="R8" s="35"/>
      <c r="S8" s="108" t="str">
        <f>+_CaseName</f>
        <v>EXPEDITED RATE FILING</v>
      </c>
      <c r="T8" s="34"/>
      <c r="U8" s="34"/>
      <c r="V8" s="34"/>
      <c r="W8" s="108" t="str">
        <f>+_CaseName</f>
        <v>EXPEDITED RATE FILING</v>
      </c>
      <c r="X8" s="34"/>
      <c r="Y8" s="34"/>
      <c r="Z8" s="34"/>
      <c r="AA8" s="34"/>
      <c r="AB8" s="108" t="str">
        <f>+_CaseName</f>
        <v>EXPEDITED RATE FILING</v>
      </c>
      <c r="AC8" s="34"/>
      <c r="AD8" s="34"/>
      <c r="AE8" s="34"/>
      <c r="AF8" s="34"/>
      <c r="AG8" s="108" t="str">
        <f>+_CaseName</f>
        <v>EXPEDITED RATE FILING</v>
      </c>
      <c r="AH8" s="34"/>
      <c r="AI8" s="34"/>
      <c r="AJ8" s="34"/>
      <c r="AK8" s="34"/>
      <c r="AL8" s="552" t="str">
        <f>AV8</f>
        <v>EXPEDITED RATE FILING</v>
      </c>
      <c r="AM8" s="34"/>
      <c r="AN8" s="108"/>
      <c r="AO8" s="108"/>
      <c r="AP8" s="108"/>
      <c r="AQ8" s="108" t="str">
        <f>AV8</f>
        <v>EXPEDITED RATE FILING</v>
      </c>
      <c r="AR8" s="552"/>
      <c r="AS8" s="108"/>
      <c r="AT8" s="108"/>
      <c r="AU8" s="108"/>
      <c r="AV8" s="108" t="str">
        <f>+_CaseName</f>
        <v>EXPEDITED RATE FILING</v>
      </c>
      <c r="AW8" s="108"/>
      <c r="AX8" s="108"/>
      <c r="AY8" s="108"/>
      <c r="AZ8" s="108"/>
      <c r="BA8" s="253" t="str">
        <f>+_CaseName</f>
        <v>EXPEDITED RATE FILING</v>
      </c>
      <c r="BB8" s="252"/>
      <c r="BC8" s="253"/>
      <c r="BD8" s="253"/>
      <c r="BE8" s="253"/>
      <c r="BF8" s="761" t="s">
        <v>137</v>
      </c>
      <c r="BG8" s="761"/>
      <c r="BH8" s="761"/>
      <c r="BI8" s="761"/>
      <c r="BJ8" s="761"/>
    </row>
    <row r="9" spans="1:62" ht="15.75" x14ac:dyDescent="0.25">
      <c r="A9" s="51"/>
      <c r="B9" s="51"/>
      <c r="C9" s="51"/>
      <c r="D9" s="51"/>
      <c r="E9" s="51"/>
      <c r="F9" s="51"/>
      <c r="G9" s="180"/>
      <c r="H9" s="180"/>
      <c r="I9" s="177"/>
      <c r="J9" s="177"/>
      <c r="K9" s="51"/>
      <c r="L9" s="182"/>
      <c r="M9" s="110"/>
      <c r="N9" s="181"/>
      <c r="O9" s="51"/>
      <c r="P9" s="110"/>
      <c r="Q9" s="580"/>
      <c r="R9" s="580"/>
      <c r="S9" s="51"/>
      <c r="T9" s="51"/>
      <c r="U9" s="51"/>
      <c r="V9" s="51"/>
      <c r="W9" s="179"/>
      <c r="X9" s="110"/>
      <c r="Y9" s="110"/>
      <c r="Z9" s="51"/>
      <c r="AA9" s="51"/>
      <c r="AB9" s="28"/>
      <c r="AC9" s="28"/>
      <c r="AD9" s="28"/>
      <c r="AE9" s="28"/>
      <c r="AF9" s="28"/>
      <c r="AG9" s="51"/>
      <c r="AH9" s="110"/>
      <c r="AI9" s="110"/>
      <c r="AJ9" s="110"/>
      <c r="AK9" s="51"/>
      <c r="AL9" s="51"/>
      <c r="AM9" s="51"/>
      <c r="AN9" s="51"/>
      <c r="AO9" s="99"/>
      <c r="AP9" s="99"/>
      <c r="AQ9" s="99"/>
      <c r="AR9" s="99"/>
      <c r="AS9" s="99"/>
      <c r="AT9" s="99"/>
      <c r="AU9" s="99"/>
      <c r="AV9" s="51"/>
      <c r="AW9" s="51"/>
      <c r="AX9" s="51"/>
      <c r="AY9" s="51"/>
      <c r="AZ9" s="51"/>
      <c r="BA9" s="248"/>
      <c r="BB9" s="248"/>
      <c r="BC9" s="248"/>
      <c r="BD9" s="248"/>
      <c r="BE9" s="248"/>
      <c r="BF9" s="51"/>
      <c r="BG9" s="51"/>
      <c r="BH9" s="51"/>
      <c r="BI9" s="99"/>
      <c r="BJ9" s="99"/>
    </row>
    <row r="10" spans="1:62" ht="13.5" x14ac:dyDescent="0.25">
      <c r="A10" s="227" t="s">
        <v>32</v>
      </c>
      <c r="B10" s="175"/>
      <c r="C10" s="175" t="s">
        <v>403</v>
      </c>
      <c r="D10" s="710" t="s">
        <v>405</v>
      </c>
      <c r="E10" s="709" t="s">
        <v>404</v>
      </c>
      <c r="F10" s="132" t="s">
        <v>32</v>
      </c>
      <c r="G10" s="177"/>
      <c r="H10" s="706" t="s">
        <v>403</v>
      </c>
      <c r="I10" s="705" t="s">
        <v>405</v>
      </c>
      <c r="J10" s="704" t="s">
        <v>404</v>
      </c>
      <c r="K10" s="101" t="s">
        <v>32</v>
      </c>
      <c r="L10" s="51"/>
      <c r="M10" s="28"/>
      <c r="N10" s="178"/>
      <c r="O10" s="582" t="s">
        <v>32</v>
      </c>
      <c r="P10" s="51"/>
      <c r="Q10" s="51"/>
      <c r="R10" s="581" t="s">
        <v>30</v>
      </c>
      <c r="S10" s="95" t="s">
        <v>32</v>
      </c>
      <c r="T10" s="110"/>
      <c r="U10" s="110"/>
      <c r="V10" s="51"/>
      <c r="W10" s="132" t="s">
        <v>32</v>
      </c>
      <c r="X10" s="51"/>
      <c r="Y10" s="51"/>
      <c r="Z10" s="51"/>
      <c r="AA10" s="176"/>
      <c r="AB10" s="51" t="s">
        <v>32</v>
      </c>
      <c r="AC10" s="51"/>
      <c r="AD10" s="706" t="s">
        <v>403</v>
      </c>
      <c r="AE10" s="710" t="s">
        <v>405</v>
      </c>
      <c r="AF10" s="709" t="s">
        <v>404</v>
      </c>
      <c r="AG10" s="95" t="s">
        <v>32</v>
      </c>
      <c r="AH10" s="110"/>
      <c r="AI10" s="110"/>
      <c r="AJ10" s="110"/>
      <c r="AK10" s="132"/>
      <c r="AL10" s="549" t="s">
        <v>32</v>
      </c>
      <c r="AM10" s="110"/>
      <c r="AN10" s="706" t="s">
        <v>403</v>
      </c>
      <c r="AO10" s="710" t="s">
        <v>405</v>
      </c>
      <c r="AP10" s="709" t="s">
        <v>404</v>
      </c>
      <c r="AQ10" s="598" t="s">
        <v>32</v>
      </c>
      <c r="AR10" s="598"/>
      <c r="AS10" s="598"/>
      <c r="AT10" s="598"/>
      <c r="AU10" s="598"/>
      <c r="AV10" s="227" t="s">
        <v>32</v>
      </c>
      <c r="AW10" s="630"/>
      <c r="AX10" s="706" t="s">
        <v>403</v>
      </c>
      <c r="AY10" s="710" t="s">
        <v>405</v>
      </c>
      <c r="AZ10" s="709" t="s">
        <v>404</v>
      </c>
      <c r="BA10" s="726" t="s">
        <v>32</v>
      </c>
      <c r="BB10" s="456"/>
      <c r="BC10" s="706" t="s">
        <v>403</v>
      </c>
      <c r="BD10" s="729" t="s">
        <v>405</v>
      </c>
      <c r="BE10" s="728" t="s">
        <v>404</v>
      </c>
      <c r="BF10" s="711" t="s">
        <v>32</v>
      </c>
      <c r="BG10" s="602"/>
      <c r="BH10" s="706" t="s">
        <v>403</v>
      </c>
      <c r="BI10" s="710" t="s">
        <v>405</v>
      </c>
      <c r="BJ10" s="709" t="s">
        <v>404</v>
      </c>
    </row>
    <row r="11" spans="1:62" ht="15" customHeight="1" x14ac:dyDescent="0.2">
      <c r="A11" s="228" t="s">
        <v>34</v>
      </c>
      <c r="B11" s="229" t="s">
        <v>35</v>
      </c>
      <c r="C11" s="230" t="s">
        <v>656</v>
      </c>
      <c r="D11" s="708" t="s">
        <v>656</v>
      </c>
      <c r="E11" s="230" t="s">
        <v>37</v>
      </c>
      <c r="F11" s="169" t="s">
        <v>34</v>
      </c>
      <c r="G11" s="171" t="s">
        <v>35</v>
      </c>
      <c r="H11" s="707" t="s">
        <v>656</v>
      </c>
      <c r="I11" s="708" t="s">
        <v>656</v>
      </c>
      <c r="J11" s="601" t="s">
        <v>37</v>
      </c>
      <c r="K11" s="169" t="s">
        <v>34</v>
      </c>
      <c r="L11" s="172" t="s">
        <v>35</v>
      </c>
      <c r="M11" s="149"/>
      <c r="N11" s="173" t="s">
        <v>83</v>
      </c>
      <c r="O11" s="461" t="s">
        <v>34</v>
      </c>
      <c r="P11" s="460" t="s">
        <v>35</v>
      </c>
      <c r="Q11" s="448"/>
      <c r="R11" s="448" t="s">
        <v>83</v>
      </c>
      <c r="S11" s="170" t="s">
        <v>34</v>
      </c>
      <c r="T11" s="168" t="s">
        <v>35</v>
      </c>
      <c r="U11" s="168"/>
      <c r="V11" s="169" t="s">
        <v>83</v>
      </c>
      <c r="W11" s="169" t="s">
        <v>34</v>
      </c>
      <c r="X11" s="168" t="s">
        <v>35</v>
      </c>
      <c r="Y11" s="168"/>
      <c r="Z11" s="169"/>
      <c r="AA11" s="170" t="s">
        <v>83</v>
      </c>
      <c r="AB11" s="168" t="s">
        <v>34</v>
      </c>
      <c r="AC11" s="168" t="s">
        <v>35</v>
      </c>
      <c r="AD11" s="707" t="s">
        <v>656</v>
      </c>
      <c r="AE11" s="708" t="s">
        <v>656</v>
      </c>
      <c r="AF11" s="601" t="s">
        <v>37</v>
      </c>
      <c r="AG11" s="170" t="s">
        <v>34</v>
      </c>
      <c r="AH11" s="168" t="s">
        <v>35</v>
      </c>
      <c r="AI11" s="169" t="s">
        <v>118</v>
      </c>
      <c r="AJ11" s="169" t="s">
        <v>115</v>
      </c>
      <c r="AK11" s="169" t="s">
        <v>83</v>
      </c>
      <c r="AL11" s="448" t="s">
        <v>34</v>
      </c>
      <c r="AM11" s="459" t="s">
        <v>35</v>
      </c>
      <c r="AN11" s="707" t="s">
        <v>656</v>
      </c>
      <c r="AO11" s="708" t="s">
        <v>656</v>
      </c>
      <c r="AP11" s="601" t="s">
        <v>37</v>
      </c>
      <c r="AQ11" s="601" t="s">
        <v>34</v>
      </c>
      <c r="AR11" s="601" t="s">
        <v>35</v>
      </c>
      <c r="AS11" s="601"/>
      <c r="AT11" s="715" t="s">
        <v>83</v>
      </c>
      <c r="AU11" s="715"/>
      <c r="AV11" s="631" t="s">
        <v>34</v>
      </c>
      <c r="AW11" s="632" t="s">
        <v>35</v>
      </c>
      <c r="AX11" s="707" t="s">
        <v>656</v>
      </c>
      <c r="AY11" s="708" t="s">
        <v>656</v>
      </c>
      <c r="AZ11" s="601" t="s">
        <v>37</v>
      </c>
      <c r="BA11" s="448" t="s">
        <v>34</v>
      </c>
      <c r="BB11" s="459" t="s">
        <v>35</v>
      </c>
      <c r="BC11" s="707" t="s">
        <v>656</v>
      </c>
      <c r="BD11" s="708" t="s">
        <v>656</v>
      </c>
      <c r="BE11" s="601" t="s">
        <v>37</v>
      </c>
      <c r="BF11" s="604" t="s">
        <v>34</v>
      </c>
      <c r="BG11" s="603" t="s">
        <v>35</v>
      </c>
      <c r="BH11" s="707" t="s">
        <v>656</v>
      </c>
      <c r="BI11" s="708" t="s">
        <v>656</v>
      </c>
      <c r="BJ11" s="601" t="s">
        <v>37</v>
      </c>
    </row>
    <row r="12" spans="1:62" s="104" customFormat="1" ht="17.100000000000001" customHeight="1" x14ac:dyDescent="0.2">
      <c r="A12" s="231"/>
      <c r="B12" s="231"/>
      <c r="C12" s="231"/>
      <c r="D12" s="231"/>
      <c r="E12" s="231"/>
      <c r="F12" s="32"/>
      <c r="G12" s="30"/>
      <c r="H12" s="36"/>
      <c r="I12" s="36"/>
      <c r="J12" s="36"/>
      <c r="K12" s="32"/>
      <c r="L12" s="28"/>
      <c r="M12" s="111"/>
      <c r="N12" s="157"/>
      <c r="O12" s="29"/>
      <c r="P12" s="431"/>
      <c r="Q12" s="385" t="s">
        <v>30</v>
      </c>
      <c r="R12" s="39"/>
      <c r="S12" s="28"/>
      <c r="T12" s="28"/>
      <c r="U12" s="28"/>
      <c r="V12" s="28"/>
      <c r="W12" s="28"/>
      <c r="X12" s="28"/>
      <c r="Y12" s="28"/>
      <c r="Z12" s="37"/>
      <c r="AA12" s="37"/>
      <c r="AB12" s="124"/>
      <c r="AC12" s="134"/>
      <c r="AD12" s="124"/>
      <c r="AE12" s="124"/>
      <c r="AF12" s="124"/>
      <c r="AG12" s="196"/>
      <c r="AH12" s="203"/>
      <c r="AI12" s="203"/>
      <c r="AJ12" s="195"/>
      <c r="AK12" s="195"/>
      <c r="AL12" s="32"/>
      <c r="AM12" s="69"/>
      <c r="AN12" s="69"/>
      <c r="AO12" s="69"/>
      <c r="AP12" s="69"/>
      <c r="AQ12" s="69"/>
      <c r="AR12" s="69"/>
      <c r="AS12" s="69"/>
      <c r="AT12" s="69"/>
      <c r="AU12" s="69"/>
      <c r="AV12" s="154"/>
      <c r="AW12" s="154"/>
      <c r="AX12" s="154"/>
      <c r="AY12" s="154"/>
      <c r="AZ12" s="154"/>
      <c r="BA12" s="727"/>
      <c r="BB12" s="456"/>
      <c r="BC12" s="727"/>
      <c r="BD12" s="727"/>
      <c r="BE12" s="727"/>
      <c r="BF12" s="103"/>
      <c r="BG12" s="103"/>
      <c r="BH12" s="103"/>
      <c r="BI12" s="103"/>
      <c r="BJ12" s="103"/>
    </row>
    <row r="13" spans="1:62" s="104" customFormat="1" ht="17.100000000000001" customHeight="1" x14ac:dyDescent="0.2">
      <c r="A13" s="232">
        <v>1</v>
      </c>
      <c r="B13" s="174" t="s">
        <v>5</v>
      </c>
      <c r="C13" s="141"/>
      <c r="D13" s="141"/>
      <c r="E13" s="141"/>
      <c r="F13" s="29">
        <v>1</v>
      </c>
      <c r="G13" s="226" t="s">
        <v>120</v>
      </c>
      <c r="H13" s="165">
        <f>'[6]Annualize Elec  Deprec Lead '!C12</f>
        <v>317207735.60082692</v>
      </c>
      <c r="I13" s="165">
        <f>'[6]Annualize Elec  Deprec Lead '!D12</f>
        <v>344503496.58404869</v>
      </c>
      <c r="J13" s="165">
        <f>I13-H13</f>
        <v>27295760.983221769</v>
      </c>
      <c r="K13" s="29">
        <v>1</v>
      </c>
      <c r="L13" s="111" t="s">
        <v>318</v>
      </c>
      <c r="M13" s="111"/>
      <c r="N13" s="41">
        <f>'9.04E Annualize FIT'!C68</f>
        <v>595838990.3997407</v>
      </c>
      <c r="O13" s="29">
        <v>1</v>
      </c>
      <c r="P13" s="431" t="s">
        <v>452</v>
      </c>
      <c r="Q13" s="590">
        <f>'ERF Main Summary'!K57</f>
        <v>5101822355.5890903</v>
      </c>
      <c r="R13" s="376"/>
      <c r="S13" s="135" t="s">
        <v>45</v>
      </c>
      <c r="T13" s="267" t="s">
        <v>436</v>
      </c>
      <c r="U13" s="141"/>
      <c r="V13" s="146">
        <f>'[7]Lead E'!$C$14</f>
        <v>-2266166.8500000029</v>
      </c>
      <c r="W13" s="29">
        <v>1</v>
      </c>
      <c r="X13" s="300" t="s">
        <v>151</v>
      </c>
      <c r="Y13" s="28"/>
      <c r="Z13" s="166"/>
      <c r="AA13" s="166"/>
      <c r="AB13" s="37">
        <v>1</v>
      </c>
      <c r="AC13" s="42" t="s">
        <v>114</v>
      </c>
      <c r="AD13" s="241"/>
      <c r="AE13" s="241"/>
      <c r="AF13" s="241"/>
      <c r="AG13" s="29">
        <v>1</v>
      </c>
      <c r="AH13" s="238" t="str">
        <f>[8]Lead!$B$16</f>
        <v>DEFERRED BALANCES FOR STORM 4 YEAR AMORTIZATION</v>
      </c>
      <c r="AI13" s="160"/>
      <c r="AJ13" s="193"/>
      <c r="AK13" s="193"/>
      <c r="AL13" s="29">
        <v>1</v>
      </c>
      <c r="AM13" s="316" t="s">
        <v>307</v>
      </c>
      <c r="AN13" s="226"/>
      <c r="AO13" s="226"/>
      <c r="AP13" s="226"/>
      <c r="AQ13" s="29">
        <f t="shared" ref="AQ13:AQ27" si="0">AQ12+1</f>
        <v>1</v>
      </c>
      <c r="AR13" s="410" t="s">
        <v>470</v>
      </c>
      <c r="AS13" s="410"/>
      <c r="AT13" s="127">
        <f>+'[9]Lead E'!$E$12</f>
        <v>3967053655.125</v>
      </c>
      <c r="AU13" s="226"/>
      <c r="AV13" s="29">
        <v>1</v>
      </c>
      <c r="AW13" s="398" t="s">
        <v>483</v>
      </c>
      <c r="AX13" s="633"/>
      <c r="AY13" s="633"/>
      <c r="AZ13" s="633"/>
      <c r="BA13" s="739">
        <v>1</v>
      </c>
      <c r="BB13" s="740" t="s">
        <v>700</v>
      </c>
      <c r="BC13" s="741"/>
      <c r="BD13" s="741"/>
      <c r="BE13" s="741"/>
      <c r="BF13" s="232">
        <v>1</v>
      </c>
      <c r="BG13" s="610" t="s">
        <v>476</v>
      </c>
      <c r="BH13" s="611"/>
      <c r="BI13" s="611"/>
      <c r="BJ13" s="611"/>
    </row>
    <row r="14" spans="1:62" s="104" customFormat="1" ht="17.100000000000001" customHeight="1" x14ac:dyDescent="0.2">
      <c r="A14" s="29">
        <f t="shared" ref="A14:A40" si="1">A13+1</f>
        <v>2</v>
      </c>
      <c r="B14" s="247" t="s">
        <v>154</v>
      </c>
      <c r="C14" s="298">
        <f>+'[10]ERF Revenues Lead Sheet'!C13</f>
        <v>0</v>
      </c>
      <c r="D14" s="298">
        <f>+'[10]ERF Revenues Lead Sheet'!D13</f>
        <v>7814835.3599999994</v>
      </c>
      <c r="E14" s="299">
        <f>D14-C14</f>
        <v>7814835.3599999994</v>
      </c>
      <c r="F14" s="29">
        <f t="shared" ref="F14:F30" si="2">F13+1</f>
        <v>2</v>
      </c>
      <c r="G14" s="145" t="s">
        <v>119</v>
      </c>
      <c r="H14" s="122">
        <f>'[6]Annualize Elec  Deprec Lead '!C13</f>
        <v>60332863.093426585</v>
      </c>
      <c r="I14" s="122">
        <f>'[6]Annualize Elec  Deprec Lead '!D13</f>
        <v>58845445.733728148</v>
      </c>
      <c r="J14" s="122">
        <f>I14-H14</f>
        <v>-1487417.3596984372</v>
      </c>
      <c r="K14" s="29">
        <f t="shared" ref="K14:K31" si="3">K13+1</f>
        <v>2</v>
      </c>
      <c r="L14" s="145"/>
      <c r="M14" s="145"/>
      <c r="N14" s="58"/>
      <c r="O14" s="29">
        <f t="shared" ref="O14:O23" si="4">+O13+1</f>
        <v>2</v>
      </c>
      <c r="P14" s="591"/>
      <c r="Q14" s="47"/>
      <c r="R14" s="376" t="s">
        <v>30</v>
      </c>
      <c r="S14" s="135">
        <f t="shared" ref="S14:S27" si="5">1+S13</f>
        <v>2</v>
      </c>
      <c r="T14" s="267" t="s">
        <v>437</v>
      </c>
      <c r="U14" s="141"/>
      <c r="V14" s="133">
        <f>'[7]Lead E'!$C$15</f>
        <v>-25063.219999999623</v>
      </c>
      <c r="W14" s="29">
        <f t="shared" ref="W14:W20" si="6">W13+1</f>
        <v>2</v>
      </c>
      <c r="X14" s="245" t="s">
        <v>180</v>
      </c>
      <c r="Y14" s="30"/>
      <c r="Z14" s="56"/>
      <c r="AA14" s="26"/>
      <c r="AB14" s="37">
        <f>AB13+1</f>
        <v>2</v>
      </c>
      <c r="AC14" s="44" t="s">
        <v>149</v>
      </c>
      <c r="AD14" s="167">
        <f>+'[11]Lead E'!C12</f>
        <v>1339630.0189698064</v>
      </c>
      <c r="AE14" s="167">
        <f>+'[11]Lead E'!D12</f>
        <v>2483233.9330930109</v>
      </c>
      <c r="AF14" s="167">
        <f>+AE14-AD14</f>
        <v>1143603.9141232045</v>
      </c>
      <c r="AG14" s="29">
        <f t="shared" ref="AG14:AG37" si="7">AG13+1</f>
        <v>2</v>
      </c>
      <c r="AH14" s="245" t="s">
        <v>180</v>
      </c>
      <c r="AI14" s="33"/>
      <c r="AJ14" s="33"/>
      <c r="AK14" s="33"/>
      <c r="AL14" s="29">
        <f t="shared" ref="AL14:AL28" si="8">AL13+1</f>
        <v>2</v>
      </c>
      <c r="AM14" s="553" t="s">
        <v>426</v>
      </c>
      <c r="AN14" s="298">
        <f>+[12]Lead!C9</f>
        <v>191271195.98000002</v>
      </c>
      <c r="AO14" s="298">
        <f>+[12]Lead!D9</f>
        <v>208443243.26519346</v>
      </c>
      <c r="AP14" s="298">
        <f t="shared" ref="AP14:AP20" si="9">+AO14-AN14</f>
        <v>17172047.285193443</v>
      </c>
      <c r="AQ14" s="29">
        <f t="shared" si="0"/>
        <v>2</v>
      </c>
      <c r="AR14" s="159" t="s">
        <v>298</v>
      </c>
      <c r="AS14" s="410"/>
      <c r="AT14" s="622">
        <f>+'[9]Lead E'!$E$13</f>
        <v>0.05</v>
      </c>
      <c r="AU14" s="226"/>
      <c r="AV14" s="29">
        <f>AV13+1</f>
        <v>2</v>
      </c>
      <c r="AW14" s="127" t="s">
        <v>484</v>
      </c>
      <c r="AX14" s="634">
        <f>'[5]Lead E'!C14</f>
        <v>0</v>
      </c>
      <c r="AY14" s="634">
        <f>'[5]Lead E'!D14</f>
        <v>0</v>
      </c>
      <c r="AZ14" s="634">
        <f t="shared" ref="AZ14:AZ30" si="10">+AY14-AX14</f>
        <v>0</v>
      </c>
      <c r="BA14" s="739">
        <f>BA13+1</f>
        <v>2</v>
      </c>
      <c r="BB14" s="742" t="s">
        <v>457</v>
      </c>
      <c r="BC14" s="743">
        <f>+'[13]Lead E'!$C$11</f>
        <v>16251326.550000001</v>
      </c>
      <c r="BD14" s="743">
        <f>+'[13]Lead E'!$D$11</f>
        <v>13872914.570218705</v>
      </c>
      <c r="BE14" s="743">
        <f>BD14-BC14</f>
        <v>-2378411.9797812961</v>
      </c>
      <c r="BF14" s="232">
        <f t="shared" ref="BF14:BF25" si="11">BF13+1</f>
        <v>2</v>
      </c>
      <c r="BG14" s="408" t="s">
        <v>701</v>
      </c>
      <c r="BH14" s="612"/>
      <c r="BI14" s="612"/>
      <c r="BJ14" s="298">
        <f>BI14-BH14</f>
        <v>0</v>
      </c>
    </row>
    <row r="15" spans="1:62" s="104" customFormat="1" ht="17.100000000000001" customHeight="1" x14ac:dyDescent="0.2">
      <c r="A15" s="29">
        <f t="shared" si="1"/>
        <v>3</v>
      </c>
      <c r="B15" s="247" t="s">
        <v>511</v>
      </c>
      <c r="C15" s="133">
        <f>+'[10]ERF Revenues Lead Sheet'!C14</f>
        <v>2058080273.92558</v>
      </c>
      <c r="D15" s="133">
        <f>+'[10]ERF Revenues Lead Sheet'!D14</f>
        <v>2018224923.141161</v>
      </c>
      <c r="E15" s="112">
        <f>D15-C15</f>
        <v>-39855350.78441906</v>
      </c>
      <c r="F15" s="29">
        <f t="shared" si="2"/>
        <v>3</v>
      </c>
      <c r="G15" s="145" t="s">
        <v>116</v>
      </c>
      <c r="H15" s="678">
        <f t="shared" ref="H15:J15" si="12">SUM(H13:H14)</f>
        <v>377540598.6942535</v>
      </c>
      <c r="I15" s="678">
        <f t="shared" si="12"/>
        <v>403348942.31777686</v>
      </c>
      <c r="J15" s="678">
        <f t="shared" si="12"/>
        <v>25808343.623523332</v>
      </c>
      <c r="K15" s="29">
        <f t="shared" si="3"/>
        <v>3</v>
      </c>
      <c r="L15" s="38" t="s">
        <v>519</v>
      </c>
      <c r="M15" s="441">
        <f>'E ERF Conv Factr'!D20</f>
        <v>0.21</v>
      </c>
      <c r="N15" s="330">
        <f>N13*M15</f>
        <v>125126187.98394555</v>
      </c>
      <c r="O15" s="29">
        <f t="shared" si="4"/>
        <v>3</v>
      </c>
      <c r="P15" s="431" t="s">
        <v>528</v>
      </c>
      <c r="Q15" s="440">
        <f>+'ERF ROR'!E15</f>
        <v>2.8799999999999999E-2</v>
      </c>
      <c r="R15" s="376" t="s">
        <v>30</v>
      </c>
      <c r="S15" s="135">
        <f t="shared" si="5"/>
        <v>3</v>
      </c>
      <c r="T15" s="267" t="s">
        <v>178</v>
      </c>
      <c r="U15" s="28"/>
      <c r="V15" s="139">
        <f>SUM(V13:V14)</f>
        <v>-2291230.0700000026</v>
      </c>
      <c r="W15" s="29">
        <f t="shared" si="6"/>
        <v>3</v>
      </c>
      <c r="X15" s="226" t="s">
        <v>179</v>
      </c>
      <c r="Y15" s="30"/>
      <c r="Z15" s="64">
        <f>'[14]E Lead'!$C$17</f>
        <v>9689352.1799999997</v>
      </c>
      <c r="AA15" s="133"/>
      <c r="AB15" s="37">
        <f t="shared" ref="AB15:AB28" si="13">AB14+1</f>
        <v>3</v>
      </c>
      <c r="AC15" s="44" t="s">
        <v>182</v>
      </c>
      <c r="AD15" s="164">
        <f>+'[11]Lead E'!C13</f>
        <v>443295</v>
      </c>
      <c r="AE15" s="164">
        <f>+'[11]Lead E'!D13</f>
        <v>828677.01230520185</v>
      </c>
      <c r="AF15" s="244">
        <f>+AE15-AD15</f>
        <v>385382.01230520185</v>
      </c>
      <c r="AG15" s="29">
        <f t="shared" si="7"/>
        <v>3</v>
      </c>
      <c r="AH15" s="159"/>
      <c r="AI15" s="194"/>
      <c r="AJ15" s="134"/>
      <c r="AK15" s="134"/>
      <c r="AL15" s="29">
        <f t="shared" si="8"/>
        <v>3</v>
      </c>
      <c r="AM15" s="553" t="s">
        <v>522</v>
      </c>
      <c r="AN15" s="127">
        <f>+[12]Lead!C10</f>
        <v>495385652.22025484</v>
      </c>
      <c r="AO15" s="127">
        <f>+[12]Lead!D10</f>
        <v>434843424.46961474</v>
      </c>
      <c r="AP15" s="127">
        <f t="shared" si="9"/>
        <v>-60542227.750640094</v>
      </c>
      <c r="AQ15" s="29">
        <f t="shared" si="0"/>
        <v>3</v>
      </c>
      <c r="AR15" s="141" t="s">
        <v>288</v>
      </c>
      <c r="AS15" s="410"/>
      <c r="AT15" s="410">
        <f>+'[9]Lead E'!$E$14</f>
        <v>1.4999999999999999E-4</v>
      </c>
      <c r="AU15" s="226"/>
      <c r="AV15" s="29">
        <f t="shared" ref="AV15:AV65" si="14">+AV14+1</f>
        <v>3</v>
      </c>
      <c r="AW15" s="127" t="s">
        <v>485</v>
      </c>
      <c r="AX15" s="634">
        <f>'[5]Lead E'!C15</f>
        <v>-57518.44</v>
      </c>
      <c r="AY15" s="634">
        <f>'[5]Lead E'!D15</f>
        <v>-61821.173175928787</v>
      </c>
      <c r="AZ15" s="634">
        <f t="shared" si="10"/>
        <v>-4302.7331759287845</v>
      </c>
      <c r="BA15" s="739">
        <f t="shared" ref="BA15:BA26" si="15">BA14+1</f>
        <v>3</v>
      </c>
      <c r="BB15" s="742" t="s">
        <v>275</v>
      </c>
      <c r="BC15" s="744">
        <f>+'[13]Lead E'!$C$12</f>
        <v>-6143001.4299999997</v>
      </c>
      <c r="BD15" s="744">
        <f>+'[13]Lead E'!$D$12</f>
        <v>-5643534.9142459277</v>
      </c>
      <c r="BE15" s="744">
        <f t="shared" ref="BE15" si="16">BD15-BC15</f>
        <v>499466.515754072</v>
      </c>
      <c r="BF15" s="232">
        <f t="shared" si="11"/>
        <v>3</v>
      </c>
      <c r="BG15" s="408" t="s">
        <v>477</v>
      </c>
      <c r="BH15" s="113"/>
      <c r="BI15" s="113"/>
      <c r="BJ15" s="133">
        <f>BI15-BH15</f>
        <v>0</v>
      </c>
    </row>
    <row r="16" spans="1:62" s="104" customFormat="1" ht="17.100000000000001" customHeight="1" thickBot="1" x14ac:dyDescent="0.25">
      <c r="A16" s="29">
        <f t="shared" si="1"/>
        <v>4</v>
      </c>
      <c r="B16" s="247" t="s">
        <v>510</v>
      </c>
      <c r="C16" s="133">
        <f>+'[10]ERF Revenues Lead Sheet'!C15</f>
        <v>343685.04</v>
      </c>
      <c r="D16" s="133">
        <f>+'[10]ERF Revenues Lead Sheet'!D15</f>
        <v>329856</v>
      </c>
      <c r="E16" s="112">
        <f>D16-C16</f>
        <v>-13829.039999999979</v>
      </c>
      <c r="F16" s="29">
        <f t="shared" si="2"/>
        <v>4</v>
      </c>
      <c r="G16" s="145" t="s">
        <v>530</v>
      </c>
      <c r="H16" s="122">
        <f>'[6]Annualize Elec  Deprec Lead '!C15</f>
        <v>7285723.6800000062</v>
      </c>
      <c r="I16" s="122">
        <f>'[6]Annualize Elec  Deprec Lead '!D15</f>
        <v>7285723.6800000062</v>
      </c>
      <c r="J16" s="122">
        <f t="shared" ref="J16:J17" si="17">I16-H16</f>
        <v>0</v>
      </c>
      <c r="K16" s="29">
        <f t="shared" si="3"/>
        <v>4</v>
      </c>
      <c r="L16" s="145" t="s">
        <v>248</v>
      </c>
      <c r="M16" s="59" t="s">
        <v>30</v>
      </c>
      <c r="N16" s="47">
        <f>N15</f>
        <v>125126187.98394555</v>
      </c>
      <c r="O16" s="29">
        <f t="shared" si="4"/>
        <v>4</v>
      </c>
      <c r="P16" s="431"/>
      <c r="Q16" s="675"/>
      <c r="R16" s="376"/>
      <c r="S16" s="135">
        <f t="shared" si="5"/>
        <v>4</v>
      </c>
      <c r="T16" s="28"/>
      <c r="U16" s="28"/>
      <c r="V16" s="33"/>
      <c r="W16" s="29">
        <f t="shared" si="6"/>
        <v>4</v>
      </c>
      <c r="X16" s="141" t="s">
        <v>117</v>
      </c>
      <c r="Y16" s="28"/>
      <c r="Z16" s="56"/>
      <c r="AA16" s="64">
        <f>Z15/5</f>
        <v>1937870.436</v>
      </c>
      <c r="AB16" s="37">
        <f t="shared" si="13"/>
        <v>4</v>
      </c>
      <c r="AC16" s="44"/>
      <c r="AD16" s="133"/>
      <c r="AE16" s="133"/>
      <c r="AF16" s="164"/>
      <c r="AG16" s="29">
        <f t="shared" si="7"/>
        <v>4</v>
      </c>
      <c r="AH16" s="159" t="s">
        <v>142</v>
      </c>
      <c r="AI16" s="302">
        <f>[8]Lead!C18</f>
        <v>50185.88</v>
      </c>
      <c r="AJ16" s="33"/>
      <c r="AK16" s="33"/>
      <c r="AL16" s="605">
        <f t="shared" si="8"/>
        <v>4</v>
      </c>
      <c r="AM16" s="553" t="s">
        <v>523</v>
      </c>
      <c r="AN16" s="127">
        <f>+[12]Lead!C11</f>
        <v>5425112.4013887458</v>
      </c>
      <c r="AO16" s="127">
        <f>+[12]Lead!D11</f>
        <v>10526739.627419444</v>
      </c>
      <c r="AP16" s="127">
        <f t="shared" ref="AP16" si="18">+AO16-AN16</f>
        <v>5101627.226030698</v>
      </c>
      <c r="AQ16" s="29">
        <f t="shared" si="0"/>
        <v>4</v>
      </c>
      <c r="AR16" s="159" t="s">
        <v>283</v>
      </c>
      <c r="AS16" s="410"/>
      <c r="AT16" s="623">
        <f>+AT13*(1-AT14)*AT15</f>
        <v>565305.14585531235</v>
      </c>
      <c r="AU16" s="226"/>
      <c r="AV16" s="29">
        <f t="shared" si="14"/>
        <v>4</v>
      </c>
      <c r="AW16" s="127" t="s">
        <v>486</v>
      </c>
      <c r="AX16" s="634">
        <f>'[5]Lead E'!C16</f>
        <v>-78852.239999999991</v>
      </c>
      <c r="AY16" s="634">
        <f>'[5]Lead E'!D16</f>
        <v>-84750.798948222815</v>
      </c>
      <c r="AZ16" s="634">
        <f t="shared" si="10"/>
        <v>-5898.5589482228243</v>
      </c>
      <c r="BA16" s="739">
        <f t="shared" si="15"/>
        <v>4</v>
      </c>
      <c r="BB16" s="741" t="s">
        <v>458</v>
      </c>
      <c r="BC16" s="745">
        <f>SUM(BC14:BC15)</f>
        <v>10108325.120000001</v>
      </c>
      <c r="BD16" s="745">
        <f>SUM(BD14:BD15)</f>
        <v>8229379.6559727769</v>
      </c>
      <c r="BE16" s="745">
        <f>SUM(BE14:BE15)</f>
        <v>-1878945.4640272241</v>
      </c>
      <c r="BF16" s="232">
        <f t="shared" si="11"/>
        <v>4</v>
      </c>
      <c r="BG16" s="374" t="s">
        <v>478</v>
      </c>
      <c r="BH16" s="613">
        <f>SUM(BH14:BH15)</f>
        <v>0</v>
      </c>
      <c r="BI16" s="613">
        <f>SUM(BI14:BI15)</f>
        <v>0</v>
      </c>
      <c r="BJ16" s="613">
        <f>SUM(BJ14:BJ15)</f>
        <v>0</v>
      </c>
    </row>
    <row r="17" spans="1:62" s="104" customFormat="1" ht="17.100000000000001" customHeight="1" thickTop="1" x14ac:dyDescent="0.2">
      <c r="A17" s="29">
        <f t="shared" si="1"/>
        <v>5</v>
      </c>
      <c r="B17" s="159" t="s">
        <v>527</v>
      </c>
      <c r="C17" s="139">
        <f>SUM(C14:C16)</f>
        <v>2058423958.96558</v>
      </c>
      <c r="D17" s="139">
        <f t="shared" ref="D17:E17" si="19">SUM(D14:D16)</f>
        <v>2026369614.5011609</v>
      </c>
      <c r="E17" s="139">
        <f t="shared" si="19"/>
        <v>-32054344.464419059</v>
      </c>
      <c r="F17" s="29">
        <f t="shared" si="2"/>
        <v>5</v>
      </c>
      <c r="G17" s="145" t="s">
        <v>531</v>
      </c>
      <c r="H17" s="122">
        <f>'[6]Annualize Elec  Deprec Lead '!C16</f>
        <v>3562844.0399999996</v>
      </c>
      <c r="I17" s="122">
        <f>'[6]Annualize Elec  Deprec Lead '!D16</f>
        <v>3562844.0399999996</v>
      </c>
      <c r="J17" s="164">
        <f t="shared" si="17"/>
        <v>0</v>
      </c>
      <c r="K17" s="29">
        <f t="shared" si="3"/>
        <v>5</v>
      </c>
      <c r="L17" s="145"/>
      <c r="M17" s="226"/>
      <c r="N17" s="47" t="s">
        <v>30</v>
      </c>
      <c r="O17" s="29">
        <f t="shared" si="4"/>
        <v>5</v>
      </c>
      <c r="P17" s="431" t="s">
        <v>529</v>
      </c>
      <c r="Q17" s="52"/>
      <c r="R17" s="167">
        <f>+Q13*Q15</f>
        <v>146932483.84096581</v>
      </c>
      <c r="S17" s="135">
        <f t="shared" si="5"/>
        <v>5</v>
      </c>
      <c r="T17" s="49" t="s">
        <v>163</v>
      </c>
      <c r="U17" s="33"/>
      <c r="V17" s="151">
        <f>V15/36*12</f>
        <v>-763743.3566666675</v>
      </c>
      <c r="W17" s="29">
        <f t="shared" si="6"/>
        <v>5</v>
      </c>
      <c r="X17" s="141"/>
      <c r="Y17" s="28"/>
      <c r="Z17" s="56"/>
      <c r="AA17" s="33"/>
      <c r="AB17" s="37">
        <f t="shared" si="13"/>
        <v>5</v>
      </c>
      <c r="AC17" s="44" t="s">
        <v>112</v>
      </c>
      <c r="AD17" s="85">
        <f>SUM(AD14:AD15)</f>
        <v>1782925.0189698064</v>
      </c>
      <c r="AE17" s="85">
        <f>SUM(AE14:AE15)</f>
        <v>3311910.9453982129</v>
      </c>
      <c r="AF17" s="85">
        <f>SUM(AF14:AF15)</f>
        <v>1528985.9264284065</v>
      </c>
      <c r="AG17" s="29">
        <f t="shared" si="7"/>
        <v>5</v>
      </c>
      <c r="AH17" s="159" t="s">
        <v>143</v>
      </c>
      <c r="AI17" s="194">
        <f>[8]Lead!C19</f>
        <v>18185672.66</v>
      </c>
      <c r="AJ17" s="33"/>
      <c r="AK17" s="33"/>
      <c r="AL17" s="605">
        <f t="shared" si="8"/>
        <v>5</v>
      </c>
      <c r="AM17" s="320" t="s">
        <v>427</v>
      </c>
      <c r="AN17" s="127">
        <f>+[12]Lead!C12</f>
        <v>116538099.3</v>
      </c>
      <c r="AO17" s="127">
        <f>+[12]Lead!D12</f>
        <v>110806488.07763225</v>
      </c>
      <c r="AP17" s="127">
        <f t="shared" si="9"/>
        <v>-5731611.2223677486</v>
      </c>
      <c r="AQ17" s="29">
        <f t="shared" si="0"/>
        <v>5</v>
      </c>
      <c r="AR17" s="141"/>
      <c r="AS17" s="410"/>
      <c r="AT17" s="410"/>
      <c r="AU17" s="226"/>
      <c r="AV17" s="29">
        <f t="shared" si="14"/>
        <v>5</v>
      </c>
      <c r="AW17" s="127" t="s">
        <v>487</v>
      </c>
      <c r="AX17" s="634">
        <f>'[5]Lead E'!C17</f>
        <v>12348155.889999999</v>
      </c>
      <c r="AY17" s="634">
        <f>'[5]Lead E'!D17</f>
        <v>12348156.650861852</v>
      </c>
      <c r="AZ17" s="634">
        <f t="shared" si="10"/>
        <v>0.76086185313761234</v>
      </c>
      <c r="BA17" s="739">
        <f t="shared" si="15"/>
        <v>5</v>
      </c>
      <c r="BB17" s="741"/>
      <c r="BC17" s="745"/>
      <c r="BD17" s="745"/>
      <c r="BE17" s="745"/>
      <c r="BF17" s="232">
        <f t="shared" si="11"/>
        <v>5</v>
      </c>
      <c r="BG17" s="374"/>
      <c r="BH17" s="85"/>
      <c r="BI17" s="85"/>
      <c r="BJ17" s="85"/>
    </row>
    <row r="18" spans="1:62" s="104" customFormat="1" ht="17.100000000000001" customHeight="1" x14ac:dyDescent="0.2">
      <c r="A18" s="29">
        <f t="shared" si="1"/>
        <v>6</v>
      </c>
      <c r="B18" s="159" t="s">
        <v>512</v>
      </c>
      <c r="C18" s="133"/>
      <c r="D18" s="133">
        <f>'[10]ERF Revenues Lead Sheet'!$D$17</f>
        <v>-7313211.1809644364</v>
      </c>
      <c r="E18" s="112">
        <f>D18-C18</f>
        <v>-7313211.1809644364</v>
      </c>
      <c r="F18" s="29">
        <f t="shared" si="2"/>
        <v>6</v>
      </c>
      <c r="G18" s="145" t="s">
        <v>532</v>
      </c>
      <c r="H18" s="240">
        <f>SUM(H15:H17)</f>
        <v>388389166.41425353</v>
      </c>
      <c r="I18" s="240">
        <f t="shared" ref="I18:J18" si="20">SUM(I15:I17)</f>
        <v>414197510.03777689</v>
      </c>
      <c r="J18" s="240">
        <f t="shared" si="20"/>
        <v>25808343.623523332</v>
      </c>
      <c r="K18" s="29">
        <f t="shared" si="3"/>
        <v>6</v>
      </c>
      <c r="L18" s="226" t="s">
        <v>242</v>
      </c>
      <c r="M18" s="70" t="s">
        <v>30</v>
      </c>
      <c r="N18" s="47">
        <f>'9.04E Annualize FIT'!D70</f>
        <v>-44616775.978601947</v>
      </c>
      <c r="O18" s="29">
        <f t="shared" si="4"/>
        <v>6</v>
      </c>
      <c r="P18" s="145"/>
      <c r="S18" s="135">
        <f t="shared" si="5"/>
        <v>6</v>
      </c>
      <c r="T18" s="30"/>
      <c r="U18" s="33"/>
      <c r="V18" s="133"/>
      <c r="W18" s="29">
        <f t="shared" si="6"/>
        <v>6</v>
      </c>
      <c r="X18" s="300" t="s">
        <v>152</v>
      </c>
      <c r="Y18" s="59"/>
      <c r="Z18" s="28"/>
      <c r="AA18" s="33"/>
      <c r="AB18" s="37">
        <f t="shared" si="13"/>
        <v>6</v>
      </c>
      <c r="AC18" s="44"/>
      <c r="AD18" s="49"/>
      <c r="AE18" s="49"/>
      <c r="AF18" s="49"/>
      <c r="AG18" s="29">
        <f>AG17+1</f>
        <v>6</v>
      </c>
      <c r="AH18" s="159" t="s">
        <v>144</v>
      </c>
      <c r="AI18" s="194">
        <f>[8]Lead!C20</f>
        <v>24157767.119999997</v>
      </c>
      <c r="AJ18" s="33"/>
      <c r="AK18" s="33"/>
      <c r="AL18" s="605">
        <f t="shared" si="8"/>
        <v>6</v>
      </c>
      <c r="AM18" s="316" t="s">
        <v>524</v>
      </c>
      <c r="AN18" s="127">
        <f>+[12]Lead!C13</f>
        <v>-116721927.84999999</v>
      </c>
      <c r="AO18" s="127">
        <f>+[12]Lead!D13</f>
        <v>-61442897.548596002</v>
      </c>
      <c r="AP18" s="127">
        <f t="shared" si="9"/>
        <v>55279030.301403992</v>
      </c>
      <c r="AQ18" s="29">
        <f t="shared" si="0"/>
        <v>6</v>
      </c>
      <c r="AR18" s="141" t="s">
        <v>271</v>
      </c>
      <c r="AS18" s="410"/>
      <c r="AT18" s="410">
        <f>+'[9]Lead E'!$E$17</f>
        <v>2.0000000000000001E-4</v>
      </c>
      <c r="AU18" s="226"/>
      <c r="AV18" s="29">
        <f t="shared" si="14"/>
        <v>6</v>
      </c>
      <c r="AW18" s="127" t="s">
        <v>488</v>
      </c>
      <c r="AX18" s="634">
        <f>'[5]Lead E'!C18</f>
        <v>82012096.74000001</v>
      </c>
      <c r="AY18" s="634">
        <f>'[5]Lead E'!D18</f>
        <v>82012095.988068312</v>
      </c>
      <c r="AZ18" s="634">
        <f t="shared" si="10"/>
        <v>-0.75193169713020325</v>
      </c>
      <c r="BA18" s="739">
        <f t="shared" si="15"/>
        <v>6</v>
      </c>
      <c r="BB18" s="740" t="s">
        <v>459</v>
      </c>
      <c r="BC18" s="745"/>
      <c r="BD18" s="745"/>
      <c r="BE18" s="745"/>
      <c r="BF18" s="232">
        <f t="shared" si="11"/>
        <v>6</v>
      </c>
      <c r="BG18" s="374"/>
      <c r="BH18" s="85"/>
      <c r="BI18" s="85"/>
      <c r="BJ18" s="85"/>
    </row>
    <row r="19" spans="1:62" s="104" customFormat="1" ht="17.100000000000001" customHeight="1" x14ac:dyDescent="0.2">
      <c r="A19" s="29">
        <f t="shared" si="1"/>
        <v>7</v>
      </c>
      <c r="B19" s="159" t="s">
        <v>526</v>
      </c>
      <c r="C19" s="566">
        <f>SUM(C17:C18)</f>
        <v>2058423958.96558</v>
      </c>
      <c r="D19" s="566">
        <f t="shared" ref="D19:E19" si="21">SUM(D17:D18)</f>
        <v>2019056403.3201964</v>
      </c>
      <c r="E19" s="566">
        <f t="shared" si="21"/>
        <v>-39367555.645383492</v>
      </c>
      <c r="F19" s="29">
        <f t="shared" si="2"/>
        <v>7</v>
      </c>
      <c r="G19" s="30"/>
      <c r="H19" s="163"/>
      <c r="I19" s="163"/>
      <c r="J19" s="163"/>
      <c r="K19" s="29">
        <f t="shared" si="3"/>
        <v>7</v>
      </c>
      <c r="L19" s="226" t="s">
        <v>268</v>
      </c>
      <c r="M19" s="70"/>
      <c r="N19" s="416"/>
      <c r="O19" s="29">
        <f t="shared" si="4"/>
        <v>7</v>
      </c>
      <c r="P19" s="431" t="s">
        <v>697</v>
      </c>
      <c r="Q19" s="322">
        <f>'E ERF Conv Factr'!D20</f>
        <v>0.21</v>
      </c>
      <c r="R19" s="167">
        <f>-R17*Q19</f>
        <v>-30855821.606602818</v>
      </c>
      <c r="S19" s="135">
        <f t="shared" si="5"/>
        <v>7</v>
      </c>
      <c r="T19" s="226" t="s">
        <v>698</v>
      </c>
      <c r="U19" s="33"/>
      <c r="V19" s="136">
        <f>'[7]Lead E'!$C$20</f>
        <v>-641255.50999999989</v>
      </c>
      <c r="W19" s="29">
        <f t="shared" si="6"/>
        <v>7</v>
      </c>
      <c r="X19" s="245" t="s">
        <v>180</v>
      </c>
      <c r="Y19" s="30"/>
      <c r="Z19" s="144"/>
      <c r="AA19" s="28"/>
      <c r="AB19" s="37">
        <f t="shared" si="13"/>
        <v>7</v>
      </c>
      <c r="AC19" s="44" t="s">
        <v>429</v>
      </c>
      <c r="AD19" s="241"/>
      <c r="AE19" s="241"/>
      <c r="AF19" s="143">
        <f>AF17</f>
        <v>1528985.9264284065</v>
      </c>
      <c r="AG19" s="29">
        <f t="shared" si="7"/>
        <v>7</v>
      </c>
      <c r="AH19" s="159" t="s">
        <v>145</v>
      </c>
      <c r="AI19" s="194">
        <f>[8]Lead!C21</f>
        <v>10437020.220000001</v>
      </c>
      <c r="AJ19" s="33"/>
      <c r="AK19" s="33"/>
      <c r="AL19" s="605">
        <f t="shared" si="8"/>
        <v>7</v>
      </c>
      <c r="AM19" s="316" t="s">
        <v>428</v>
      </c>
      <c r="AN19" s="127">
        <f>+[12]Lead!C14</f>
        <v>-9134513.7999999989</v>
      </c>
      <c r="AO19" s="127">
        <f>+[12]Lead!D14</f>
        <v>-13961272.227181885</v>
      </c>
      <c r="AP19" s="127">
        <f t="shared" si="9"/>
        <v>-4826758.4271818865</v>
      </c>
      <c r="AQ19" s="29">
        <f t="shared" si="0"/>
        <v>7</v>
      </c>
      <c r="AR19" s="159" t="s">
        <v>260</v>
      </c>
      <c r="AS19" s="410"/>
      <c r="AT19" s="623">
        <f>+AT18*AT13</f>
        <v>793410.73102499999</v>
      </c>
      <c r="AU19" s="226"/>
      <c r="AV19" s="29">
        <f t="shared" si="14"/>
        <v>7</v>
      </c>
      <c r="AW19" s="127" t="s">
        <v>489</v>
      </c>
      <c r="AX19" s="634">
        <f>'[5]Lead E'!C19</f>
        <v>18500000</v>
      </c>
      <c r="AY19" s="634">
        <f>'[5]Lead E'!D19</f>
        <v>18500000</v>
      </c>
      <c r="AZ19" s="634">
        <f t="shared" si="10"/>
        <v>0</v>
      </c>
      <c r="BA19" s="739">
        <f t="shared" si="15"/>
        <v>7</v>
      </c>
      <c r="BB19" s="742" t="s">
        <v>459</v>
      </c>
      <c r="BC19" s="744">
        <f>+'[13]Lead E'!$C$16</f>
        <v>4175228.57</v>
      </c>
      <c r="BD19" s="744">
        <f>+'[13]Lead E'!$D$16</f>
        <v>6553640.5497812955</v>
      </c>
      <c r="BE19" s="744">
        <f>BD19-BC19</f>
        <v>2378411.9797812956</v>
      </c>
      <c r="BF19" s="232">
        <f t="shared" si="11"/>
        <v>7</v>
      </c>
      <c r="BG19" s="614" t="s">
        <v>479</v>
      </c>
      <c r="BH19" s="615"/>
      <c r="BI19" s="615"/>
      <c r="BJ19" s="133"/>
    </row>
    <row r="20" spans="1:62" s="104" customFormat="1" ht="17.100000000000001" customHeight="1" x14ac:dyDescent="0.2">
      <c r="A20" s="29">
        <f t="shared" si="1"/>
        <v>8</v>
      </c>
      <c r="B20" s="159"/>
      <c r="C20" s="133"/>
      <c r="D20" s="133"/>
      <c r="E20" s="112"/>
      <c r="F20" s="29">
        <f t="shared" si="2"/>
        <v>8</v>
      </c>
      <c r="G20" s="56" t="s">
        <v>108</v>
      </c>
      <c r="H20" s="56"/>
      <c r="I20" s="56"/>
      <c r="J20" s="150">
        <f>J18</f>
        <v>25808343.623523332</v>
      </c>
      <c r="K20" s="29">
        <f t="shared" si="3"/>
        <v>8</v>
      </c>
      <c r="L20" s="226" t="s">
        <v>259</v>
      </c>
      <c r="M20" s="113" t="s">
        <v>30</v>
      </c>
      <c r="N20" s="133">
        <f>SUM(N16:N19)</f>
        <v>80509412.005343601</v>
      </c>
      <c r="O20" s="29">
        <f t="shared" si="4"/>
        <v>8</v>
      </c>
      <c r="Q20" s="585"/>
      <c r="R20" s="594"/>
      <c r="S20" s="135">
        <f t="shared" si="5"/>
        <v>8</v>
      </c>
      <c r="T20" s="28"/>
      <c r="U20" s="33"/>
      <c r="V20" s="133"/>
      <c r="W20" s="29">
        <f t="shared" si="6"/>
        <v>8</v>
      </c>
      <c r="X20" s="226" t="s">
        <v>150</v>
      </c>
      <c r="Y20" s="28"/>
      <c r="Z20" s="33">
        <f>'[14]E Lead'!$C$22</f>
        <v>-2570427.2394430283</v>
      </c>
      <c r="AA20" s="33"/>
      <c r="AB20" s="37">
        <f t="shared" si="13"/>
        <v>8</v>
      </c>
      <c r="AC20" s="44"/>
      <c r="AD20" s="241"/>
      <c r="AE20" s="241"/>
      <c r="AF20" s="143"/>
      <c r="AG20" s="29">
        <f t="shared" si="7"/>
        <v>8</v>
      </c>
      <c r="AH20" s="159" t="s">
        <v>146</v>
      </c>
      <c r="AI20" s="303">
        <f>[8]Lead!C22</f>
        <v>12215518.98</v>
      </c>
      <c r="AJ20" s="33"/>
      <c r="AK20" s="33"/>
      <c r="AL20" s="605">
        <f t="shared" si="8"/>
        <v>8</v>
      </c>
      <c r="AM20" s="316"/>
      <c r="AN20" s="127"/>
      <c r="AO20" s="127"/>
      <c r="AP20" s="127">
        <f t="shared" si="9"/>
        <v>0</v>
      </c>
      <c r="AQ20" s="605">
        <f t="shared" si="0"/>
        <v>8</v>
      </c>
      <c r="AR20" s="141"/>
      <c r="AS20" s="410"/>
      <c r="AT20" s="410"/>
      <c r="AU20" s="410"/>
      <c r="AV20" s="29">
        <f t="shared" si="14"/>
        <v>8</v>
      </c>
      <c r="AW20" s="127" t="s">
        <v>490</v>
      </c>
      <c r="AX20" s="634">
        <f>'[5]Lead E'!C20</f>
        <v>749999.69</v>
      </c>
      <c r="AY20" s="634">
        <f>'[5]Lead E'!D20</f>
        <v>750000.00000000524</v>
      </c>
      <c r="AZ20" s="634">
        <f t="shared" si="10"/>
        <v>0.31000000529456884</v>
      </c>
      <c r="BA20" s="739">
        <f t="shared" si="15"/>
        <v>8</v>
      </c>
      <c r="BB20" s="741" t="s">
        <v>460</v>
      </c>
      <c r="BC20" s="745"/>
      <c r="BD20" s="745"/>
      <c r="BE20" s="745"/>
      <c r="BF20" s="232">
        <f t="shared" si="11"/>
        <v>8</v>
      </c>
      <c r="BG20" s="616" t="s">
        <v>480</v>
      </c>
      <c r="BH20" s="612">
        <f>+'[15]Lead E'!$C$12</f>
        <v>-1525274</v>
      </c>
      <c r="BI20" s="612">
        <f>+'[15]Lead E'!$D$12</f>
        <v>0</v>
      </c>
      <c r="BJ20" s="298">
        <f>BI20-BH20</f>
        <v>1525274</v>
      </c>
    </row>
    <row r="21" spans="1:62" s="104" customFormat="1" ht="17.100000000000001" customHeight="1" x14ac:dyDescent="0.2">
      <c r="A21" s="29">
        <f t="shared" si="1"/>
        <v>9</v>
      </c>
      <c r="B21" s="159"/>
      <c r="C21" s="133"/>
      <c r="D21" s="133"/>
      <c r="E21" s="112"/>
      <c r="F21" s="29">
        <f t="shared" si="2"/>
        <v>9</v>
      </c>
      <c r="G21" s="56"/>
      <c r="I21" s="56"/>
      <c r="K21" s="605">
        <f t="shared" si="3"/>
        <v>9</v>
      </c>
      <c r="L21" s="226"/>
      <c r="M21" s="113"/>
      <c r="N21" s="133"/>
      <c r="O21" s="29">
        <f t="shared" si="4"/>
        <v>9</v>
      </c>
      <c r="P21" s="226" t="s">
        <v>102</v>
      </c>
      <c r="R21" s="592">
        <f>R19</f>
        <v>-30855821.606602818</v>
      </c>
      <c r="S21" s="135">
        <f t="shared" si="5"/>
        <v>9</v>
      </c>
      <c r="T21" s="226"/>
      <c r="U21" s="113"/>
      <c r="V21" s="133"/>
      <c r="W21" s="29">
        <f>W20+1</f>
        <v>9</v>
      </c>
      <c r="X21" s="141" t="s">
        <v>113</v>
      </c>
      <c r="Y21" s="28"/>
      <c r="Z21" s="33"/>
      <c r="AA21" s="246">
        <f>Z20/5</f>
        <v>-514085.44788860565</v>
      </c>
      <c r="AB21" s="37">
        <f t="shared" si="13"/>
        <v>9</v>
      </c>
      <c r="AC21" s="44"/>
      <c r="AD21" s="241"/>
      <c r="AE21" s="241"/>
      <c r="AF21" s="143"/>
      <c r="AG21" s="605">
        <f t="shared" si="7"/>
        <v>9</v>
      </c>
      <c r="AH21" s="159"/>
      <c r="AI21" s="192"/>
      <c r="AJ21" s="113"/>
      <c r="AK21" s="113"/>
      <c r="AL21" s="605">
        <f t="shared" si="8"/>
        <v>9</v>
      </c>
      <c r="AM21" s="316"/>
      <c r="AN21" s="127"/>
      <c r="AO21" s="127"/>
      <c r="AP21" s="127"/>
      <c r="AQ21" s="605">
        <f t="shared" si="0"/>
        <v>9</v>
      </c>
      <c r="AR21" s="141"/>
      <c r="AS21" s="410"/>
      <c r="AT21" s="410"/>
      <c r="AU21" s="410"/>
      <c r="AV21" s="29">
        <f>+AV20+1</f>
        <v>9</v>
      </c>
      <c r="AW21" s="127" t="s">
        <v>491</v>
      </c>
      <c r="AX21" s="634">
        <f>'[5]Lead E'!C21</f>
        <v>0</v>
      </c>
      <c r="AY21" s="634">
        <f>'[5]Lead E'!D21</f>
        <v>0</v>
      </c>
      <c r="AZ21" s="634">
        <f t="shared" si="10"/>
        <v>0</v>
      </c>
      <c r="BA21" s="739">
        <f t="shared" si="15"/>
        <v>9</v>
      </c>
      <c r="BB21" s="741"/>
      <c r="BC21" s="745"/>
      <c r="BD21" s="745"/>
      <c r="BE21" s="745"/>
      <c r="BF21" s="232">
        <f t="shared" si="11"/>
        <v>9</v>
      </c>
      <c r="BG21" s="616"/>
      <c r="BH21" s="612"/>
      <c r="BI21" s="612"/>
      <c r="BJ21" s="298"/>
    </row>
    <row r="22" spans="1:62" s="104" customFormat="1" ht="17.100000000000001" customHeight="1" x14ac:dyDescent="0.2">
      <c r="A22" s="29">
        <f t="shared" si="1"/>
        <v>10</v>
      </c>
      <c r="B22" s="174" t="s">
        <v>8</v>
      </c>
      <c r="C22" s="133"/>
      <c r="D22" s="133"/>
      <c r="E22" s="112"/>
      <c r="F22" s="605">
        <f t="shared" si="2"/>
        <v>10</v>
      </c>
      <c r="G22" s="58"/>
      <c r="I22" s="58"/>
      <c r="K22" s="605">
        <f t="shared" si="3"/>
        <v>10</v>
      </c>
      <c r="L22" s="226" t="s">
        <v>658</v>
      </c>
      <c r="M22" s="44"/>
      <c r="N22" s="47" t="s">
        <v>30</v>
      </c>
      <c r="O22" s="29">
        <f t="shared" si="4"/>
        <v>10</v>
      </c>
      <c r="R22" s="595"/>
      <c r="S22" s="135">
        <f t="shared" si="5"/>
        <v>10</v>
      </c>
      <c r="T22" s="226"/>
      <c r="U22" s="113"/>
      <c r="V22" s="133"/>
      <c r="W22" s="29">
        <f t="shared" ref="W22:W31" si="22">W21+1</f>
        <v>10</v>
      </c>
      <c r="X22" s="159"/>
      <c r="Y22" s="134"/>
      <c r="Z22" s="28"/>
      <c r="AA22" s="226"/>
      <c r="AB22" s="37">
        <f t="shared" si="13"/>
        <v>10</v>
      </c>
      <c r="AC22" s="44" t="s">
        <v>136</v>
      </c>
      <c r="AD22" s="241"/>
      <c r="AE22" s="243">
        <v>0.21</v>
      </c>
      <c r="AF22" s="244">
        <f>-AF19*AE22</f>
        <v>-321087.04454996536</v>
      </c>
      <c r="AG22" s="605">
        <f t="shared" si="7"/>
        <v>10</v>
      </c>
      <c r="AH22" s="159"/>
      <c r="AI22" s="192"/>
      <c r="AJ22" s="113"/>
      <c r="AK22" s="113"/>
      <c r="AL22" s="605">
        <f t="shared" si="8"/>
        <v>10</v>
      </c>
      <c r="AM22" s="226"/>
      <c r="AN22" s="554">
        <f>SUM(AN14:AN20)</f>
        <v>682763618.25164366</v>
      </c>
      <c r="AO22" s="554">
        <f>SUM(AO14:AO20)</f>
        <v>689215725.66408193</v>
      </c>
      <c r="AP22" s="554">
        <f>SUM(AP14:AP20)</f>
        <v>6452107.4124384057</v>
      </c>
      <c r="AQ22" s="605">
        <f t="shared" si="0"/>
        <v>10</v>
      </c>
      <c r="AR22" s="105" t="s">
        <v>661</v>
      </c>
      <c r="AS22" s="624"/>
      <c r="AT22" s="625"/>
      <c r="AU22" s="298">
        <f>AT19+AT16</f>
        <v>1358715.8768803123</v>
      </c>
      <c r="AV22" s="29">
        <f t="shared" si="14"/>
        <v>10</v>
      </c>
      <c r="AW22" s="127" t="s">
        <v>492</v>
      </c>
      <c r="AX22" s="634">
        <f>'[5]Lead E'!C22</f>
        <v>61189384.369999997</v>
      </c>
      <c r="AY22" s="634">
        <f>'[5]Lead E'!D22</f>
        <v>61188737.604696095</v>
      </c>
      <c r="AZ22" s="634">
        <f t="shared" si="10"/>
        <v>-646.76530390232801</v>
      </c>
      <c r="BA22" s="739">
        <f t="shared" si="15"/>
        <v>10</v>
      </c>
      <c r="BB22" s="741"/>
      <c r="BC22" s="745"/>
      <c r="BD22" s="745"/>
      <c r="BE22" s="745"/>
      <c r="BF22" s="232">
        <f t="shared" si="11"/>
        <v>10</v>
      </c>
      <c r="BG22" s="374" t="s">
        <v>481</v>
      </c>
      <c r="BH22" s="617">
        <f>SUM(BH20:BH20)</f>
        <v>-1525274</v>
      </c>
      <c r="BI22" s="617">
        <f>SUM(BI20:BI20)</f>
        <v>0</v>
      </c>
      <c r="BJ22" s="617">
        <f>SUM(BJ20:BJ20)</f>
        <v>1525274</v>
      </c>
    </row>
    <row r="23" spans="1:62" s="104" customFormat="1" ht="17.100000000000001" customHeight="1" thickBot="1" x14ac:dyDescent="0.25">
      <c r="A23" s="29">
        <f t="shared" si="1"/>
        <v>11</v>
      </c>
      <c r="B23" s="247" t="s">
        <v>155</v>
      </c>
      <c r="C23" s="133">
        <f>+'[10]ERF Revenues Lead Sheet'!C21</f>
        <v>7814835.3599999994</v>
      </c>
      <c r="D23" s="133">
        <f>+'[10]ERF Revenues Lead Sheet'!D21</f>
        <v>0</v>
      </c>
      <c r="E23" s="112">
        <f>D23-C23</f>
        <v>-7814835.3599999994</v>
      </c>
      <c r="F23" s="605">
        <f t="shared" si="2"/>
        <v>11</v>
      </c>
      <c r="G23" s="58" t="s">
        <v>102</v>
      </c>
      <c r="H23" s="200"/>
      <c r="I23" s="200">
        <v>0.21</v>
      </c>
      <c r="J23" s="47">
        <f>-J20*I23</f>
        <v>-5419752.1609398993</v>
      </c>
      <c r="K23" s="605">
        <f t="shared" si="3"/>
        <v>11</v>
      </c>
      <c r="L23" s="145" t="s">
        <v>248</v>
      </c>
      <c r="M23" s="116"/>
      <c r="N23" s="137">
        <f>'ERF Main Summary'!G40</f>
        <v>74987434.19286257</v>
      </c>
      <c r="O23" s="29">
        <f t="shared" si="4"/>
        <v>11</v>
      </c>
      <c r="P23" s="226" t="s">
        <v>84</v>
      </c>
      <c r="Q23" s="52"/>
      <c r="R23" s="593">
        <f>-R21</f>
        <v>30855821.606602818</v>
      </c>
      <c r="S23" s="135">
        <f t="shared" si="5"/>
        <v>11</v>
      </c>
      <c r="T23" s="28" t="s">
        <v>164</v>
      </c>
      <c r="U23" s="33"/>
      <c r="V23" s="33">
        <f>V17-V19</f>
        <v>-122487.84666666761</v>
      </c>
      <c r="W23" s="29">
        <f t="shared" si="22"/>
        <v>11</v>
      </c>
      <c r="X23" s="141" t="s">
        <v>111</v>
      </c>
      <c r="Y23" s="28"/>
      <c r="Z23" s="28"/>
      <c r="AA23" s="60">
        <f>SUM(AA16:AA21)</f>
        <v>1423784.9881113945</v>
      </c>
      <c r="AB23" s="37">
        <f t="shared" si="13"/>
        <v>11</v>
      </c>
      <c r="AC23" s="44"/>
      <c r="AD23" s="241"/>
      <c r="AE23" s="243"/>
      <c r="AF23" s="164"/>
      <c r="AG23" s="29">
        <f t="shared" si="7"/>
        <v>11</v>
      </c>
      <c r="AH23" s="141" t="s">
        <v>174</v>
      </c>
      <c r="AI23" s="133">
        <f>SUM(AI15:AI20)</f>
        <v>65046164.859999999</v>
      </c>
      <c r="AJ23" s="33"/>
      <c r="AK23" s="33"/>
      <c r="AL23" s="29">
        <f t="shared" si="8"/>
        <v>11</v>
      </c>
      <c r="AM23" s="320"/>
      <c r="AN23" s="127"/>
      <c r="AO23" s="127"/>
      <c r="AP23" s="127"/>
      <c r="AQ23" s="29">
        <f t="shared" si="0"/>
        <v>11</v>
      </c>
      <c r="AR23" s="105" t="s">
        <v>662</v>
      </c>
      <c r="AS23" s="624"/>
      <c r="AT23" s="626"/>
      <c r="AU23" s="597">
        <f>+'[9]Lead E'!$E$21</f>
        <v>1525682.69</v>
      </c>
      <c r="AV23" s="29">
        <f t="shared" si="14"/>
        <v>11</v>
      </c>
      <c r="AW23" s="127" t="s">
        <v>493</v>
      </c>
      <c r="AX23" s="634">
        <f>'[5]Lead E'!C23</f>
        <v>8418581.6999999993</v>
      </c>
      <c r="AY23" s="634">
        <f>'[5]Lead E'!D23</f>
        <v>8418581.8744743615</v>
      </c>
      <c r="AZ23" s="634">
        <f t="shared" si="10"/>
        <v>0.17447436228394508</v>
      </c>
      <c r="BA23" s="739">
        <f t="shared" si="15"/>
        <v>11</v>
      </c>
      <c r="BB23" s="44" t="s">
        <v>461</v>
      </c>
      <c r="BC23" s="745"/>
      <c r="BD23" s="745"/>
      <c r="BE23" s="745">
        <f>BE19</f>
        <v>2378411.9797812956</v>
      </c>
      <c r="BF23" s="232">
        <f t="shared" si="11"/>
        <v>11</v>
      </c>
      <c r="BG23" s="618"/>
      <c r="BH23" s="619"/>
      <c r="BI23" s="619"/>
      <c r="BJ23" s="619"/>
    </row>
    <row r="24" spans="1:62" s="104" customFormat="1" ht="17.100000000000001" customHeight="1" thickTop="1" thickBot="1" x14ac:dyDescent="0.25">
      <c r="A24" s="29">
        <f t="shared" si="1"/>
        <v>12</v>
      </c>
      <c r="B24" s="159" t="s">
        <v>156</v>
      </c>
      <c r="C24" s="133">
        <f>+'[10]ERF Revenues Lead Sheet'!C22</f>
        <v>-6288479.8899999997</v>
      </c>
      <c r="D24" s="133">
        <f>+'[10]ERF Revenues Lead Sheet'!D22</f>
        <v>0</v>
      </c>
      <c r="E24" s="112">
        <f>D24-C24</f>
        <v>6288479.8899999997</v>
      </c>
      <c r="F24" s="605">
        <f t="shared" si="2"/>
        <v>12</v>
      </c>
      <c r="G24" s="56" t="s">
        <v>84</v>
      </c>
      <c r="H24" s="56"/>
      <c r="I24" s="137"/>
      <c r="J24" s="142">
        <f>-J20-J23</f>
        <v>-20388591.462583434</v>
      </c>
      <c r="K24" s="605">
        <f t="shared" si="3"/>
        <v>12</v>
      </c>
      <c r="L24" s="226" t="s">
        <v>520</v>
      </c>
      <c r="M24" s="47"/>
      <c r="N24" s="137">
        <f>'ERF Main Summary'!G41</f>
        <v>8124947.3520550281</v>
      </c>
      <c r="O24" s="29"/>
      <c r="P24" s="134"/>
      <c r="Q24" s="134"/>
      <c r="R24" s="134"/>
      <c r="S24" s="135">
        <f t="shared" si="5"/>
        <v>12</v>
      </c>
      <c r="T24" s="28"/>
      <c r="U24" s="33"/>
      <c r="V24" s="133"/>
      <c r="W24" s="29">
        <f t="shared" si="22"/>
        <v>12</v>
      </c>
      <c r="X24" s="141"/>
      <c r="Y24" s="226"/>
      <c r="Z24" s="226"/>
      <c r="AA24" s="125"/>
      <c r="AB24" s="37">
        <f t="shared" si="13"/>
        <v>12</v>
      </c>
      <c r="AC24" s="44" t="s">
        <v>84</v>
      </c>
      <c r="AD24" s="241"/>
      <c r="AE24" s="241"/>
      <c r="AF24" s="201">
        <f>-AF19-AF22</f>
        <v>-1207898.8818784412</v>
      </c>
      <c r="AG24" s="29">
        <f t="shared" si="7"/>
        <v>12</v>
      </c>
      <c r="AH24" s="141" t="s">
        <v>183</v>
      </c>
      <c r="AI24" s="33"/>
      <c r="AJ24" s="33">
        <f>(AI23/48)*12</f>
        <v>16261541.215</v>
      </c>
      <c r="AK24" s="133"/>
      <c r="AL24" s="29">
        <f t="shared" si="8"/>
        <v>12</v>
      </c>
      <c r="AM24" s="226" t="s">
        <v>660</v>
      </c>
      <c r="AN24" s="127">
        <f>+[12]Lead!C17</f>
        <v>10766859.979999999</v>
      </c>
      <c r="AO24" s="127">
        <f>+[12]Lead!D17</f>
        <v>13264558.913095752</v>
      </c>
      <c r="AP24" s="127">
        <f t="shared" ref="AP24" si="23">+AO24-AN24</f>
        <v>2497698.9330957532</v>
      </c>
      <c r="AQ24" s="29">
        <f t="shared" si="0"/>
        <v>12</v>
      </c>
      <c r="AR24" s="105" t="s">
        <v>238</v>
      </c>
      <c r="AS24" s="627"/>
      <c r="AT24" s="625"/>
      <c r="AU24" s="628">
        <f>AU23-AU22</f>
        <v>166966.81311968761</v>
      </c>
      <c r="AV24" s="29">
        <f t="shared" si="14"/>
        <v>12</v>
      </c>
      <c r="AW24" s="127" t="s">
        <v>494</v>
      </c>
      <c r="AX24" s="634">
        <f>'[5]Lead E'!C24</f>
        <v>0</v>
      </c>
      <c r="AY24" s="634">
        <f>'[5]Lead E'!D24</f>
        <v>0.16838636322063394</v>
      </c>
      <c r="AZ24" s="634">
        <f t="shared" si="10"/>
        <v>0.16838636322063394</v>
      </c>
      <c r="BA24" s="739">
        <f t="shared" si="15"/>
        <v>12</v>
      </c>
      <c r="BB24" s="741"/>
      <c r="BC24" s="745"/>
      <c r="BD24" s="745"/>
      <c r="BE24" s="745"/>
      <c r="BF24" s="232">
        <f t="shared" si="11"/>
        <v>12</v>
      </c>
      <c r="BG24" s="608" t="s">
        <v>471</v>
      </c>
      <c r="BH24" s="641">
        <v>0.21</v>
      </c>
      <c r="BI24" s="141"/>
      <c r="BJ24" s="634">
        <f>-BJ22*BH24</f>
        <v>-320307.53999999998</v>
      </c>
    </row>
    <row r="25" spans="1:62" s="104" customFormat="1" ht="17.100000000000001" customHeight="1" thickTop="1" thickBot="1" x14ac:dyDescent="0.25">
      <c r="A25" s="29">
        <f t="shared" si="1"/>
        <v>13</v>
      </c>
      <c r="B25" s="235" t="s">
        <v>141</v>
      </c>
      <c r="C25" s="133">
        <f>+'[10]ERF Revenues Lead Sheet'!C23</f>
        <v>-24054569</v>
      </c>
      <c r="D25" s="133">
        <f>+'[10]ERF Revenues Lead Sheet'!D23</f>
        <v>0</v>
      </c>
      <c r="E25" s="112">
        <f>D25-C25</f>
        <v>24054569</v>
      </c>
      <c r="F25" s="605">
        <f t="shared" si="2"/>
        <v>13</v>
      </c>
      <c r="G25" s="153"/>
      <c r="H25" s="56"/>
      <c r="I25" s="56"/>
      <c r="J25" s="56"/>
      <c r="K25" s="605">
        <f t="shared" si="3"/>
        <v>13</v>
      </c>
      <c r="L25" s="226"/>
      <c r="M25" s="47"/>
      <c r="N25" s="137"/>
      <c r="O25" s="134"/>
      <c r="P25" s="134"/>
      <c r="Q25" s="134"/>
      <c r="R25" s="134"/>
      <c r="S25" s="135">
        <f t="shared" si="5"/>
        <v>13</v>
      </c>
      <c r="T25" s="146" t="s">
        <v>102</v>
      </c>
      <c r="U25" s="200">
        <v>0.21</v>
      </c>
      <c r="V25" s="158">
        <f>-V23*U25</f>
        <v>25722.447800000198</v>
      </c>
      <c r="W25" s="29">
        <f t="shared" si="22"/>
        <v>13</v>
      </c>
      <c r="X25" s="606" t="s">
        <v>659</v>
      </c>
      <c r="Y25" s="226"/>
      <c r="Z25" s="226"/>
      <c r="AA25" s="246">
        <f>'[14]E Lead'!$D$27</f>
        <v>761648.42999999993</v>
      </c>
      <c r="AB25" s="37">
        <f t="shared" si="13"/>
        <v>13</v>
      </c>
      <c r="AC25" s="28"/>
      <c r="AD25" s="134"/>
      <c r="AE25" s="134"/>
      <c r="AF25" s="134"/>
      <c r="AG25" s="29">
        <f t="shared" si="7"/>
        <v>13</v>
      </c>
      <c r="AL25" s="29">
        <f t="shared" si="8"/>
        <v>13</v>
      </c>
      <c r="AQ25" s="29">
        <f t="shared" si="0"/>
        <v>13</v>
      </c>
      <c r="AR25" s="141"/>
      <c r="AS25" s="629"/>
      <c r="AT25" s="629" t="s">
        <v>30</v>
      </c>
      <c r="AU25" s="629" t="s">
        <v>30</v>
      </c>
      <c r="AV25" s="29">
        <f t="shared" si="14"/>
        <v>13</v>
      </c>
      <c r="AW25" s="127" t="s">
        <v>495</v>
      </c>
      <c r="AX25" s="634">
        <f>'[5]Lead E'!C25</f>
        <v>98747.76</v>
      </c>
      <c r="AY25" s="634">
        <f>'[5]Lead E'!D25</f>
        <v>106146.39948313065</v>
      </c>
      <c r="AZ25" s="634">
        <f t="shared" si="10"/>
        <v>7398.6394831306534</v>
      </c>
      <c r="BA25" s="739">
        <f t="shared" si="15"/>
        <v>13</v>
      </c>
      <c r="BB25" s="105" t="s">
        <v>462</v>
      </c>
      <c r="BC25" s="745"/>
      <c r="BD25" s="71">
        <f>C39</f>
        <v>0.21</v>
      </c>
      <c r="BE25" s="745">
        <f>-BE23*BD25</f>
        <v>-499466.51575407205</v>
      </c>
      <c r="BF25" s="232">
        <f t="shared" si="11"/>
        <v>13</v>
      </c>
      <c r="BG25" s="608" t="s">
        <v>84</v>
      </c>
      <c r="BH25" s="641"/>
      <c r="BI25" s="58"/>
      <c r="BJ25" s="738">
        <f>-BJ22-BJ24</f>
        <v>-1204966.46</v>
      </c>
    </row>
    <row r="26" spans="1:62" s="104" customFormat="1" ht="17.100000000000001" customHeight="1" thickTop="1" thickBot="1" x14ac:dyDescent="0.25">
      <c r="A26" s="29">
        <f t="shared" si="1"/>
        <v>14</v>
      </c>
      <c r="B26" s="235" t="s">
        <v>416</v>
      </c>
      <c r="C26" s="139">
        <f>SUM(C23:C25)</f>
        <v>-22528213.530000001</v>
      </c>
      <c r="D26" s="139">
        <f>SUM(D23:D25)</f>
        <v>0</v>
      </c>
      <c r="E26" s="139">
        <f>SUM(E23:E25)</f>
        <v>22528213.530000001</v>
      </c>
      <c r="F26" s="605">
        <f t="shared" si="2"/>
        <v>14</v>
      </c>
      <c r="G26" s="56" t="s">
        <v>107</v>
      </c>
      <c r="H26" s="56"/>
      <c r="I26" s="56"/>
      <c r="J26" s="56"/>
      <c r="K26" s="605">
        <f t="shared" si="3"/>
        <v>14</v>
      </c>
      <c r="L26" s="226" t="s">
        <v>234</v>
      </c>
      <c r="M26" s="145"/>
      <c r="N26" s="330"/>
      <c r="O26" s="134"/>
      <c r="P26" s="134"/>
      <c r="Q26" s="134"/>
      <c r="R26" s="134"/>
      <c r="S26" s="135">
        <f t="shared" si="5"/>
        <v>14</v>
      </c>
      <c r="T26" s="56"/>
      <c r="U26" s="33"/>
      <c r="V26" s="133"/>
      <c r="W26" s="29">
        <f t="shared" si="22"/>
        <v>14</v>
      </c>
      <c r="X26" s="141"/>
      <c r="Y26" s="226"/>
      <c r="Z26" s="226"/>
      <c r="AA26" s="125"/>
      <c r="AB26" s="37">
        <f t="shared" si="13"/>
        <v>14</v>
      </c>
      <c r="AC26" s="134"/>
      <c r="AD26" s="134"/>
      <c r="AE26" s="134"/>
      <c r="AF26" s="134"/>
      <c r="AG26" s="29">
        <f t="shared" si="7"/>
        <v>14</v>
      </c>
      <c r="AH26" s="238" t="s">
        <v>148</v>
      </c>
      <c r="AI26" s="192"/>
      <c r="AJ26" s="113"/>
      <c r="AK26" s="133"/>
      <c r="AL26" s="605">
        <f t="shared" si="8"/>
        <v>14</v>
      </c>
      <c r="AM26" s="555" t="s">
        <v>429</v>
      </c>
      <c r="AN26" s="556"/>
      <c r="AO26" s="556"/>
      <c r="AP26" s="115">
        <f>-AP22-AP24</f>
        <v>-8949806.3455341589</v>
      </c>
      <c r="AQ26" s="29">
        <f t="shared" si="0"/>
        <v>14</v>
      </c>
      <c r="AR26" s="105" t="s">
        <v>471</v>
      </c>
      <c r="AS26" s="620"/>
      <c r="AT26" s="410"/>
      <c r="AU26" s="736">
        <f>+'[9]Lead E'!$E$24</f>
        <v>31577.485055134377</v>
      </c>
      <c r="AV26" s="29">
        <f t="shared" si="14"/>
        <v>14</v>
      </c>
      <c r="AW26" s="127" t="s">
        <v>496</v>
      </c>
      <c r="AX26" s="634">
        <f>'[5]Lead E'!C26</f>
        <v>-564327.78</v>
      </c>
      <c r="AY26" s="634">
        <f>'[5]Lead E'!D26</f>
        <v>-113841.76161088841</v>
      </c>
      <c r="AZ26" s="634">
        <f t="shared" si="10"/>
        <v>450486.01838911162</v>
      </c>
      <c r="BA26" s="739">
        <f t="shared" si="15"/>
        <v>14</v>
      </c>
      <c r="BB26" s="105" t="s">
        <v>463</v>
      </c>
      <c r="BC26" s="745"/>
      <c r="BD26" s="745"/>
      <c r="BE26" s="746">
        <f>-BE23-BE25</f>
        <v>-1878945.4640272236</v>
      </c>
    </row>
    <row r="27" spans="1:62" s="104" customFormat="1" ht="17.100000000000001" customHeight="1" thickTop="1" thickBot="1" x14ac:dyDescent="0.25">
      <c r="A27" s="29">
        <f t="shared" si="1"/>
        <v>15</v>
      </c>
      <c r="B27" s="235"/>
      <c r="F27" s="605">
        <f t="shared" si="2"/>
        <v>15</v>
      </c>
      <c r="G27" s="56" t="s">
        <v>165</v>
      </c>
      <c r="H27" s="144"/>
      <c r="I27" s="56"/>
      <c r="J27" s="150">
        <f>-J20</f>
        <v>-25808343.623523332</v>
      </c>
      <c r="K27" s="605">
        <f t="shared" si="3"/>
        <v>15</v>
      </c>
      <c r="L27" s="145" t="s">
        <v>657</v>
      </c>
      <c r="M27" s="107"/>
      <c r="N27" s="137">
        <f>N23+N24+N25+N26</f>
        <v>83112381.544917598</v>
      </c>
      <c r="O27" s="134"/>
      <c r="P27" s="134"/>
      <c r="Q27" s="134"/>
      <c r="R27" s="134"/>
      <c r="S27" s="135">
        <f t="shared" si="5"/>
        <v>15</v>
      </c>
      <c r="T27" s="56" t="s">
        <v>84</v>
      </c>
      <c r="U27" s="71"/>
      <c r="V27" s="201">
        <f>-V23-V25</f>
        <v>96765.398866667412</v>
      </c>
      <c r="W27" s="29">
        <f t="shared" si="22"/>
        <v>15</v>
      </c>
      <c r="X27" s="155" t="s">
        <v>153</v>
      </c>
      <c r="Y27" s="226"/>
      <c r="Z27" s="226"/>
      <c r="AA27" s="127">
        <f>AA23-AA25</f>
        <v>662136.55811139452</v>
      </c>
      <c r="AB27" s="37">
        <f t="shared" si="13"/>
        <v>15</v>
      </c>
      <c r="AC27" s="134"/>
      <c r="AD27" s="134"/>
      <c r="AE27" s="134"/>
      <c r="AF27" s="134"/>
      <c r="AG27" s="29">
        <f t="shared" si="7"/>
        <v>15</v>
      </c>
      <c r="AH27" s="159" t="s">
        <v>147</v>
      </c>
      <c r="AI27" s="192">
        <f>[8]Lead!$C$27</f>
        <v>54368273.069999993</v>
      </c>
      <c r="AJ27" s="133"/>
      <c r="AK27" s="133"/>
      <c r="AL27" s="605">
        <f t="shared" si="8"/>
        <v>15</v>
      </c>
      <c r="AM27" s="555" t="s">
        <v>136</v>
      </c>
      <c r="AN27" s="556"/>
      <c r="AO27" s="557">
        <v>0.21</v>
      </c>
      <c r="AP27" s="736">
        <f>-AO27*AP26</f>
        <v>1879459.3325621733</v>
      </c>
      <c r="AQ27" s="29">
        <f t="shared" si="0"/>
        <v>15</v>
      </c>
      <c r="AR27" s="105" t="s">
        <v>84</v>
      </c>
      <c r="AS27" s="620"/>
      <c r="AT27" s="621"/>
      <c r="AU27" s="737">
        <f>AU24-AU26</f>
        <v>135389.32806455324</v>
      </c>
      <c r="AV27" s="29">
        <f t="shared" si="14"/>
        <v>15</v>
      </c>
      <c r="AW27" s="127" t="s">
        <v>497</v>
      </c>
      <c r="AX27" s="634">
        <f>'[5]Lead E'!C27</f>
        <v>3601267.0599999996</v>
      </c>
      <c r="AY27" s="634">
        <f>'[5]Lead E'!D27</f>
        <v>3601269.9318297999</v>
      </c>
      <c r="AZ27" s="634">
        <f t="shared" si="10"/>
        <v>2.8718298003077507</v>
      </c>
      <c r="BA27" s="642"/>
      <c r="BB27" s="642"/>
      <c r="BC27" s="642"/>
      <c r="BD27" s="642"/>
      <c r="BE27" s="642"/>
    </row>
    <row r="28" spans="1:62" s="104" customFormat="1" ht="17.100000000000001" customHeight="1" thickTop="1" thickBot="1" x14ac:dyDescent="0.25">
      <c r="A28" s="29">
        <f t="shared" si="1"/>
        <v>16</v>
      </c>
      <c r="B28" s="141" t="s">
        <v>157</v>
      </c>
      <c r="C28" s="139">
        <f>C19+C26</f>
        <v>2035895745.43558</v>
      </c>
      <c r="D28" s="139">
        <f>D19+D26</f>
        <v>2019056403.3201964</v>
      </c>
      <c r="E28" s="139">
        <f>E19+E26</f>
        <v>-16839342.115383491</v>
      </c>
      <c r="F28" s="605">
        <f t="shared" si="2"/>
        <v>16</v>
      </c>
      <c r="G28" s="145" t="s">
        <v>75</v>
      </c>
      <c r="H28" s="148"/>
      <c r="I28" s="147"/>
      <c r="J28" s="122">
        <f>'[6]Annualize Elec  Deprec Lead '!$E$26</f>
        <v>5419752.1609399002</v>
      </c>
      <c r="K28" s="605">
        <f t="shared" si="3"/>
        <v>16</v>
      </c>
      <c r="L28" s="226"/>
      <c r="M28" s="107"/>
      <c r="N28" s="137"/>
      <c r="O28" s="134"/>
      <c r="P28" s="134"/>
      <c r="Q28" s="134"/>
      <c r="R28" s="134"/>
      <c r="S28" s="28"/>
      <c r="T28" s="146"/>
      <c r="U28" s="146"/>
      <c r="V28" s="146"/>
      <c r="W28" s="29">
        <f t="shared" si="22"/>
        <v>16</v>
      </c>
      <c r="X28" s="141"/>
      <c r="Y28" s="30"/>
      <c r="Z28" s="28"/>
      <c r="AA28" s="134"/>
      <c r="AB28" s="37">
        <f t="shared" si="13"/>
        <v>16</v>
      </c>
      <c r="AC28" s="301" t="s">
        <v>181</v>
      </c>
      <c r="AD28" s="134"/>
      <c r="AE28" s="134"/>
      <c r="AF28" s="134"/>
      <c r="AG28" s="29">
        <f t="shared" si="7"/>
        <v>16</v>
      </c>
      <c r="AH28" s="141" t="s">
        <v>184</v>
      </c>
      <c r="AI28" s="133"/>
      <c r="AJ28" s="136">
        <f>AI27/72*12</f>
        <v>9061378.8449999988</v>
      </c>
      <c r="AK28" s="133"/>
      <c r="AL28" s="605">
        <f t="shared" si="8"/>
        <v>16</v>
      </c>
      <c r="AM28" s="555" t="s">
        <v>84</v>
      </c>
      <c r="AN28" s="556"/>
      <c r="AO28" s="556"/>
      <c r="AP28" s="737">
        <f>+AP26+AP27</f>
        <v>-7070347.0129719861</v>
      </c>
      <c r="AV28" s="29">
        <f t="shared" si="14"/>
        <v>16</v>
      </c>
      <c r="AW28" s="127" t="s">
        <v>498</v>
      </c>
      <c r="AX28" s="634">
        <f>'[5]Lead E'!C28</f>
        <v>-70409.37</v>
      </c>
      <c r="AY28" s="634">
        <f>'[5]Lead E'!D28</f>
        <v>-75670.737778508177</v>
      </c>
      <c r="AZ28" s="634">
        <f t="shared" si="10"/>
        <v>-5261.3677785081818</v>
      </c>
    </row>
    <row r="29" spans="1:62" s="104" customFormat="1" ht="17.100000000000001" customHeight="1" thickTop="1" x14ac:dyDescent="0.2">
      <c r="A29" s="29">
        <f t="shared" si="1"/>
        <v>17</v>
      </c>
      <c r="F29" s="605">
        <f t="shared" si="2"/>
        <v>17</v>
      </c>
      <c r="G29" s="145"/>
      <c r="H29" s="144"/>
      <c r="I29" s="56"/>
      <c r="J29" s="33"/>
      <c r="K29" s="605">
        <f t="shared" si="3"/>
        <v>17</v>
      </c>
      <c r="L29" s="145" t="s">
        <v>226</v>
      </c>
      <c r="M29" s="107"/>
      <c r="N29" s="137">
        <f>N16-N23</f>
        <v>50138753.791082978</v>
      </c>
      <c r="O29" s="134"/>
      <c r="P29" s="134"/>
      <c r="Q29" s="134"/>
      <c r="R29" s="134"/>
      <c r="S29" s="28"/>
      <c r="T29" s="28"/>
      <c r="U29" s="28"/>
      <c r="V29" s="28"/>
      <c r="W29" s="29">
        <f t="shared" si="22"/>
        <v>17</v>
      </c>
      <c r="X29" s="154" t="s">
        <v>110</v>
      </c>
      <c r="Y29" s="200">
        <v>0.21</v>
      </c>
      <c r="Z29" s="28"/>
      <c r="AA29" s="158">
        <f>ROUND(-AA27*Y29,0)</f>
        <v>-139049</v>
      </c>
      <c r="AB29" s="37"/>
      <c r="AC29" s="134"/>
      <c r="AD29" s="134"/>
      <c r="AE29" s="134"/>
      <c r="AF29" s="134"/>
      <c r="AG29" s="29">
        <f t="shared" si="7"/>
        <v>17</v>
      </c>
      <c r="AH29" s="159"/>
      <c r="AI29" s="192"/>
      <c r="AJ29" s="113"/>
      <c r="AK29" s="133"/>
      <c r="AM29" s="555"/>
      <c r="AN29" s="556"/>
      <c r="AO29" s="231"/>
      <c r="AP29" s="231"/>
      <c r="AQ29" s="133"/>
      <c r="AR29" s="133"/>
      <c r="AS29" s="133"/>
      <c r="AT29" s="133"/>
      <c r="AU29" s="133"/>
      <c r="AV29" s="29">
        <f t="shared" si="14"/>
        <v>17</v>
      </c>
      <c r="AW29" s="127" t="s">
        <v>499</v>
      </c>
      <c r="AX29" s="634">
        <f>'[5]Lead E'!C29</f>
        <v>-243209.5</v>
      </c>
      <c r="AY29" s="634">
        <f>'[5]Lead E'!D29</f>
        <v>-261400.28314181394</v>
      </c>
      <c r="AZ29" s="634">
        <f t="shared" si="10"/>
        <v>-18190.783141813939</v>
      </c>
    </row>
    <row r="30" spans="1:62" s="104" customFormat="1" ht="17.100000000000001" customHeight="1" thickBot="1" x14ac:dyDescent="0.25">
      <c r="A30" s="29">
        <f t="shared" si="1"/>
        <v>18</v>
      </c>
      <c r="B30" s="105" t="s">
        <v>105</v>
      </c>
      <c r="C30" s="233">
        <f>+'[10]ERF Revenues Lead Sheet'!$C$28</f>
        <v>8.0199999999999994E-3</v>
      </c>
      <c r="D30" s="143">
        <f>SUM($E$15:$E$16,$E$18)*C30</f>
        <v>-378402.77586317557</v>
      </c>
      <c r="E30" s="113"/>
      <c r="F30" s="605">
        <f t="shared" si="2"/>
        <v>18</v>
      </c>
      <c r="G30" s="56" t="s">
        <v>106</v>
      </c>
      <c r="H30" s="56"/>
      <c r="I30" s="56"/>
      <c r="J30" s="142">
        <f>SUM(J27:J29)</f>
        <v>-20388591.46258343</v>
      </c>
      <c r="K30" s="605">
        <f t="shared" si="3"/>
        <v>18</v>
      </c>
      <c r="L30" s="145" t="s">
        <v>222</v>
      </c>
      <c r="M30" s="107"/>
      <c r="N30" s="137">
        <f>N18+N19-N24-N25-N26</f>
        <v>-52741723.330656976</v>
      </c>
      <c r="O30" s="134"/>
      <c r="P30" s="134"/>
      <c r="Q30" s="134"/>
      <c r="R30" s="134"/>
      <c r="S30" s="28"/>
      <c r="T30" s="28"/>
      <c r="U30" s="28"/>
      <c r="V30" s="28"/>
      <c r="W30" s="29">
        <f t="shared" si="22"/>
        <v>18</v>
      </c>
      <c r="X30" s="154"/>
      <c r="Y30" s="28"/>
      <c r="Z30" s="28"/>
      <c r="AA30" s="133"/>
      <c r="AB30" s="134"/>
      <c r="AC30" s="134"/>
      <c r="AD30" s="134"/>
      <c r="AE30" s="134"/>
      <c r="AF30" s="134"/>
      <c r="AG30" s="29">
        <f t="shared" si="7"/>
        <v>18</v>
      </c>
      <c r="AH30" s="141" t="s">
        <v>185</v>
      </c>
      <c r="AI30" s="113"/>
      <c r="AJ30" s="133">
        <f>+AJ24+AJ28</f>
        <v>25322920.059999999</v>
      </c>
      <c r="AK30" s="134"/>
      <c r="AL30" s="133"/>
      <c r="AM30"/>
      <c r="AN30"/>
      <c r="AO30"/>
      <c r="AP30"/>
      <c r="AQ30" s="133"/>
      <c r="AR30" s="133"/>
      <c r="AS30" s="133"/>
      <c r="AT30" s="133"/>
      <c r="AU30" s="133"/>
      <c r="AV30" s="29">
        <f t="shared" si="14"/>
        <v>18</v>
      </c>
      <c r="AW30" s="127" t="s">
        <v>500</v>
      </c>
      <c r="AX30" s="634">
        <f>'[5]Lead E'!C30</f>
        <v>1121457.6000000001</v>
      </c>
      <c r="AY30" s="634">
        <f>'[5]Lead E'!D30</f>
        <v>840875.57063333876</v>
      </c>
      <c r="AZ30" s="634">
        <f t="shared" si="10"/>
        <v>-280582.02936666133</v>
      </c>
    </row>
    <row r="31" spans="1:62" s="104" customFormat="1" ht="17.100000000000001" customHeight="1" thickTop="1" thickBot="1" x14ac:dyDescent="0.25">
      <c r="A31" s="29">
        <f t="shared" si="1"/>
        <v>19</v>
      </c>
      <c r="B31" s="105" t="s">
        <v>104</v>
      </c>
      <c r="C31" s="233">
        <f>+'[10]ERF Revenues Lead Sheet'!$C$29</f>
        <v>2E-3</v>
      </c>
      <c r="D31" s="143">
        <f>SUM($E$15:$E$16,$E$18)*C31</f>
        <v>-94364.782010766983</v>
      </c>
      <c r="E31" s="113"/>
      <c r="F31" s="58"/>
      <c r="G31" s="56"/>
      <c r="H31" s="58"/>
      <c r="I31" s="58"/>
      <c r="J31" s="58"/>
      <c r="K31" s="605">
        <f t="shared" si="3"/>
        <v>19</v>
      </c>
      <c r="L31" s="145" t="s">
        <v>218</v>
      </c>
      <c r="M31" s="226"/>
      <c r="N31" s="266">
        <f>-SUM(N29:N30)</f>
        <v>2602969.5395739973</v>
      </c>
      <c r="O31" s="134"/>
      <c r="P31" s="134"/>
      <c r="Q31" s="134"/>
      <c r="R31" s="134"/>
      <c r="S31" s="28"/>
      <c r="T31" s="28"/>
      <c r="U31" s="28"/>
      <c r="V31" s="28"/>
      <c r="W31" s="29">
        <f t="shared" si="22"/>
        <v>19</v>
      </c>
      <c r="X31" s="154" t="s">
        <v>84</v>
      </c>
      <c r="Y31" s="30"/>
      <c r="Z31" s="28"/>
      <c r="AA31" s="201">
        <f>-AA27-AA29</f>
        <v>-523087.55811139452</v>
      </c>
      <c r="AB31" s="134"/>
      <c r="AC31" s="134"/>
      <c r="AD31" s="134"/>
      <c r="AE31" s="134"/>
      <c r="AF31" s="134"/>
      <c r="AG31" s="29">
        <f t="shared" si="7"/>
        <v>19</v>
      </c>
      <c r="AH31" s="141" t="s">
        <v>699</v>
      </c>
      <c r="AI31" s="113"/>
      <c r="AJ31" s="136">
        <f>[8]Lead!$D$31</f>
        <v>20744219.140000001</v>
      </c>
      <c r="AK31" s="134"/>
      <c r="AL31" s="133"/>
      <c r="AM31" s="316"/>
      <c r="AN31" s="49"/>
      <c r="AO31" s="49"/>
      <c r="AP31" s="49"/>
      <c r="AQ31" s="712"/>
      <c r="AR31" s="712"/>
      <c r="AS31" s="134"/>
      <c r="AT31" s="134"/>
      <c r="AU31" s="134"/>
      <c r="AV31" s="29">
        <f t="shared" si="14"/>
        <v>19</v>
      </c>
      <c r="AW31" s="316"/>
      <c r="AX31" s="634">
        <f>'[5]Lead E'!C31</f>
        <v>0</v>
      </c>
      <c r="AY31" s="634">
        <f>'[5]Lead E'!D31</f>
        <v>0</v>
      </c>
      <c r="AZ31" s="635"/>
    </row>
    <row r="32" spans="1:62" s="104" customFormat="1" ht="17.100000000000001" customHeight="1" thickTop="1" x14ac:dyDescent="0.2">
      <c r="A32" s="29">
        <f t="shared" si="1"/>
        <v>20</v>
      </c>
      <c r="B32" s="234" t="s">
        <v>108</v>
      </c>
      <c r="C32" s="140"/>
      <c r="D32" s="655"/>
      <c r="E32" s="133">
        <f>D30+D31</f>
        <v>-472767.55787394254</v>
      </c>
      <c r="F32" s="58"/>
      <c r="G32" s="58"/>
      <c r="H32" s="58"/>
      <c r="I32" s="58"/>
      <c r="J32" s="58"/>
      <c r="O32" s="134"/>
      <c r="P32" s="134"/>
      <c r="Q32" s="134"/>
      <c r="R32" s="134"/>
      <c r="S32" s="28"/>
      <c r="T32" s="28"/>
      <c r="U32" s="28"/>
      <c r="V32" s="28"/>
      <c r="AB32" s="134"/>
      <c r="AC32" s="134"/>
      <c r="AD32" s="134"/>
      <c r="AE32" s="134"/>
      <c r="AF32" s="134"/>
      <c r="AG32" s="29">
        <f t="shared" si="7"/>
        <v>20</v>
      </c>
      <c r="AH32" s="141"/>
      <c r="AI32" s="113"/>
      <c r="AJ32" s="113"/>
      <c r="AK32" s="133"/>
      <c r="AL32" s="134"/>
      <c r="AM32" s="553"/>
      <c r="AN32" s="633"/>
      <c r="AO32" s="633"/>
      <c r="AP32" s="633"/>
      <c r="AQ32" s="712"/>
      <c r="AR32" s="712"/>
      <c r="AS32" s="134"/>
      <c r="AT32" s="134"/>
      <c r="AU32" s="134"/>
      <c r="AV32" s="29">
        <f t="shared" si="14"/>
        <v>20</v>
      </c>
      <c r="AW32" s="316"/>
      <c r="AX32" s="554"/>
      <c r="AY32" s="554"/>
      <c r="AZ32" s="633"/>
    </row>
    <row r="33" spans="1:52" s="104" customFormat="1" ht="17.100000000000001" customHeight="1" x14ac:dyDescent="0.2">
      <c r="A33" s="29">
        <f t="shared" si="1"/>
        <v>21</v>
      </c>
      <c r="B33" s="105"/>
      <c r="C33" s="140"/>
      <c r="D33" s="137"/>
      <c r="E33" s="113"/>
      <c r="F33" s="58"/>
      <c r="G33" s="58"/>
      <c r="H33" s="58"/>
      <c r="I33" s="58"/>
      <c r="J33" s="58"/>
      <c r="O33" s="134"/>
      <c r="P33" s="134"/>
      <c r="Q33" s="134"/>
      <c r="R33" s="134"/>
      <c r="S33" s="28"/>
      <c r="T33" s="28"/>
      <c r="U33" s="28"/>
      <c r="V33" s="28"/>
      <c r="W33" s="29"/>
      <c r="X33" s="28"/>
      <c r="Y33" s="28"/>
      <c r="Z33" s="28"/>
      <c r="AA33" s="28"/>
      <c r="AB33" s="134"/>
      <c r="AC33" s="134"/>
      <c r="AD33" s="134"/>
      <c r="AE33" s="134"/>
      <c r="AF33" s="134"/>
      <c r="AG33" s="29">
        <f t="shared" si="7"/>
        <v>21</v>
      </c>
      <c r="AH33" s="155" t="s">
        <v>109</v>
      </c>
      <c r="AI33" s="191"/>
      <c r="AJ33" s="113"/>
      <c r="AK33" s="133">
        <f>AJ30-AJ31</f>
        <v>4578700.9199999981</v>
      </c>
      <c r="AL33" s="134"/>
      <c r="AM33" s="553"/>
      <c r="AN33" s="633"/>
      <c r="AO33" s="633"/>
      <c r="AP33" s="633"/>
      <c r="AQ33" s="642"/>
      <c r="AR33" s="642"/>
      <c r="AS33" s="133"/>
      <c r="AT33" s="133"/>
      <c r="AU33" s="133"/>
      <c r="AV33" s="29">
        <f t="shared" si="14"/>
        <v>21</v>
      </c>
      <c r="AW33" s="316" t="s">
        <v>501</v>
      </c>
      <c r="AX33" s="636">
        <f>SUM(AX14:AX32)</f>
        <v>187025373.47999996</v>
      </c>
      <c r="AY33" s="636">
        <f>SUM(AY14:AY32)</f>
        <v>187168379.43377793</v>
      </c>
      <c r="AZ33" s="636">
        <f>SUM(AZ14:AZ32)</f>
        <v>143005.95377789199</v>
      </c>
    </row>
    <row r="34" spans="1:52" s="104" customFormat="1" ht="17.100000000000001" customHeight="1" x14ac:dyDescent="0.2">
      <c r="A34" s="29">
        <f t="shared" si="1"/>
        <v>22</v>
      </c>
      <c r="B34" s="105" t="s">
        <v>103</v>
      </c>
      <c r="C34" s="233">
        <f>+'[10]ERF Revenues Lead Sheet'!$C$32</f>
        <v>3.8422999999999999E-2</v>
      </c>
      <c r="D34" s="143">
        <f>SUM($E$15:$E$16,$E$18)*C34</f>
        <v>-1812889.0095998498</v>
      </c>
      <c r="E34" s="113"/>
      <c r="F34" s="58"/>
      <c r="G34" s="58"/>
      <c r="H34" s="58"/>
      <c r="I34" s="58"/>
      <c r="J34" s="58"/>
      <c r="K34" s="29"/>
      <c r="L34" s="111"/>
      <c r="M34" s="111"/>
      <c r="O34" s="134"/>
      <c r="P34" s="134"/>
      <c r="Q34" s="134"/>
      <c r="R34" s="134"/>
      <c r="S34" s="28"/>
      <c r="T34" s="28"/>
      <c r="U34" s="28"/>
      <c r="V34" s="28"/>
      <c r="W34" s="29"/>
      <c r="X34" s="28"/>
      <c r="Y34" s="28"/>
      <c r="Z34" s="28"/>
      <c r="AA34" s="28"/>
      <c r="AB34" s="134"/>
      <c r="AC34" s="134"/>
      <c r="AD34" s="134"/>
      <c r="AE34" s="134"/>
      <c r="AF34" s="134"/>
      <c r="AG34" s="29">
        <f t="shared" si="7"/>
        <v>22</v>
      </c>
      <c r="AH34" s="141"/>
      <c r="AI34" s="113"/>
      <c r="AJ34" s="113"/>
      <c r="AK34" s="133"/>
      <c r="AL34" s="133"/>
      <c r="AM34" s="553"/>
      <c r="AN34" s="634"/>
      <c r="AO34" s="634"/>
      <c r="AP34" s="634"/>
      <c r="AQ34" s="642"/>
      <c r="AR34" s="642"/>
      <c r="AS34" s="133"/>
      <c r="AT34" s="133"/>
      <c r="AU34" s="133"/>
      <c r="AV34" s="29">
        <f t="shared" si="14"/>
        <v>22</v>
      </c>
      <c r="AW34" s="316"/>
      <c r="AX34" s="418"/>
      <c r="AY34" s="418"/>
      <c r="AZ34" s="418"/>
    </row>
    <row r="35" spans="1:52" s="104" customFormat="1" ht="17.100000000000001" customHeight="1" x14ac:dyDescent="0.2">
      <c r="A35" s="29">
        <f t="shared" si="1"/>
        <v>23</v>
      </c>
      <c r="B35" s="234"/>
      <c r="C35" s="140"/>
      <c r="D35" s="139"/>
      <c r="E35" s="113"/>
      <c r="F35" s="58"/>
      <c r="G35" s="58"/>
      <c r="H35" s="58"/>
      <c r="I35" s="58"/>
      <c r="J35" s="58"/>
      <c r="K35" s="29"/>
      <c r="L35" s="38"/>
      <c r="M35" s="145"/>
      <c r="O35" s="134"/>
      <c r="P35" s="134"/>
      <c r="Q35" s="134"/>
      <c r="R35" s="134"/>
      <c r="S35" s="28"/>
      <c r="T35" s="28"/>
      <c r="U35" s="28"/>
      <c r="V35" s="28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29">
        <f t="shared" si="7"/>
        <v>23</v>
      </c>
      <c r="AH35" s="154" t="s">
        <v>186</v>
      </c>
      <c r="AI35" s="162"/>
      <c r="AJ35" s="148">
        <v>0.21</v>
      </c>
      <c r="AK35" s="127">
        <f>-AK33*AJ35</f>
        <v>-961527.19319999951</v>
      </c>
      <c r="AL35" s="133"/>
      <c r="AM35" s="320"/>
      <c r="AN35" s="634"/>
      <c r="AO35" s="634"/>
      <c r="AP35" s="634"/>
      <c r="AQ35" s="642"/>
      <c r="AR35" s="642"/>
      <c r="AS35" s="133"/>
      <c r="AT35" s="133"/>
      <c r="AU35" s="133"/>
      <c r="AV35" s="29">
        <f t="shared" si="14"/>
        <v>23</v>
      </c>
      <c r="AW35" s="371"/>
      <c r="AX35" s="634"/>
      <c r="AY35" s="634"/>
      <c r="AZ35" s="634"/>
    </row>
    <row r="36" spans="1:52" s="104" customFormat="1" ht="17.100000000000001" customHeight="1" x14ac:dyDescent="0.2">
      <c r="A36" s="29">
        <f t="shared" si="1"/>
        <v>24</v>
      </c>
      <c r="B36" s="234" t="s">
        <v>138</v>
      </c>
      <c r="C36" s="141"/>
      <c r="D36" s="137"/>
      <c r="E36" s="133">
        <f>E32+D34</f>
        <v>-2285656.5674737925</v>
      </c>
      <c r="F36" s="29"/>
      <c r="G36" s="226"/>
      <c r="H36" s="133"/>
      <c r="I36" s="133"/>
      <c r="J36" s="85"/>
      <c r="K36" s="29"/>
      <c r="L36" s="145"/>
      <c r="M36" s="107"/>
      <c r="O36" s="134"/>
      <c r="P36" s="134"/>
      <c r="Q36" s="134"/>
      <c r="R36" s="134"/>
      <c r="S36" s="28"/>
      <c r="T36" s="28"/>
      <c r="U36" s="28"/>
      <c r="V36" s="28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29">
        <f t="shared" si="7"/>
        <v>24</v>
      </c>
      <c r="AH36" s="154"/>
      <c r="AI36" s="162"/>
      <c r="AJ36" s="113"/>
      <c r="AK36" s="226"/>
      <c r="AL36" s="133"/>
      <c r="AM36" s="316"/>
      <c r="AN36" s="634"/>
      <c r="AO36" s="634"/>
      <c r="AP36" s="634"/>
      <c r="AQ36" s="634"/>
      <c r="AR36" s="634"/>
      <c r="AS36" s="127"/>
      <c r="AT36" s="127"/>
      <c r="AU36" s="127"/>
      <c r="AV36" s="29">
        <f t="shared" si="14"/>
        <v>24</v>
      </c>
      <c r="AW36" s="371" t="s">
        <v>502</v>
      </c>
      <c r="AX36" s="637"/>
      <c r="AY36" s="638"/>
      <c r="AZ36" s="638"/>
    </row>
    <row r="37" spans="1:52" s="104" customFormat="1" ht="17.100000000000001" customHeight="1" thickBot="1" x14ac:dyDescent="0.25">
      <c r="A37" s="29">
        <f t="shared" si="1"/>
        <v>25</v>
      </c>
      <c r="B37" s="105"/>
      <c r="C37" s="141"/>
      <c r="D37" s="141"/>
      <c r="E37" s="139"/>
      <c r="F37" s="49"/>
      <c r="G37" s="57"/>
      <c r="H37" s="57"/>
      <c r="I37" s="57"/>
      <c r="J37" s="57"/>
      <c r="K37" s="29"/>
      <c r="L37" s="145"/>
      <c r="M37" s="226"/>
      <c r="O37" s="134"/>
      <c r="P37" s="134"/>
      <c r="Q37" s="134"/>
      <c r="R37" s="134"/>
      <c r="S37" s="28"/>
      <c r="T37" s="28"/>
      <c r="U37" s="28"/>
      <c r="V37" s="28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29">
        <f t="shared" si="7"/>
        <v>25</v>
      </c>
      <c r="AH37" s="154" t="s">
        <v>84</v>
      </c>
      <c r="AI37" s="162"/>
      <c r="AJ37" s="113"/>
      <c r="AK37" s="239">
        <f>-AK33-AK35</f>
        <v>-3617173.7267999984</v>
      </c>
      <c r="AL37" s="127"/>
      <c r="AM37" s="316"/>
      <c r="AN37" s="634"/>
      <c r="AO37" s="634"/>
      <c r="AP37" s="634"/>
      <c r="AQ37" s="49"/>
      <c r="AR37" s="49"/>
      <c r="AS37" s="226"/>
      <c r="AT37" s="226"/>
      <c r="AU37" s="226"/>
      <c r="AV37" s="29">
        <f t="shared" si="14"/>
        <v>25</v>
      </c>
      <c r="AW37" s="145" t="s">
        <v>484</v>
      </c>
      <c r="AX37" s="637" t="s">
        <v>503</v>
      </c>
      <c r="AY37" s="639"/>
      <c r="AZ37" s="638"/>
    </row>
    <row r="38" spans="1:52" s="104" customFormat="1" ht="17.100000000000001" customHeight="1" thickTop="1" x14ac:dyDescent="0.2">
      <c r="A38" s="29">
        <f t="shared" si="1"/>
        <v>26</v>
      </c>
      <c r="B38" s="105" t="s">
        <v>139</v>
      </c>
      <c r="C38" s="141"/>
      <c r="D38" s="58"/>
      <c r="E38" s="133">
        <f>E28-E36</f>
        <v>-14553685.547909699</v>
      </c>
      <c r="F38" s="133"/>
      <c r="G38" s="49"/>
      <c r="H38" s="49"/>
      <c r="I38" s="49"/>
      <c r="J38" s="49"/>
      <c r="K38" s="29"/>
      <c r="L38" s="226"/>
      <c r="M38" s="226"/>
      <c r="O38" s="134"/>
      <c r="P38" s="134"/>
      <c r="Q38" s="134"/>
      <c r="R38" s="134"/>
      <c r="S38" s="28"/>
      <c r="T38" s="28"/>
      <c r="U38" s="28"/>
      <c r="V38" s="28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29"/>
      <c r="AL38" s="226"/>
      <c r="AM38" s="316"/>
      <c r="AN38" s="634"/>
      <c r="AO38" s="634"/>
      <c r="AP38" s="634"/>
      <c r="AQ38" s="633"/>
      <c r="AR38" s="633"/>
      <c r="AS38" s="150"/>
      <c r="AT38" s="150"/>
      <c r="AU38" s="150"/>
      <c r="AV38" s="29">
        <f t="shared" si="14"/>
        <v>26</v>
      </c>
      <c r="AW38" s="145" t="s">
        <v>485</v>
      </c>
      <c r="AX38" s="637" t="s">
        <v>503</v>
      </c>
      <c r="AY38" s="639"/>
      <c r="AZ38" s="638"/>
    </row>
    <row r="39" spans="1:52" s="104" customFormat="1" ht="17.100000000000001" customHeight="1" x14ac:dyDescent="0.2">
      <c r="A39" s="29">
        <f t="shared" si="1"/>
        <v>27</v>
      </c>
      <c r="B39" s="105" t="s">
        <v>136</v>
      </c>
      <c r="C39" s="138">
        <v>0.21</v>
      </c>
      <c r="D39" s="58"/>
      <c r="E39" s="133">
        <f>E38*C39</f>
        <v>-3056273.9650610369</v>
      </c>
      <c r="F39" s="133"/>
      <c r="G39" s="49"/>
      <c r="H39" s="49"/>
      <c r="I39" s="49"/>
      <c r="J39" s="49"/>
      <c r="K39" s="29"/>
      <c r="L39" s="226"/>
      <c r="M39" s="226"/>
      <c r="O39" s="134"/>
      <c r="P39" s="134"/>
      <c r="Q39" s="134"/>
      <c r="R39" s="134"/>
      <c r="S39" s="28"/>
      <c r="T39" s="28"/>
      <c r="U39" s="28"/>
      <c r="V39" s="28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29"/>
      <c r="AL39" s="150"/>
      <c r="AM39" s="49"/>
      <c r="AN39" s="633"/>
      <c r="AO39" s="633"/>
      <c r="AP39" s="633"/>
      <c r="AQ39" s="712"/>
      <c r="AR39" s="712"/>
      <c r="AV39" s="29">
        <f t="shared" si="14"/>
        <v>27</v>
      </c>
      <c r="AW39" s="145" t="s">
        <v>486</v>
      </c>
      <c r="AX39" s="637" t="s">
        <v>503</v>
      </c>
      <c r="AY39" s="639"/>
      <c r="AZ39" s="638"/>
    </row>
    <row r="40" spans="1:52" s="104" customFormat="1" ht="17.100000000000001" customHeight="1" thickBot="1" x14ac:dyDescent="0.25">
      <c r="A40" s="29">
        <f t="shared" si="1"/>
        <v>28</v>
      </c>
      <c r="B40" s="105" t="s">
        <v>84</v>
      </c>
      <c r="C40" s="141"/>
      <c r="D40" s="58"/>
      <c r="E40" s="613">
        <f>E38-E39</f>
        <v>-11497411.582848663</v>
      </c>
      <c r="F40" s="49"/>
      <c r="G40" s="49"/>
      <c r="H40" s="49"/>
      <c r="I40" s="49"/>
      <c r="J40" s="49"/>
      <c r="K40" s="29"/>
      <c r="L40" s="226"/>
      <c r="M40" s="70"/>
      <c r="O40" s="134"/>
      <c r="P40" s="134"/>
      <c r="Q40" s="134"/>
      <c r="R40" s="134"/>
      <c r="S40" s="28"/>
      <c r="T40" s="28"/>
      <c r="U40" s="28"/>
      <c r="V40" s="28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29"/>
      <c r="AH40" s="155"/>
      <c r="AI40" s="191"/>
      <c r="AJ40"/>
      <c r="AK40"/>
      <c r="AM40" s="320"/>
      <c r="AN40" s="634"/>
      <c r="AO40" s="634"/>
      <c r="AP40" s="634"/>
      <c r="AQ40" s="712"/>
      <c r="AR40" s="712"/>
      <c r="AV40" s="29">
        <f t="shared" si="14"/>
        <v>28</v>
      </c>
      <c r="AW40" s="145" t="s">
        <v>487</v>
      </c>
      <c r="AX40" s="638">
        <f>'[5]Lead E'!C39</f>
        <v>2885052</v>
      </c>
      <c r="AY40" s="638">
        <f>'[5]Lead E'!D39</f>
        <v>2885052</v>
      </c>
      <c r="AZ40" s="638">
        <f>+AY40-AX40</f>
        <v>0</v>
      </c>
    </row>
    <row r="41" spans="1:52" s="104" customFormat="1" ht="17.100000000000001" customHeight="1" thickTop="1" x14ac:dyDescent="0.2">
      <c r="A41" s="29"/>
      <c r="B41"/>
      <c r="C41"/>
      <c r="D41"/>
      <c r="E41"/>
      <c r="F41" s="57"/>
      <c r="G41" s="133"/>
      <c r="H41" s="133"/>
      <c r="I41" s="133"/>
      <c r="J41" s="133"/>
      <c r="K41" s="29"/>
      <c r="L41" s="226"/>
      <c r="M41" s="70"/>
      <c r="O41" s="134"/>
      <c r="P41" s="134"/>
      <c r="Q41" s="134"/>
      <c r="R41" s="134"/>
      <c r="S41" s="28"/>
      <c r="T41" s="28"/>
      <c r="U41" s="28"/>
      <c r="V41" s="28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M41" s="49"/>
      <c r="AN41" s="634"/>
      <c r="AO41" s="634"/>
      <c r="AP41" s="634"/>
      <c r="AQ41" s="218"/>
      <c r="AR41" s="218"/>
      <c r="AS41" s="94"/>
      <c r="AT41" s="94"/>
      <c r="AU41" s="94"/>
      <c r="AV41" s="29">
        <f t="shared" si="14"/>
        <v>29</v>
      </c>
      <c r="AW41" s="145" t="s">
        <v>488</v>
      </c>
      <c r="AX41" s="637" t="s">
        <v>503</v>
      </c>
      <c r="AY41" s="638"/>
      <c r="AZ41" s="638"/>
    </row>
    <row r="42" spans="1:52" s="104" customFormat="1" ht="17.100000000000001" customHeight="1" x14ac:dyDescent="0.2">
      <c r="A42"/>
      <c r="B42"/>
      <c r="C42"/>
      <c r="D42"/>
      <c r="E42"/>
      <c r="F42" s="49"/>
      <c r="G42" s="133"/>
      <c r="H42" s="133"/>
      <c r="I42" s="133"/>
      <c r="J42" s="133"/>
      <c r="K42" s="29"/>
      <c r="L42" s="226"/>
      <c r="M42" s="70"/>
      <c r="O42" s="134"/>
      <c r="P42" s="134"/>
      <c r="Q42" s="134"/>
      <c r="R42" s="134"/>
      <c r="S42" s="28"/>
      <c r="T42" s="28"/>
      <c r="U42" s="28"/>
      <c r="V42" s="28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L42" s="94"/>
      <c r="AM42" s="712"/>
      <c r="AN42" s="712"/>
      <c r="AO42" s="712"/>
      <c r="AP42" s="712"/>
      <c r="AQ42" s="712"/>
      <c r="AR42" s="712"/>
      <c r="AV42" s="29">
        <f t="shared" si="14"/>
        <v>30</v>
      </c>
      <c r="AW42" s="145" t="s">
        <v>490</v>
      </c>
      <c r="AX42" s="637" t="s">
        <v>503</v>
      </c>
      <c r="AY42" s="639"/>
      <c r="AZ42" s="638"/>
    </row>
    <row r="43" spans="1:52" s="104" customFormat="1" ht="17.100000000000001" customHeight="1" x14ac:dyDescent="0.2">
      <c r="A43"/>
      <c r="B43"/>
      <c r="C43"/>
      <c r="D43"/>
      <c r="E43"/>
      <c r="F43" s="28"/>
      <c r="G43" s="49"/>
      <c r="H43" s="49"/>
      <c r="I43" s="49"/>
      <c r="J43" s="49"/>
      <c r="K43" s="29"/>
      <c r="L43" s="145"/>
      <c r="M43" s="59"/>
      <c r="O43" s="134"/>
      <c r="P43" s="134"/>
      <c r="Q43" s="134"/>
      <c r="R43" s="134"/>
      <c r="S43" s="28"/>
      <c r="T43" s="28"/>
      <c r="U43" s="28"/>
      <c r="V43" s="28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M43" s="316"/>
      <c r="AN43" s="425"/>
      <c r="AO43" s="425"/>
      <c r="AP43" s="143"/>
      <c r="AQ43" s="712"/>
      <c r="AR43" s="712"/>
      <c r="AV43" s="29">
        <f t="shared" si="14"/>
        <v>31</v>
      </c>
      <c r="AW43" s="145" t="s">
        <v>491</v>
      </c>
      <c r="AX43" s="638">
        <f>'[5]Lead E'!C42</f>
        <v>0</v>
      </c>
      <c r="AY43" s="638">
        <f>'[5]Lead E'!D42</f>
        <v>0</v>
      </c>
      <c r="AZ43" s="638">
        <f>+AY43-AX43</f>
        <v>0</v>
      </c>
    </row>
    <row r="44" spans="1:52" s="104" customFormat="1" ht="17.100000000000001" customHeight="1" x14ac:dyDescent="0.2">
      <c r="A44"/>
      <c r="B44"/>
      <c r="C44"/>
      <c r="D44"/>
      <c r="E44"/>
      <c r="F44" s="28"/>
      <c r="G44" s="57"/>
      <c r="H44" s="57"/>
      <c r="I44" s="57"/>
      <c r="J44" s="57"/>
      <c r="K44" s="29"/>
      <c r="L44" s="226"/>
      <c r="M44" s="226"/>
      <c r="O44" s="134"/>
      <c r="P44" s="134"/>
      <c r="Q44" s="134"/>
      <c r="R44" s="134"/>
      <c r="S44" s="28"/>
      <c r="T44" s="28"/>
      <c r="U44" s="28"/>
      <c r="V44" s="28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M44" s="316"/>
      <c r="AN44" s="425"/>
      <c r="AO44" s="243"/>
      <c r="AP44" s="713"/>
      <c r="AQ44" s="712"/>
      <c r="AR44" s="712"/>
      <c r="AV44" s="29">
        <f t="shared" si="14"/>
        <v>32</v>
      </c>
      <c r="AW44" s="145" t="s">
        <v>492</v>
      </c>
      <c r="AX44" s="637" t="s">
        <v>503</v>
      </c>
      <c r="AY44" s="639"/>
      <c r="AZ44" s="638"/>
    </row>
    <row r="45" spans="1:52" s="104" customFormat="1" ht="17.100000000000001" customHeight="1" x14ac:dyDescent="0.2">
      <c r="A45"/>
      <c r="B45"/>
      <c r="C45"/>
      <c r="D45"/>
      <c r="E45"/>
      <c r="F45" s="28"/>
      <c r="G45" s="49"/>
      <c r="H45" s="49"/>
      <c r="I45" s="49"/>
      <c r="J45" s="49"/>
      <c r="K45" s="29"/>
      <c r="L45" s="145"/>
      <c r="M45" s="113"/>
      <c r="O45" s="134"/>
      <c r="P45" s="134"/>
      <c r="Q45" s="134"/>
      <c r="R45" s="134"/>
      <c r="S45" s="28"/>
      <c r="T45" s="28"/>
      <c r="U45" s="28"/>
      <c r="V45" s="28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M45" s="316"/>
      <c r="AN45" s="425"/>
      <c r="AO45" s="425"/>
      <c r="AP45" s="369"/>
      <c r="AQ45" s="712"/>
      <c r="AR45" s="712"/>
      <c r="AV45" s="29">
        <f t="shared" si="14"/>
        <v>33</v>
      </c>
      <c r="AW45" s="145" t="s">
        <v>493</v>
      </c>
      <c r="AX45" s="638">
        <f>'[5]Lead E'!C44</f>
        <v>687420</v>
      </c>
      <c r="AY45" s="638">
        <f>'[5]Lead E'!D44</f>
        <v>687420</v>
      </c>
      <c r="AZ45" s="634">
        <f t="shared" ref="AZ45:AZ52" si="24">+AY45-AX45</f>
        <v>0</v>
      </c>
    </row>
    <row r="46" spans="1:52" s="104" customFormat="1" ht="17.100000000000001" customHeight="1" x14ac:dyDescent="0.2">
      <c r="A46"/>
      <c r="B46"/>
      <c r="C46"/>
      <c r="D46"/>
      <c r="E46"/>
      <c r="F46" s="28"/>
      <c r="G46" s="28"/>
      <c r="H46" s="28"/>
      <c r="I46" s="28"/>
      <c r="J46" s="28"/>
      <c r="K46" s="29"/>
      <c r="L46" s="145"/>
      <c r="M46" s="44"/>
      <c r="O46" s="134"/>
      <c r="P46" s="134"/>
      <c r="Q46" s="134"/>
      <c r="R46" s="134"/>
      <c r="S46" s="28"/>
      <c r="T46" s="28"/>
      <c r="U46" s="28"/>
      <c r="V46" s="28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M46" s="316"/>
      <c r="AN46" s="425"/>
      <c r="AO46" s="714"/>
      <c r="AP46" s="714"/>
      <c r="AQ46" s="712"/>
      <c r="AR46" s="712"/>
      <c r="AV46" s="29">
        <f t="shared" si="14"/>
        <v>34</v>
      </c>
      <c r="AW46" s="145" t="s">
        <v>494</v>
      </c>
      <c r="AX46" s="638">
        <f>'[5]Lead E'!C45</f>
        <v>0</v>
      </c>
      <c r="AY46" s="638">
        <f>'[5]Lead E'!D45</f>
        <v>0</v>
      </c>
      <c r="AZ46" s="634">
        <f t="shared" si="24"/>
        <v>0</v>
      </c>
    </row>
    <row r="47" spans="1:52" s="104" customFormat="1" ht="17.100000000000001" customHeight="1" x14ac:dyDescent="0.2">
      <c r="A47"/>
      <c r="B47"/>
      <c r="C47"/>
      <c r="D47"/>
      <c r="E47"/>
      <c r="F47" s="28"/>
      <c r="G47" s="28"/>
      <c r="H47" s="28"/>
      <c r="I47" s="28"/>
      <c r="J47" s="28"/>
      <c r="K47" s="29"/>
      <c r="L47" s="226"/>
      <c r="M47" s="226"/>
      <c r="O47" s="134"/>
      <c r="P47" s="134"/>
      <c r="Q47" s="134"/>
      <c r="R47" s="134"/>
      <c r="S47" s="28"/>
      <c r="T47" s="28"/>
      <c r="U47" s="28"/>
      <c r="V47" s="28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M47" s="218"/>
      <c r="AN47" s="218"/>
      <c r="AO47" s="218"/>
      <c r="AP47" s="218"/>
      <c r="AQ47" s="712"/>
      <c r="AR47" s="712"/>
      <c r="AV47" s="29">
        <f t="shared" si="14"/>
        <v>35</v>
      </c>
      <c r="AW47" s="145" t="s">
        <v>495</v>
      </c>
      <c r="AX47" s="638">
        <f>'[5]Lead E'!C46</f>
        <v>673351.60905598255</v>
      </c>
      <c r="AY47" s="638">
        <f>'[5]Lead E'!D46</f>
        <v>561126.34087998548</v>
      </c>
      <c r="AZ47" s="634">
        <f t="shared" si="24"/>
        <v>-112225.26817599707</v>
      </c>
    </row>
    <row r="48" spans="1:52" s="104" customFormat="1" ht="17.100000000000001" customHeight="1" x14ac:dyDescent="0.2">
      <c r="A48"/>
      <c r="B48"/>
      <c r="C48"/>
      <c r="D48"/>
      <c r="E48"/>
      <c r="F48" s="28"/>
      <c r="G48" s="28"/>
      <c r="H48" s="28"/>
      <c r="I48" s="28"/>
      <c r="J48" s="28"/>
      <c r="K48" s="29"/>
      <c r="L48" s="145"/>
      <c r="M48" s="145"/>
      <c r="O48" s="134"/>
      <c r="P48" s="134"/>
      <c r="Q48" s="134"/>
      <c r="R48" s="134"/>
      <c r="S48" s="28"/>
      <c r="T48" s="28"/>
      <c r="U48" s="28"/>
      <c r="V48" s="28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M48" s="316"/>
      <c r="AN48" s="49"/>
      <c r="AO48" s="49"/>
      <c r="AP48" s="49"/>
      <c r="AQ48" s="712"/>
      <c r="AR48" s="712"/>
      <c r="AV48" s="29">
        <f t="shared" si="14"/>
        <v>36</v>
      </c>
      <c r="AW48" s="145" t="s">
        <v>496</v>
      </c>
      <c r="AX48" s="638">
        <f>'[5]Lead E'!C47</f>
        <v>2644123.3835876156</v>
      </c>
      <c r="AY48" s="638">
        <f>'[5]Lead E'!D47</f>
        <v>2203436.1529896799</v>
      </c>
      <c r="AZ48" s="634">
        <f t="shared" si="24"/>
        <v>-440687.23059793562</v>
      </c>
    </row>
    <row r="49" spans="1:52" s="104" customFormat="1" ht="17.100000000000001" customHeight="1" x14ac:dyDescent="0.2">
      <c r="A49"/>
      <c r="B49"/>
      <c r="C49"/>
      <c r="D49"/>
      <c r="E49"/>
      <c r="F49" s="28"/>
      <c r="G49" s="28"/>
      <c r="H49" s="28"/>
      <c r="I49" s="28"/>
      <c r="J49" s="28"/>
      <c r="K49" s="29"/>
      <c r="L49" s="145"/>
      <c r="M49" s="107"/>
      <c r="O49" s="134"/>
      <c r="P49" s="134"/>
      <c r="Q49" s="134"/>
      <c r="R49" s="134"/>
      <c r="S49" s="28"/>
      <c r="T49" s="28"/>
      <c r="U49" s="28"/>
      <c r="V49" s="28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M49" s="553"/>
      <c r="AN49" s="633"/>
      <c r="AO49" s="633"/>
      <c r="AP49" s="633"/>
      <c r="AQ49" s="712"/>
      <c r="AR49" s="712"/>
      <c r="AV49" s="29">
        <f t="shared" si="14"/>
        <v>37</v>
      </c>
      <c r="AW49" s="145" t="s">
        <v>497</v>
      </c>
      <c r="AX49" s="638">
        <f>'[5]Lead E'!C48</f>
        <v>4520422.508572978</v>
      </c>
      <c r="AY49" s="638">
        <f>'[5]Lead E'!D48</f>
        <v>4520422.508572978</v>
      </c>
      <c r="AZ49" s="634">
        <f t="shared" si="24"/>
        <v>0</v>
      </c>
    </row>
    <row r="50" spans="1:52" s="104" customFormat="1" ht="17.100000000000001" customHeight="1" x14ac:dyDescent="0.2">
      <c r="A50"/>
      <c r="B50"/>
      <c r="C50"/>
      <c r="D50"/>
      <c r="E50"/>
      <c r="F50" s="28"/>
      <c r="G50" s="28"/>
      <c r="H50" s="28"/>
      <c r="I50" s="28"/>
      <c r="J50" s="28"/>
      <c r="K50" s="29"/>
      <c r="L50" s="145"/>
      <c r="M50" s="226"/>
      <c r="O50" s="134"/>
      <c r="P50" s="134"/>
      <c r="Q50" s="134"/>
      <c r="R50" s="134"/>
      <c r="S50" s="28"/>
      <c r="T50" s="28"/>
      <c r="U50" s="28"/>
      <c r="V50" s="28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M50" s="553"/>
      <c r="AN50" s="633"/>
      <c r="AO50" s="633"/>
      <c r="AP50" s="633"/>
      <c r="AQ50" s="712"/>
      <c r="AR50" s="712"/>
      <c r="AV50" s="29">
        <f t="shared" si="14"/>
        <v>38</v>
      </c>
      <c r="AW50" s="145" t="s">
        <v>498</v>
      </c>
      <c r="AX50" s="638">
        <f>'[5]Lead E'!C49</f>
        <v>-480025.82555530063</v>
      </c>
      <c r="AY50" s="638">
        <f>'[5]Lead E'!D49</f>
        <v>-400021.52129608387</v>
      </c>
      <c r="AZ50" s="634">
        <f t="shared" si="24"/>
        <v>80004.304259216762</v>
      </c>
    </row>
    <row r="51" spans="1:52" s="104" customFormat="1" ht="17.100000000000001" customHeight="1" x14ac:dyDescent="0.2">
      <c r="A51"/>
      <c r="B51"/>
      <c r="C51"/>
      <c r="D51"/>
      <c r="E51"/>
      <c r="F51" s="28"/>
      <c r="G51" s="28"/>
      <c r="H51" s="28"/>
      <c r="I51" s="28"/>
      <c r="J51" s="28"/>
      <c r="K51" s="134"/>
      <c r="L51" s="134"/>
      <c r="M51" s="134"/>
      <c r="O51" s="134"/>
      <c r="P51" s="134"/>
      <c r="Q51" s="134"/>
      <c r="R51" s="134"/>
      <c r="S51" s="28"/>
      <c r="T51" s="28"/>
      <c r="U51" s="28"/>
      <c r="V51" s="28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M51" s="553"/>
      <c r="AN51" s="633"/>
      <c r="AO51" s="633"/>
      <c r="AP51" s="633"/>
      <c r="AQ51" s="712"/>
      <c r="AR51" s="712"/>
      <c r="AV51" s="29">
        <f t="shared" si="14"/>
        <v>39</v>
      </c>
      <c r="AW51" s="145" t="s">
        <v>499</v>
      </c>
      <c r="AX51" s="638">
        <f>'[5]Lead E'!C50</f>
        <v>-1658222.0604590874</v>
      </c>
      <c r="AY51" s="638">
        <f>'[5]Lead E'!D50</f>
        <v>-1381851.7170492394</v>
      </c>
      <c r="AZ51" s="634">
        <f t="shared" si="24"/>
        <v>276370.34340984793</v>
      </c>
    </row>
    <row r="52" spans="1:52" s="104" customFormat="1" ht="17.100000000000001" customHeight="1" x14ac:dyDescent="0.2">
      <c r="A52"/>
      <c r="B52"/>
      <c r="C52"/>
      <c r="D52"/>
      <c r="E52"/>
      <c r="F52" s="28"/>
      <c r="G52" s="28"/>
      <c r="H52" s="28"/>
      <c r="I52" s="28"/>
      <c r="J52" s="28"/>
      <c r="K52" s="134"/>
      <c r="L52" s="134"/>
      <c r="M52" s="134"/>
      <c r="O52" s="134"/>
      <c r="P52" s="134"/>
      <c r="Q52" s="134"/>
      <c r="R52" s="134"/>
      <c r="S52" s="28"/>
      <c r="T52" s="28"/>
      <c r="U52" s="28"/>
      <c r="V52" s="28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M52" s="320"/>
      <c r="AN52" s="633"/>
      <c r="AO52" s="633"/>
      <c r="AP52" s="633"/>
      <c r="AQ52" s="712"/>
      <c r="AR52" s="712"/>
      <c r="AV52" s="29">
        <f t="shared" si="14"/>
        <v>40</v>
      </c>
      <c r="AW52" s="145" t="s">
        <v>500</v>
      </c>
      <c r="AX52" s="638">
        <f>'[5]Lead E'!C51</f>
        <v>3761008.8218181822</v>
      </c>
      <c r="AY52" s="638">
        <f>'[5]Lead E'!D51</f>
        <v>3786307.8400000003</v>
      </c>
      <c r="AZ52" s="634">
        <f t="shared" si="24"/>
        <v>25299.018181818072</v>
      </c>
    </row>
    <row r="53" spans="1:52" s="104" customFormat="1" ht="17.100000000000001" customHeight="1" x14ac:dyDescent="0.2">
      <c r="A53"/>
      <c r="B53"/>
      <c r="C53"/>
      <c r="D53"/>
      <c r="E53"/>
      <c r="F53" s="28"/>
      <c r="G53" s="28"/>
      <c r="H53" s="28"/>
      <c r="I53" s="28"/>
      <c r="J53" s="28"/>
      <c r="K53" s="134"/>
      <c r="L53" s="134"/>
      <c r="M53" s="134"/>
      <c r="O53" s="134"/>
      <c r="P53" s="134"/>
      <c r="Q53" s="134"/>
      <c r="R53" s="134"/>
      <c r="S53" s="28"/>
      <c r="T53" s="28"/>
      <c r="U53" s="28"/>
      <c r="V53" s="28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M53" s="316"/>
      <c r="AN53" s="633"/>
      <c r="AO53" s="633"/>
      <c r="AP53" s="633"/>
      <c r="AQ53" s="712"/>
      <c r="AR53" s="712"/>
      <c r="AV53" s="29">
        <f t="shared" si="14"/>
        <v>41</v>
      </c>
      <c r="AW53" s="145" t="s">
        <v>504</v>
      </c>
      <c r="AX53" s="640">
        <f>SUM(AX37:AX52)</f>
        <v>13033130.437020371</v>
      </c>
      <c r="AY53" s="640">
        <f>SUM(AY37:AY52)+BS24</f>
        <v>12861891.60409732</v>
      </c>
      <c r="AZ53" s="640">
        <f>SUM(AZ37:AZ52)</f>
        <v>-171238.83292304992</v>
      </c>
    </row>
    <row r="54" spans="1:52" s="104" customFormat="1" ht="17.100000000000001" customHeight="1" x14ac:dyDescent="0.2">
      <c r="A54"/>
      <c r="B54"/>
      <c r="C54"/>
      <c r="D54"/>
      <c r="E54"/>
      <c r="F54" s="28"/>
      <c r="G54" s="28"/>
      <c r="H54" s="28"/>
      <c r="I54" s="28"/>
      <c r="J54" s="28"/>
      <c r="K54" s="134"/>
      <c r="L54" s="134"/>
      <c r="M54" s="134"/>
      <c r="O54" s="134"/>
      <c r="P54" s="134"/>
      <c r="Q54" s="134"/>
      <c r="R54" s="134"/>
      <c r="S54" s="28"/>
      <c r="T54" s="28"/>
      <c r="U54" s="28"/>
      <c r="V54" s="28"/>
      <c r="W54" s="28"/>
      <c r="X54" s="28"/>
      <c r="Y54" s="28"/>
      <c r="Z54" s="28"/>
      <c r="AA54" s="28"/>
      <c r="AB54" s="134"/>
      <c r="AC54" s="134"/>
      <c r="AD54" s="134"/>
      <c r="AE54" s="134"/>
      <c r="AF54" s="134"/>
      <c r="AM54" s="316"/>
      <c r="AN54" s="633"/>
      <c r="AO54" s="633"/>
      <c r="AP54" s="633"/>
      <c r="AQ54" s="712"/>
      <c r="AR54" s="712"/>
      <c r="AV54" s="29">
        <f t="shared" si="14"/>
        <v>42</v>
      </c>
      <c r="AW54" s="103"/>
      <c r="AX54" s="52"/>
      <c r="AY54" s="641"/>
      <c r="AZ54" s="642"/>
    </row>
    <row r="55" spans="1:52" s="104" customFormat="1" ht="17.100000000000001" customHeight="1" x14ac:dyDescent="0.2">
      <c r="A55"/>
      <c r="B55"/>
      <c r="C55"/>
      <c r="D55"/>
      <c r="E55"/>
      <c r="F55" s="28"/>
      <c r="G55" s="28"/>
      <c r="H55" s="28"/>
      <c r="I55" s="28"/>
      <c r="J55" s="28"/>
      <c r="K55" s="134"/>
      <c r="L55" s="134"/>
      <c r="M55" s="134"/>
      <c r="N55" s="134"/>
      <c r="O55" s="134"/>
      <c r="P55" s="134"/>
      <c r="Q55" s="134"/>
      <c r="R55" s="134"/>
      <c r="S55" s="28"/>
      <c r="T55" s="28"/>
      <c r="U55" s="28"/>
      <c r="V55" s="28"/>
      <c r="W55" s="28"/>
      <c r="X55" s="28"/>
      <c r="Y55" s="28"/>
      <c r="Z55" s="28"/>
      <c r="AA55" s="28"/>
      <c r="AB55" s="134"/>
      <c r="AC55" s="134"/>
      <c r="AD55" s="134"/>
      <c r="AE55" s="134"/>
      <c r="AF55" s="134"/>
      <c r="AM55" s="316"/>
      <c r="AN55" s="633"/>
      <c r="AO55" s="633"/>
      <c r="AP55" s="633"/>
      <c r="AQ55" s="712"/>
      <c r="AR55" s="712"/>
      <c r="AV55" s="29">
        <f t="shared" si="14"/>
        <v>43</v>
      </c>
      <c r="AW55" s="226"/>
      <c r="AX55" s="52"/>
      <c r="AY55" s="641"/>
      <c r="AZ55" s="643"/>
    </row>
    <row r="56" spans="1:52" s="104" customFormat="1" ht="17.100000000000001" customHeight="1" x14ac:dyDescent="0.2">
      <c r="A56"/>
      <c r="B56"/>
      <c r="C56"/>
      <c r="D56"/>
      <c r="E56"/>
      <c r="F56" s="28"/>
      <c r="G56" s="28"/>
      <c r="H56" s="28"/>
      <c r="I56" s="28"/>
      <c r="J56" s="28"/>
      <c r="K56" s="134"/>
      <c r="L56" s="134"/>
      <c r="M56" s="134"/>
      <c r="N56" s="134"/>
      <c r="O56" s="134"/>
      <c r="P56" s="134"/>
      <c r="Q56" s="134"/>
      <c r="R56" s="134"/>
      <c r="S56" s="28"/>
      <c r="T56" s="28"/>
      <c r="U56" s="28"/>
      <c r="V56" s="28"/>
      <c r="W56" s="28"/>
      <c r="X56" s="28"/>
      <c r="Y56" s="28"/>
      <c r="Z56" s="28"/>
      <c r="AA56" s="28"/>
      <c r="AB56" s="134"/>
      <c r="AC56" s="134"/>
      <c r="AD56" s="134"/>
      <c r="AE56" s="134"/>
      <c r="AF56" s="134"/>
      <c r="AM56" s="49"/>
      <c r="AN56" s="633"/>
      <c r="AO56" s="633"/>
      <c r="AP56" s="633"/>
      <c r="AQ56" s="712"/>
      <c r="AR56" s="712"/>
      <c r="AV56" s="29">
        <f t="shared" si="14"/>
        <v>44</v>
      </c>
      <c r="AW56" s="103"/>
      <c r="AX56" s="52"/>
      <c r="AY56" s="644"/>
      <c r="AZ56" s="645"/>
    </row>
    <row r="57" spans="1:52" s="104" customFormat="1" ht="17.100000000000001" customHeight="1" x14ac:dyDescent="0.2">
      <c r="A57"/>
      <c r="B57"/>
      <c r="C57"/>
      <c r="D57"/>
      <c r="E57"/>
      <c r="F57" s="134"/>
      <c r="G57" s="28"/>
      <c r="H57" s="28"/>
      <c r="I57" s="28"/>
      <c r="J57" s="28"/>
      <c r="K57" s="134"/>
      <c r="L57" s="134"/>
      <c r="M57" s="134"/>
      <c r="N57" s="134"/>
      <c r="O57" s="134"/>
      <c r="P57" s="134"/>
      <c r="Q57" s="134"/>
      <c r="R57" s="134"/>
      <c r="S57" s="28"/>
      <c r="T57" s="28"/>
      <c r="U57" s="28"/>
      <c r="V57" s="28"/>
      <c r="W57" s="28"/>
      <c r="X57" s="28"/>
      <c r="Y57" s="28"/>
      <c r="Z57" s="28"/>
      <c r="AA57" s="28"/>
      <c r="AB57" s="134"/>
      <c r="AC57" s="134"/>
      <c r="AD57" s="134"/>
      <c r="AE57" s="134"/>
      <c r="AF57" s="134"/>
      <c r="AM57" s="320"/>
      <c r="AN57" s="633"/>
      <c r="AO57" s="633"/>
      <c r="AP57" s="633"/>
      <c r="AQ57" s="712"/>
      <c r="AR57" s="712"/>
      <c r="AV57" s="29">
        <f t="shared" si="14"/>
        <v>45</v>
      </c>
      <c r="AW57" s="646" t="s">
        <v>108</v>
      </c>
      <c r="AX57" s="52"/>
      <c r="AY57" s="226"/>
      <c r="AZ57" s="640">
        <f>+AZ53</f>
        <v>-171238.83292304992</v>
      </c>
    </row>
    <row r="58" spans="1:52" s="104" customFormat="1" ht="17.100000000000001" customHeight="1" x14ac:dyDescent="0.2">
      <c r="A58"/>
      <c r="B58"/>
      <c r="C58"/>
      <c r="D58"/>
      <c r="E58"/>
      <c r="F58" s="134"/>
      <c r="G58" s="28"/>
      <c r="H58" s="28"/>
      <c r="I58" s="28"/>
      <c r="J58" s="28"/>
      <c r="K58" s="134"/>
      <c r="L58" s="134"/>
      <c r="M58" s="134"/>
      <c r="N58" s="134"/>
      <c r="O58" s="134"/>
      <c r="P58" s="134"/>
      <c r="Q58" s="134"/>
      <c r="R58" s="134"/>
      <c r="S58" s="28"/>
      <c r="T58" s="28"/>
      <c r="U58" s="28"/>
      <c r="V58" s="28"/>
      <c r="W58" s="28"/>
      <c r="X58" s="28"/>
      <c r="Y58" s="28"/>
      <c r="Z58" s="28"/>
      <c r="AA58" s="28"/>
      <c r="AB58" s="134"/>
      <c r="AC58" s="134"/>
      <c r="AD58" s="134"/>
      <c r="AE58" s="134"/>
      <c r="AF58" s="134"/>
      <c r="AG58" s="29"/>
      <c r="AH58" s="141"/>
      <c r="AI58" s="33"/>
      <c r="AJ58"/>
      <c r="AK58"/>
      <c r="AM58" s="49"/>
      <c r="AN58" s="633"/>
      <c r="AO58" s="633"/>
      <c r="AP58" s="633"/>
      <c r="AQ58" s="712"/>
      <c r="AR58" s="712"/>
      <c r="AV58" s="29">
        <f t="shared" si="14"/>
        <v>46</v>
      </c>
      <c r="AW58" s="103"/>
      <c r="AX58" s="52"/>
      <c r="AY58" s="226"/>
      <c r="AZ58" s="633"/>
    </row>
    <row r="59" spans="1:52" s="104" customFormat="1" ht="17.100000000000001" customHeight="1" x14ac:dyDescent="0.2">
      <c r="A59"/>
      <c r="B59"/>
      <c r="C59"/>
      <c r="D59"/>
      <c r="E59"/>
      <c r="F59" s="134"/>
      <c r="G59" s="28"/>
      <c r="H59" s="28"/>
      <c r="I59" s="28"/>
      <c r="J59" s="28"/>
      <c r="K59" s="134"/>
      <c r="L59" s="134"/>
      <c r="M59" s="134"/>
      <c r="N59" s="134"/>
      <c r="O59" s="134"/>
      <c r="P59" s="134"/>
      <c r="Q59" s="134"/>
      <c r="R59" s="134"/>
      <c r="S59" s="28"/>
      <c r="T59" s="28"/>
      <c r="U59" s="28"/>
      <c r="V59" s="28"/>
      <c r="W59" s="28"/>
      <c r="X59" s="28"/>
      <c r="Y59" s="28"/>
      <c r="Z59" s="28"/>
      <c r="AA59" s="28"/>
      <c r="AB59" s="134"/>
      <c r="AG59" s="29"/>
      <c r="AH59" s="105"/>
      <c r="AI59" s="156"/>
      <c r="AJ59"/>
      <c r="AK59"/>
      <c r="AM59" s="712"/>
      <c r="AN59" s="712"/>
      <c r="AO59" s="712"/>
      <c r="AP59" s="712"/>
      <c r="AQ59" s="218"/>
      <c r="AR59" s="218"/>
      <c r="AS59" s="94"/>
      <c r="AT59" s="94"/>
      <c r="AU59" s="94"/>
      <c r="AV59" s="29">
        <f t="shared" si="14"/>
        <v>47</v>
      </c>
      <c r="AW59" s="103" t="s">
        <v>102</v>
      </c>
      <c r="AX59" s="641">
        <v>0.21</v>
      </c>
      <c r="AY59" s="641"/>
      <c r="AZ59" s="634">
        <f>-AZ57*AX59</f>
        <v>35960.154913840481</v>
      </c>
    </row>
    <row r="60" spans="1:52" s="104" customFormat="1" ht="17.100000000000001" customHeight="1" x14ac:dyDescent="0.2">
      <c r="A60"/>
      <c r="B60"/>
      <c r="C60"/>
      <c r="D60"/>
      <c r="E60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28"/>
      <c r="T60" s="28"/>
      <c r="U60" s="28"/>
      <c r="V60" s="28"/>
      <c r="W60" s="28"/>
      <c r="X60" s="28"/>
      <c r="Y60" s="28"/>
      <c r="Z60" s="28"/>
      <c r="AA60" s="28"/>
      <c r="AB60" s="134"/>
      <c r="AG60" s="29"/>
      <c r="AH60" s="154"/>
      <c r="AI60" s="162"/>
      <c r="AJ60"/>
      <c r="AK60"/>
      <c r="AL60" s="94"/>
      <c r="AM60" s="316"/>
      <c r="AN60" s="425"/>
      <c r="AO60" s="425"/>
      <c r="AP60" s="633"/>
      <c r="AQ60" s="218"/>
      <c r="AR60" s="218"/>
      <c r="AS60" s="94"/>
      <c r="AT60" s="94"/>
      <c r="AU60" s="94"/>
      <c r="AV60" s="29">
        <f t="shared" si="14"/>
        <v>48</v>
      </c>
      <c r="AW60" s="103"/>
      <c r="AX60" s="606"/>
      <c r="AY60" s="606"/>
      <c r="AZ60" s="606"/>
    </row>
    <row r="61" spans="1:52" s="104" customFormat="1" ht="17.100000000000001" customHeight="1" thickBot="1" x14ac:dyDescent="0.25">
      <c r="A61"/>
      <c r="B61"/>
      <c r="C61"/>
      <c r="D61"/>
      <c r="E61"/>
      <c r="F61" s="28"/>
      <c r="G61" s="28"/>
      <c r="H61" s="28"/>
      <c r="I61" s="28"/>
      <c r="J61" s="28"/>
      <c r="K61" s="134"/>
      <c r="L61" s="134"/>
      <c r="M61" s="134"/>
      <c r="N61" s="134"/>
      <c r="O61" s="134"/>
      <c r="P61" s="134"/>
      <c r="Q61" s="134"/>
      <c r="R61" s="134"/>
      <c r="S61" s="28"/>
      <c r="T61" s="28"/>
      <c r="U61" s="28"/>
      <c r="V61" s="28"/>
      <c r="W61" s="28"/>
      <c r="X61" s="28"/>
      <c r="Y61" s="28"/>
      <c r="Z61" s="28"/>
      <c r="AA61" s="28"/>
      <c r="AB61" s="134"/>
      <c r="AG61" s="29"/>
      <c r="AH61" s="154"/>
      <c r="AI61" s="162"/>
      <c r="AJ61"/>
      <c r="AK61"/>
      <c r="AL61" s="94"/>
      <c r="AM61" s="316"/>
      <c r="AN61" s="425"/>
      <c r="AO61" s="243"/>
      <c r="AP61" s="633"/>
      <c r="AQ61" s="218"/>
      <c r="AR61" s="218"/>
      <c r="AS61" s="94"/>
      <c r="AT61" s="94"/>
      <c r="AU61" s="94"/>
      <c r="AV61" s="29">
        <f t="shared" si="14"/>
        <v>49</v>
      </c>
      <c r="AW61" s="103" t="s">
        <v>84</v>
      </c>
      <c r="AX61" s="606"/>
      <c r="AY61" s="606"/>
      <c r="AZ61" s="738">
        <f>-AZ57-AZ59</f>
        <v>135278.67800920946</v>
      </c>
    </row>
    <row r="62" spans="1:52" s="104" customFormat="1" ht="17.100000000000001" customHeight="1" thickTop="1" x14ac:dyDescent="0.2">
      <c r="A62"/>
      <c r="B62"/>
      <c r="C62"/>
      <c r="D62"/>
      <c r="E62"/>
      <c r="F62" s="28"/>
      <c r="G62" s="28"/>
      <c r="H62" s="28"/>
      <c r="I62" s="28"/>
      <c r="J62" s="28"/>
      <c r="K62" s="134"/>
      <c r="L62" s="134"/>
      <c r="M62" s="134"/>
      <c r="N62" s="134"/>
      <c r="O62" s="134"/>
      <c r="P62" s="134"/>
      <c r="Q62" s="134"/>
      <c r="R62" s="134"/>
      <c r="S62" s="28"/>
      <c r="T62" s="28"/>
      <c r="U62" s="28"/>
      <c r="V62" s="28"/>
      <c r="W62" s="28"/>
      <c r="X62" s="28"/>
      <c r="Y62" s="28"/>
      <c r="Z62" s="28"/>
      <c r="AA62" s="28"/>
      <c r="AB62" s="134"/>
      <c r="AG62" s="29"/>
      <c r="AH62" s="154"/>
      <c r="AI62" s="162"/>
      <c r="AJ62"/>
      <c r="AK62"/>
      <c r="AL62" s="94"/>
      <c r="AM62" s="316"/>
      <c r="AN62" s="425"/>
      <c r="AO62" s="425"/>
      <c r="AP62" s="633"/>
      <c r="AQ62" s="218"/>
      <c r="AR62" s="218"/>
      <c r="AS62" s="94"/>
      <c r="AT62" s="94"/>
      <c r="AU62" s="94"/>
      <c r="AV62" s="29">
        <f t="shared" si="14"/>
        <v>50</v>
      </c>
      <c r="AX62" s="134"/>
      <c r="AY62" s="134"/>
      <c r="AZ62" s="134"/>
    </row>
    <row r="63" spans="1:52" s="104" customFormat="1" ht="17.100000000000001" customHeight="1" x14ac:dyDescent="0.2">
      <c r="A63"/>
      <c r="B63"/>
      <c r="C63"/>
      <c r="D63"/>
      <c r="E63"/>
      <c r="F63" s="28"/>
      <c r="G63" s="28"/>
      <c r="H63" s="28"/>
      <c r="I63" s="28"/>
      <c r="J63" s="28"/>
      <c r="K63" s="134"/>
      <c r="L63" s="134"/>
      <c r="M63" s="134"/>
      <c r="N63" s="134"/>
      <c r="O63" s="134"/>
      <c r="P63" s="134"/>
      <c r="Q63" s="134"/>
      <c r="R63" s="134"/>
      <c r="S63" s="28"/>
      <c r="T63" s="28"/>
      <c r="U63" s="28"/>
      <c r="V63" s="28"/>
      <c r="W63" s="28"/>
      <c r="X63" s="28"/>
      <c r="Y63" s="28"/>
      <c r="Z63" s="28"/>
      <c r="AA63" s="28"/>
      <c r="AB63" s="134"/>
      <c r="AG63" s="29"/>
      <c r="AH63" s="154"/>
      <c r="AI63" s="162"/>
      <c r="AJ63"/>
      <c r="AK63"/>
      <c r="AL63" s="94"/>
      <c r="AM63" s="316"/>
      <c r="AN63" s="425"/>
      <c r="AO63" s="714"/>
      <c r="AP63" s="714"/>
      <c r="AQ63" s="218"/>
      <c r="AR63" s="218"/>
      <c r="AS63" s="94"/>
      <c r="AT63" s="94"/>
      <c r="AU63" s="94"/>
      <c r="AV63" s="29">
        <f t="shared" si="14"/>
        <v>51</v>
      </c>
      <c r="AW63" s="118" t="s">
        <v>505</v>
      </c>
      <c r="AX63" s="134"/>
      <c r="AY63" s="134"/>
      <c r="AZ63" s="134"/>
    </row>
    <row r="64" spans="1:52" s="104" customFormat="1" ht="17.100000000000001" customHeight="1" x14ac:dyDescent="0.2">
      <c r="A64" s="135"/>
      <c r="B64" s="30"/>
      <c r="C64" s="199"/>
      <c r="D64" s="199"/>
      <c r="E64" s="202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28"/>
      <c r="T64" s="28"/>
      <c r="U64" s="28"/>
      <c r="V64" s="28"/>
      <c r="W64" s="28"/>
      <c r="X64" s="28"/>
      <c r="Y64" s="28"/>
      <c r="Z64" s="28"/>
      <c r="AA64" s="28"/>
      <c r="AG64" s="134"/>
      <c r="AH64" s="134"/>
      <c r="AI64" s="134"/>
      <c r="AJ64"/>
      <c r="AK64"/>
      <c r="AL64" s="94"/>
      <c r="AM64"/>
      <c r="AN64"/>
      <c r="AO64"/>
      <c r="AP64"/>
      <c r="AQ64" s="94"/>
      <c r="AR64" s="94"/>
      <c r="AS64" s="94"/>
      <c r="AT64" s="94"/>
      <c r="AU64" s="94"/>
      <c r="AV64" s="29">
        <f t="shared" si="14"/>
        <v>52</v>
      </c>
      <c r="AW64" s="118" t="s">
        <v>663</v>
      </c>
      <c r="AX64" s="134"/>
      <c r="AY64" s="134"/>
      <c r="AZ64" s="134"/>
    </row>
    <row r="65" spans="1:52" s="104" customFormat="1" ht="17.100000000000001" customHeight="1" x14ac:dyDescent="0.2">
      <c r="A65" s="135"/>
      <c r="C65" s="199"/>
      <c r="D65" s="199"/>
      <c r="E65" s="202"/>
      <c r="F65" s="133"/>
      <c r="G65" s="57"/>
      <c r="H65" s="57"/>
      <c r="I65" s="57"/>
      <c r="J65" s="57"/>
      <c r="K65" s="134"/>
      <c r="L65" s="134"/>
      <c r="M65" s="134"/>
      <c r="N65" s="134"/>
      <c r="O65" s="134"/>
      <c r="P65" s="134"/>
      <c r="Q65" s="134"/>
      <c r="R65" s="134"/>
      <c r="S65" s="28"/>
      <c r="T65" s="28"/>
      <c r="U65" s="28"/>
      <c r="V65" s="28"/>
      <c r="W65" s="28"/>
      <c r="X65" s="28"/>
      <c r="Y65" s="28"/>
      <c r="Z65" s="28"/>
      <c r="AA65" s="28"/>
      <c r="AG65" s="134"/>
      <c r="AH65" s="134"/>
      <c r="AI65" s="134"/>
      <c r="AJ65" s="134"/>
      <c r="AK65" s="134"/>
      <c r="AL65" s="94"/>
      <c r="AM65"/>
      <c r="AN65"/>
      <c r="AO65"/>
      <c r="AP65"/>
      <c r="AQ65" s="94"/>
      <c r="AR65" s="94"/>
      <c r="AS65" s="94"/>
      <c r="AT65" s="94"/>
      <c r="AU65" s="94"/>
      <c r="AV65" s="29">
        <f t="shared" si="14"/>
        <v>53</v>
      </c>
      <c r="AW65" s="118" t="s">
        <v>506</v>
      </c>
      <c r="AX65" s="134"/>
      <c r="AY65" s="134"/>
      <c r="AZ65" s="134"/>
    </row>
    <row r="66" spans="1:52" s="104" customFormat="1" ht="17.100000000000001" customHeight="1" x14ac:dyDescent="0.2">
      <c r="A66" s="135"/>
      <c r="E66" s="134"/>
      <c r="F66" s="133"/>
      <c r="G66" s="28"/>
      <c r="H66" s="28"/>
      <c r="I66" s="28"/>
      <c r="J66" s="28"/>
      <c r="K66" s="134"/>
      <c r="L66" s="134"/>
      <c r="M66" s="134"/>
      <c r="N66" s="134"/>
      <c r="O66" s="134"/>
      <c r="P66" s="134"/>
      <c r="Q66" s="134"/>
      <c r="R66" s="134"/>
      <c r="S66" s="28"/>
      <c r="T66" s="28"/>
      <c r="U66" s="28"/>
      <c r="V66" s="28"/>
      <c r="W66" s="28"/>
      <c r="X66" s="28"/>
      <c r="Y66" s="28"/>
      <c r="Z66" s="28"/>
      <c r="AA66" s="28"/>
      <c r="AG66" s="134"/>
      <c r="AH66" s="134"/>
      <c r="AI66" s="134"/>
      <c r="AJ66" s="134"/>
      <c r="AK66" s="134"/>
      <c r="AL66" s="94"/>
      <c r="AM66"/>
      <c r="AN66"/>
      <c r="AO66"/>
      <c r="AP66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</row>
    <row r="67" spans="1:52" s="104" customFormat="1" ht="17.100000000000001" customHeight="1" x14ac:dyDescent="0.2">
      <c r="A67" s="135"/>
      <c r="F67" s="57"/>
      <c r="G67" s="33"/>
      <c r="H67" s="33"/>
      <c r="I67" s="33"/>
      <c r="J67" s="26"/>
      <c r="K67" s="134"/>
      <c r="L67" s="134"/>
      <c r="M67" s="134"/>
      <c r="N67" s="134"/>
      <c r="O67" s="134"/>
      <c r="P67" s="134"/>
      <c r="Q67" s="134"/>
      <c r="R67" s="134"/>
      <c r="S67" s="28"/>
      <c r="T67" s="28"/>
      <c r="U67" s="28"/>
      <c r="V67" s="28"/>
      <c r="W67" s="28"/>
      <c r="X67" s="28"/>
      <c r="Y67" s="28"/>
      <c r="Z67" s="28"/>
      <c r="AA67" s="28"/>
      <c r="AG67" s="134"/>
      <c r="AH67" s="134"/>
      <c r="AI67" s="134"/>
      <c r="AJ67" s="134"/>
      <c r="AK67" s="134"/>
      <c r="AL67" s="134"/>
      <c r="AM67"/>
      <c r="AN67"/>
      <c r="AO67"/>
      <c r="AP67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</row>
    <row r="68" spans="1:52" s="104" customFormat="1" ht="17.100000000000001" customHeight="1" x14ac:dyDescent="0.2">
      <c r="A68" s="105"/>
      <c r="D68" s="117"/>
      <c r="F68" s="49"/>
      <c r="G68" s="133"/>
      <c r="H68" s="133"/>
      <c r="I68" s="133"/>
      <c r="J68" s="133"/>
      <c r="K68" s="134"/>
      <c r="L68" s="134"/>
      <c r="M68" s="134"/>
      <c r="N68" s="134"/>
      <c r="O68" s="134"/>
      <c r="P68" s="134"/>
      <c r="Q68" s="134"/>
      <c r="R68" s="134"/>
      <c r="S68" s="28"/>
      <c r="T68" s="28"/>
      <c r="U68" s="28"/>
      <c r="V68" s="28"/>
      <c r="W68" s="28"/>
      <c r="X68" s="28"/>
      <c r="Y68" s="28"/>
      <c r="Z68" s="28"/>
      <c r="AA68" s="28"/>
      <c r="AG68" s="134"/>
      <c r="AH68" s="134"/>
      <c r="AI68" s="134"/>
      <c r="AJ68" s="134"/>
      <c r="AK68" s="134"/>
      <c r="AL68" s="134"/>
      <c r="AM68"/>
      <c r="AN68"/>
      <c r="AO68"/>
      <c r="AP68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</row>
    <row r="69" spans="1:52" s="104" customFormat="1" ht="17.100000000000001" customHeight="1" x14ac:dyDescent="0.2">
      <c r="F69" s="49"/>
      <c r="G69" s="133"/>
      <c r="H69" s="133"/>
      <c r="I69" s="133"/>
      <c r="J69" s="133"/>
      <c r="K69" s="134"/>
      <c r="L69" s="134"/>
      <c r="M69" s="134"/>
      <c r="N69" s="134"/>
      <c r="O69" s="134"/>
      <c r="P69" s="134"/>
      <c r="Q69" s="134"/>
      <c r="R69" s="134"/>
      <c r="S69" s="28"/>
      <c r="T69" s="28"/>
      <c r="U69" s="28"/>
      <c r="V69" s="28"/>
      <c r="W69" s="28"/>
      <c r="X69" s="28"/>
      <c r="Y69" s="28"/>
      <c r="Z69" s="28"/>
      <c r="AA69" s="28"/>
      <c r="AG69" s="134"/>
      <c r="AH69" s="134"/>
      <c r="AI69" s="134"/>
      <c r="AJ69" s="134"/>
      <c r="AK69" s="134"/>
      <c r="AL69" s="134"/>
      <c r="AM69"/>
      <c r="AN69"/>
      <c r="AO69"/>
      <c r="AP69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</row>
    <row r="70" spans="1:52" s="104" customFormat="1" ht="17.100000000000001" customHeight="1" x14ac:dyDescent="0.2">
      <c r="F70" s="49"/>
      <c r="G70" s="57"/>
      <c r="H70" s="133"/>
      <c r="I70" s="133"/>
      <c r="J70" s="133"/>
      <c r="K70" s="134"/>
      <c r="L70" s="134"/>
      <c r="M70" s="134"/>
      <c r="N70" s="134"/>
      <c r="O70" s="134"/>
      <c r="P70" s="134"/>
      <c r="Q70" s="134"/>
      <c r="R70" s="134"/>
      <c r="S70" s="28"/>
      <c r="T70" s="28"/>
      <c r="U70" s="28"/>
      <c r="V70" s="28"/>
      <c r="W70" s="28"/>
      <c r="X70" s="28"/>
      <c r="Y70" s="28"/>
      <c r="Z70" s="28"/>
      <c r="AA70" s="28"/>
      <c r="AG70" s="134"/>
      <c r="AH70" s="134"/>
      <c r="AI70" s="134"/>
      <c r="AJ70" s="134"/>
      <c r="AK70" s="134"/>
      <c r="AL70" s="134"/>
      <c r="AM70"/>
      <c r="AN70"/>
      <c r="AO70"/>
      <c r="AP70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</row>
    <row r="71" spans="1:52" s="104" customFormat="1" ht="17.100000000000001" customHeight="1" x14ac:dyDescent="0.2">
      <c r="C71" s="117"/>
      <c r="F71" s="133"/>
      <c r="G71" s="49"/>
      <c r="H71" s="133"/>
      <c r="I71" s="133"/>
      <c r="J71" s="133"/>
      <c r="K71" s="134"/>
      <c r="L71" s="134"/>
      <c r="M71" s="134"/>
      <c r="N71" s="134"/>
      <c r="O71" s="134"/>
      <c r="P71" s="134"/>
      <c r="Q71" s="134"/>
      <c r="R71" s="134"/>
      <c r="S71" s="28"/>
      <c r="T71" s="28"/>
      <c r="U71" s="28"/>
      <c r="V71" s="28"/>
      <c r="W71" s="28"/>
      <c r="X71" s="28"/>
      <c r="Y71" s="28"/>
      <c r="Z71" s="28"/>
      <c r="AA71" s="28"/>
      <c r="AG71" s="134"/>
      <c r="AH71" s="134"/>
      <c r="AI71" s="134"/>
      <c r="AJ71" s="134"/>
      <c r="AK71" s="134"/>
      <c r="AL71" s="134"/>
      <c r="AM71"/>
      <c r="AN71"/>
      <c r="AO71"/>
      <c r="AP71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</row>
    <row r="72" spans="1:52" s="104" customFormat="1" ht="17.100000000000001" customHeight="1" x14ac:dyDescent="0.2">
      <c r="F72" s="133"/>
      <c r="G72" s="49"/>
      <c r="H72" s="133"/>
      <c r="I72" s="133"/>
      <c r="J72" s="133"/>
      <c r="K72" s="134"/>
      <c r="L72" s="134"/>
      <c r="M72" s="134"/>
      <c r="N72" s="134"/>
      <c r="O72" s="134"/>
      <c r="P72" s="134"/>
      <c r="Q72" s="134"/>
      <c r="R72" s="134"/>
      <c r="S72" s="28"/>
      <c r="T72" s="28"/>
      <c r="U72" s="28"/>
      <c r="V72" s="28"/>
      <c r="W72" s="28"/>
      <c r="X72" s="28"/>
      <c r="Y72" s="28"/>
      <c r="Z72" s="28"/>
      <c r="AA72" s="28"/>
      <c r="AG72" s="134"/>
      <c r="AH72" s="134"/>
      <c r="AI72" s="134"/>
      <c r="AJ72" s="134"/>
      <c r="AK72" s="134"/>
      <c r="AL72" s="134"/>
      <c r="AM72"/>
      <c r="AN72"/>
      <c r="AO72"/>
      <c r="AP72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</row>
    <row r="73" spans="1:52" s="104" customFormat="1" ht="17.100000000000001" customHeight="1" x14ac:dyDescent="0.2">
      <c r="F73" s="49"/>
      <c r="G73" s="49"/>
      <c r="H73" s="133"/>
      <c r="I73" s="133"/>
      <c r="J73" s="133"/>
      <c r="K73" s="134"/>
      <c r="L73" s="134"/>
      <c r="M73" s="134"/>
      <c r="N73" s="134"/>
      <c r="O73" s="134"/>
      <c r="P73" s="134"/>
      <c r="Q73" s="134"/>
      <c r="R73" s="134"/>
      <c r="S73" s="237"/>
      <c r="T73" s="28"/>
      <c r="U73" s="28"/>
      <c r="V73" s="28"/>
      <c r="W73" s="28"/>
      <c r="X73" s="28"/>
      <c r="Y73" s="28"/>
      <c r="Z73" s="28"/>
      <c r="AA73" s="28"/>
      <c r="AG73" s="134"/>
      <c r="AH73" s="134"/>
      <c r="AI73" s="134"/>
      <c r="AJ73" s="134"/>
      <c r="AK73" s="134"/>
      <c r="AL73" s="134"/>
      <c r="AM73"/>
      <c r="AN73"/>
      <c r="AO73"/>
      <c r="AP73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</row>
    <row r="74" spans="1:52" s="104" customFormat="1" ht="17.100000000000001" customHeight="1" x14ac:dyDescent="0.2">
      <c r="F74" s="57"/>
      <c r="G74" s="133"/>
      <c r="H74" s="133"/>
      <c r="I74" s="133"/>
      <c r="J74" s="133"/>
      <c r="K74" s="134"/>
      <c r="L74" s="134"/>
      <c r="M74" s="134"/>
      <c r="N74" s="134"/>
      <c r="O74" s="134"/>
      <c r="P74" s="134"/>
      <c r="Q74" s="134"/>
      <c r="R74" s="134"/>
      <c r="S74" s="28"/>
      <c r="T74" s="28"/>
      <c r="U74" s="28"/>
      <c r="V74" s="28"/>
      <c r="W74" s="28"/>
      <c r="X74" s="28"/>
      <c r="Y74" s="28"/>
      <c r="Z74" s="28"/>
      <c r="AA74" s="28"/>
      <c r="AG74" s="134"/>
      <c r="AH74" s="134"/>
      <c r="AI74" s="134"/>
      <c r="AJ74" s="134"/>
      <c r="AK74" s="134"/>
      <c r="AL74" s="134"/>
      <c r="AM74"/>
      <c r="AN74"/>
      <c r="AO74"/>
      <c r="AP7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</row>
    <row r="75" spans="1:52" s="104" customFormat="1" ht="17.100000000000001" customHeight="1" x14ac:dyDescent="0.2">
      <c r="F75" s="49"/>
      <c r="G75" s="133"/>
      <c r="H75" s="133"/>
      <c r="I75" s="133"/>
      <c r="J75" s="133"/>
      <c r="K75" s="134"/>
      <c r="L75" s="134"/>
      <c r="M75" s="134"/>
      <c r="N75" s="134"/>
      <c r="O75" s="134"/>
      <c r="P75" s="134"/>
      <c r="Q75" s="134"/>
      <c r="R75" s="134"/>
      <c r="S75" s="236"/>
      <c r="T75" s="28"/>
      <c r="U75" s="28"/>
      <c r="V75" s="28"/>
      <c r="W75" s="28"/>
      <c r="X75" s="28"/>
      <c r="Y75" s="28"/>
      <c r="Z75" s="28"/>
      <c r="AA75" s="28"/>
      <c r="AG75" s="134"/>
      <c r="AH75" s="134"/>
      <c r="AI75" s="134"/>
      <c r="AJ75" s="134"/>
      <c r="AK75" s="134"/>
      <c r="AL75" s="134"/>
      <c r="AM75"/>
      <c r="AN75"/>
      <c r="AO75"/>
      <c r="AP75"/>
      <c r="AQ75" s="134"/>
      <c r="AR75" s="134"/>
      <c r="AS75" s="134"/>
      <c r="AT75" s="134"/>
      <c r="AU75" s="134"/>
      <c r="AV75" s="134"/>
      <c r="AW75" s="134"/>
      <c r="AX75" s="134"/>
      <c r="AY75" s="226"/>
      <c r="AZ75" s="226"/>
    </row>
    <row r="76" spans="1:52" s="104" customFormat="1" ht="17.100000000000001" customHeight="1" x14ac:dyDescent="0.2">
      <c r="F76" s="28"/>
      <c r="G76" s="49"/>
      <c r="H76" s="133"/>
      <c r="I76" s="133"/>
      <c r="J76" s="133"/>
      <c r="K76" s="134"/>
      <c r="L76" s="134"/>
      <c r="M76" s="134"/>
      <c r="N76" s="134"/>
      <c r="O76" s="134"/>
      <c r="P76" s="134"/>
      <c r="Q76" s="134"/>
      <c r="R76" s="134"/>
      <c r="S76" s="28"/>
      <c r="T76" s="28"/>
      <c r="U76" s="28"/>
      <c r="V76" s="28"/>
      <c r="W76" s="28"/>
      <c r="X76" s="28"/>
      <c r="Y76" s="28"/>
      <c r="Z76" s="28"/>
      <c r="AA76" s="28"/>
      <c r="AG76" s="204"/>
      <c r="AH76" s="204"/>
      <c r="AI76" s="204"/>
      <c r="AJ76" s="28"/>
      <c r="AK76" s="28"/>
      <c r="AL76" s="134"/>
      <c r="AM76"/>
      <c r="AN76"/>
      <c r="AO76"/>
      <c r="AP76"/>
      <c r="AQ76" s="134"/>
      <c r="AR76" s="134"/>
      <c r="AS76" s="134"/>
      <c r="AT76" s="134"/>
      <c r="AU76" s="134"/>
      <c r="AV76" s="226"/>
      <c r="AW76" s="226"/>
      <c r="AX76" s="226"/>
      <c r="AY76" s="226"/>
      <c r="AZ76" s="226"/>
    </row>
    <row r="77" spans="1:52" s="104" customFormat="1" ht="17.100000000000001" customHeight="1" x14ac:dyDescent="0.2">
      <c r="F77" s="28"/>
      <c r="G77" s="57"/>
      <c r="H77" s="133"/>
      <c r="I77" s="133"/>
      <c r="J77" s="133"/>
      <c r="K77" s="134"/>
      <c r="L77" s="134"/>
      <c r="M77" s="134"/>
      <c r="N77" s="134"/>
      <c r="O77" s="134"/>
      <c r="P77" s="134"/>
      <c r="Q77" s="134"/>
      <c r="R77" s="134"/>
      <c r="S77" s="28"/>
      <c r="T77" s="28"/>
      <c r="U77" s="28"/>
      <c r="V77" s="28"/>
      <c r="W77" s="28"/>
      <c r="X77" s="28"/>
      <c r="Y77" s="28"/>
      <c r="Z77" s="28"/>
      <c r="AA77" s="28"/>
      <c r="AG77" s="28"/>
      <c r="AH77" s="134"/>
      <c r="AI77" s="134"/>
      <c r="AJ77" s="204"/>
      <c r="AK77" s="28"/>
      <c r="AL77" s="134"/>
      <c r="AM77"/>
      <c r="AN77"/>
      <c r="AO77"/>
      <c r="AP77"/>
      <c r="AQ77" s="226"/>
      <c r="AR77" s="226"/>
      <c r="AS77" s="226"/>
      <c r="AT77" s="226"/>
      <c r="AU77" s="226"/>
      <c r="AV77" s="226"/>
      <c r="AW77" s="226"/>
      <c r="AX77" s="226"/>
      <c r="AY77" s="226"/>
      <c r="AZ77" s="226"/>
    </row>
    <row r="78" spans="1:52" s="104" customFormat="1" ht="17.100000000000001" customHeight="1" x14ac:dyDescent="0.2">
      <c r="F78" s="28"/>
      <c r="G78" s="49"/>
      <c r="H78" s="133"/>
      <c r="I78" s="133"/>
      <c r="J78" s="133"/>
      <c r="K78" s="134"/>
      <c r="L78" s="134"/>
      <c r="M78" s="134"/>
      <c r="N78" s="134"/>
      <c r="O78" s="134"/>
      <c r="P78" s="134"/>
      <c r="Q78" s="134"/>
      <c r="R78" s="134"/>
      <c r="S78" s="28"/>
      <c r="T78" s="28"/>
      <c r="U78" s="28"/>
      <c r="V78" s="28"/>
      <c r="W78" s="28"/>
      <c r="X78" s="28"/>
      <c r="Y78" s="28"/>
      <c r="Z78" s="28"/>
      <c r="AA78" s="28"/>
      <c r="AG78" s="28"/>
      <c r="AH78" s="204"/>
      <c r="AI78" s="204"/>
      <c r="AJ78" s="134"/>
      <c r="AK78" s="28"/>
      <c r="AL78" s="226"/>
      <c r="AM78"/>
      <c r="AN78"/>
      <c r="AO78"/>
      <c r="AP78"/>
      <c r="AQ78" s="226"/>
      <c r="AR78" s="226"/>
      <c r="AS78" s="226"/>
      <c r="AT78" s="226"/>
      <c r="AU78" s="226"/>
      <c r="AV78" s="226"/>
      <c r="AW78" s="226"/>
      <c r="AX78" s="226"/>
      <c r="AY78" s="226"/>
      <c r="AZ78" s="226"/>
    </row>
    <row r="79" spans="1:52" s="104" customFormat="1" ht="17.100000000000001" customHeight="1" x14ac:dyDescent="0.2">
      <c r="F79" s="28"/>
      <c r="G79" s="28"/>
      <c r="H79" s="133"/>
      <c r="I79" s="133"/>
      <c r="J79" s="133"/>
      <c r="K79" s="134"/>
      <c r="L79" s="134"/>
      <c r="M79" s="134"/>
      <c r="N79" s="134"/>
      <c r="O79" s="134"/>
      <c r="P79" s="134"/>
      <c r="Q79" s="134"/>
      <c r="R79" s="134"/>
      <c r="S79" s="33"/>
      <c r="T79" s="28"/>
      <c r="U79" s="28"/>
      <c r="V79" s="28"/>
      <c r="W79" s="28"/>
      <c r="X79" s="28"/>
      <c r="Y79" s="28"/>
      <c r="Z79" s="28"/>
      <c r="AA79" s="28"/>
      <c r="AG79" s="28"/>
      <c r="AH79" s="190"/>
      <c r="AI79" s="190"/>
      <c r="AJ79" s="204"/>
      <c r="AK79" s="28"/>
      <c r="AL79" s="226"/>
      <c r="AM79"/>
      <c r="AN79"/>
      <c r="AO79"/>
      <c r="AP79"/>
      <c r="AQ79" s="226"/>
      <c r="AR79" s="226"/>
      <c r="AS79" s="226"/>
      <c r="AT79" s="226"/>
      <c r="AU79" s="226"/>
      <c r="AV79" s="226"/>
      <c r="AW79" s="226"/>
      <c r="AX79" s="226"/>
      <c r="AY79" s="226"/>
      <c r="AZ79" s="226"/>
    </row>
    <row r="80" spans="1:52" s="104" customFormat="1" ht="17.100000000000001" customHeight="1" x14ac:dyDescent="0.2">
      <c r="F80" s="28"/>
      <c r="G80" s="28"/>
      <c r="H80" s="133"/>
      <c r="I80" s="133"/>
      <c r="J80" s="133"/>
      <c r="K80" s="134"/>
      <c r="L80" s="134"/>
      <c r="M80" s="134"/>
      <c r="N80" s="134"/>
      <c r="O80" s="134"/>
      <c r="P80" s="134"/>
      <c r="Q80" s="134"/>
      <c r="R80" s="134"/>
      <c r="S80" s="28"/>
      <c r="T80" s="28"/>
      <c r="U80" s="28"/>
      <c r="V80" s="28"/>
      <c r="W80" s="28"/>
      <c r="X80" s="28"/>
      <c r="Y80" s="28"/>
      <c r="Z80" s="28"/>
      <c r="AA80" s="28"/>
      <c r="AG80" s="28"/>
      <c r="AH80" s="28"/>
      <c r="AI80" s="28"/>
      <c r="AJ80" s="190"/>
      <c r="AK80" s="28"/>
      <c r="AL80" s="226"/>
      <c r="AM80"/>
      <c r="AN80"/>
      <c r="AO80"/>
      <c r="AP80"/>
      <c r="AQ80" s="226"/>
      <c r="AR80" s="226"/>
      <c r="AS80" s="226"/>
      <c r="AT80" s="226"/>
      <c r="AU80" s="226"/>
      <c r="AV80" s="226"/>
      <c r="AW80" s="226"/>
      <c r="AX80" s="226"/>
      <c r="AY80" s="226"/>
      <c r="AZ80" s="226"/>
    </row>
    <row r="81" spans="6:52" s="104" customFormat="1" ht="17.100000000000001" customHeight="1" x14ac:dyDescent="0.2">
      <c r="F81" s="28"/>
      <c r="G81" s="28"/>
      <c r="H81" s="133"/>
      <c r="I81" s="133"/>
      <c r="J81" s="133"/>
      <c r="K81" s="134"/>
      <c r="L81" s="134"/>
      <c r="M81" s="134"/>
      <c r="N81" s="134"/>
      <c r="O81" s="134"/>
      <c r="P81" s="134"/>
      <c r="Q81" s="134"/>
      <c r="R81" s="134"/>
      <c r="S81" s="28"/>
      <c r="T81" s="28"/>
      <c r="U81" s="28"/>
      <c r="V81" s="28"/>
      <c r="W81" s="28"/>
      <c r="X81" s="28"/>
      <c r="Y81" s="28"/>
      <c r="Z81" s="28"/>
      <c r="AA81" s="28"/>
      <c r="AG81" s="28"/>
      <c r="AH81" s="28"/>
      <c r="AI81" s="28"/>
      <c r="AJ81" s="28"/>
      <c r="AK81" s="28"/>
      <c r="AL81" s="226"/>
      <c r="AM81"/>
      <c r="AN81"/>
      <c r="AO81"/>
      <c r="AP81"/>
      <c r="AQ81" s="226"/>
      <c r="AR81" s="226"/>
      <c r="AS81" s="226"/>
      <c r="AT81" s="226"/>
      <c r="AU81" s="226"/>
      <c r="AV81" s="226"/>
      <c r="AW81" s="226"/>
      <c r="AX81" s="226"/>
      <c r="AY81" s="226"/>
      <c r="AZ81" s="226"/>
    </row>
    <row r="82" spans="6:52" s="104" customFormat="1" ht="17.100000000000001" customHeight="1" x14ac:dyDescent="0.2">
      <c r="F82" s="28"/>
      <c r="G82" s="28"/>
      <c r="H82" s="133"/>
      <c r="I82" s="133"/>
      <c r="J82" s="133"/>
      <c r="K82" s="134"/>
      <c r="L82" s="134"/>
      <c r="M82" s="134"/>
      <c r="N82" s="134"/>
      <c r="O82" s="134"/>
      <c r="P82" s="134"/>
      <c r="Q82" s="134"/>
      <c r="R82" s="134"/>
      <c r="S82" s="28"/>
      <c r="T82" s="28"/>
      <c r="U82" s="28"/>
      <c r="V82" s="28"/>
      <c r="W82" s="28"/>
      <c r="X82" s="28"/>
      <c r="Y82" s="28"/>
      <c r="Z82" s="28"/>
      <c r="AA82" s="28"/>
      <c r="AG82" s="28"/>
      <c r="AH82" s="28"/>
      <c r="AI82" s="28"/>
      <c r="AJ82" s="28"/>
      <c r="AK82" s="28"/>
      <c r="AL82" s="226"/>
      <c r="AM82"/>
      <c r="AN82"/>
      <c r="AO82"/>
      <c r="AP82"/>
      <c r="AQ82" s="226"/>
      <c r="AR82" s="226"/>
      <c r="AS82" s="226"/>
      <c r="AT82" s="226"/>
      <c r="AU82" s="226"/>
      <c r="AV82" s="226"/>
      <c r="AW82" s="226"/>
      <c r="AX82" s="226"/>
      <c r="AY82" s="226"/>
      <c r="AZ82" s="226"/>
    </row>
    <row r="83" spans="6:52" s="104" customFormat="1" ht="17.100000000000001" customHeight="1" x14ac:dyDescent="0.2">
      <c r="F83" s="28"/>
      <c r="G83" s="28"/>
      <c r="H83" s="133"/>
      <c r="I83" s="133"/>
      <c r="J83" s="133"/>
      <c r="K83" s="134"/>
      <c r="L83" s="134"/>
      <c r="M83" s="134"/>
      <c r="N83" s="134"/>
      <c r="O83" s="134"/>
      <c r="P83" s="134"/>
      <c r="Q83" s="134"/>
      <c r="R83" s="134"/>
      <c r="S83" s="28"/>
      <c r="T83" s="28"/>
      <c r="U83" s="28"/>
      <c r="V83" s="28"/>
      <c r="W83" s="28"/>
      <c r="X83" s="28"/>
      <c r="Y83" s="28"/>
      <c r="Z83" s="28"/>
      <c r="AA83" s="28"/>
      <c r="AG83" s="28"/>
      <c r="AH83" s="28"/>
      <c r="AI83" s="28"/>
      <c r="AJ83" s="28"/>
      <c r="AK83" s="28"/>
      <c r="AL83" s="226"/>
      <c r="AM83"/>
      <c r="AN83"/>
      <c r="AO83"/>
      <c r="AP83"/>
      <c r="AQ83" s="226"/>
      <c r="AR83" s="226"/>
      <c r="AS83" s="226"/>
      <c r="AT83" s="226"/>
      <c r="AU83" s="226"/>
      <c r="AV83" s="226"/>
      <c r="AW83" s="226"/>
      <c r="AX83" s="226"/>
      <c r="AY83" s="226"/>
      <c r="AZ83" s="226"/>
    </row>
    <row r="84" spans="6:52" s="104" customFormat="1" ht="17.100000000000001" customHeight="1" x14ac:dyDescent="0.2">
      <c r="F84" s="28"/>
      <c r="G84" s="28"/>
      <c r="H84" s="133"/>
      <c r="I84" s="133"/>
      <c r="J84" s="133"/>
      <c r="K84" s="134"/>
      <c r="L84" s="134"/>
      <c r="M84" s="134"/>
      <c r="N84" s="134"/>
      <c r="O84" s="134"/>
      <c r="P84" s="134"/>
      <c r="Q84" s="134"/>
      <c r="R84" s="134"/>
      <c r="S84" s="28"/>
      <c r="T84" s="28"/>
      <c r="U84" s="28"/>
      <c r="V84" s="28"/>
      <c r="W84" s="28"/>
      <c r="X84" s="28"/>
      <c r="Y84" s="28"/>
      <c r="Z84" s="28"/>
      <c r="AA84" s="28"/>
      <c r="AG84" s="28"/>
      <c r="AH84" s="28"/>
      <c r="AI84" s="28"/>
      <c r="AJ84" s="28"/>
      <c r="AK84" s="28"/>
      <c r="AL84" s="226"/>
      <c r="AM84"/>
      <c r="AN84"/>
      <c r="AO84"/>
      <c r="AP84"/>
      <c r="AQ84" s="226"/>
      <c r="AR84" s="226"/>
      <c r="AS84" s="226"/>
      <c r="AT84" s="226"/>
      <c r="AU84" s="226"/>
      <c r="AV84" s="226"/>
      <c r="AW84" s="226"/>
      <c r="AX84" s="226"/>
      <c r="AY84" s="226"/>
      <c r="AZ84" s="226"/>
    </row>
    <row r="85" spans="6:52" s="104" customFormat="1" ht="17.100000000000001" customHeight="1" x14ac:dyDescent="0.2">
      <c r="F85" s="28"/>
      <c r="G85" s="28"/>
      <c r="H85" s="133"/>
      <c r="I85" s="133"/>
      <c r="J85" s="133"/>
      <c r="K85" s="134"/>
      <c r="L85" s="134"/>
      <c r="M85" s="134"/>
      <c r="N85" s="134"/>
      <c r="O85" s="134"/>
      <c r="P85" s="134"/>
      <c r="Q85" s="134"/>
      <c r="R85" s="134"/>
      <c r="S85" s="28"/>
      <c r="T85" s="28"/>
      <c r="U85" s="28"/>
      <c r="V85" s="28"/>
      <c r="W85" s="28"/>
      <c r="X85" s="28"/>
      <c r="Y85" s="28"/>
      <c r="Z85" s="28"/>
      <c r="AA85" s="28"/>
      <c r="AG85" s="28"/>
      <c r="AH85" s="28"/>
      <c r="AI85" s="28"/>
      <c r="AJ85" s="28"/>
      <c r="AK85" s="28"/>
      <c r="AL85" s="226"/>
      <c r="AM85"/>
      <c r="AN85"/>
      <c r="AO85"/>
      <c r="AP85"/>
      <c r="AQ85" s="226"/>
      <c r="AR85" s="226"/>
      <c r="AS85" s="226"/>
      <c r="AT85" s="226"/>
      <c r="AU85" s="226"/>
      <c r="AV85" s="226"/>
      <c r="AW85" s="226"/>
      <c r="AX85" s="226"/>
      <c r="AY85" s="226"/>
      <c r="AZ85" s="226"/>
    </row>
    <row r="86" spans="6:52" s="104" customFormat="1" ht="17.100000000000001" customHeight="1" x14ac:dyDescent="0.2">
      <c r="F86" s="28"/>
      <c r="G86" s="28"/>
      <c r="H86" s="133"/>
      <c r="I86" s="133"/>
      <c r="J86" s="133"/>
      <c r="K86" s="134"/>
      <c r="L86" s="134"/>
      <c r="M86" s="134"/>
      <c r="N86" s="134"/>
      <c r="O86" s="134"/>
      <c r="P86" s="134"/>
      <c r="Q86" s="134"/>
      <c r="R86" s="134"/>
      <c r="S86" s="28"/>
      <c r="T86" s="28"/>
      <c r="U86" s="28"/>
      <c r="V86" s="28"/>
      <c r="W86" s="28"/>
      <c r="X86" s="28"/>
      <c r="Y86" s="28"/>
      <c r="Z86" s="28"/>
      <c r="AA86" s="28"/>
      <c r="AG86" s="28"/>
      <c r="AH86" s="28"/>
      <c r="AI86" s="28"/>
      <c r="AJ86" s="28"/>
      <c r="AK86" s="28"/>
      <c r="AL86" s="226"/>
      <c r="AM86"/>
      <c r="AN86"/>
      <c r="AO86"/>
      <c r="AP86"/>
      <c r="AQ86" s="226"/>
      <c r="AR86" s="226"/>
      <c r="AS86" s="226"/>
      <c r="AT86" s="226"/>
      <c r="AU86" s="226"/>
      <c r="AV86" s="226"/>
      <c r="AW86" s="226"/>
      <c r="AX86" s="226"/>
      <c r="AY86" s="226"/>
      <c r="AZ86" s="226"/>
    </row>
    <row r="87" spans="6:52" s="104" customFormat="1" ht="17.100000000000001" customHeight="1" x14ac:dyDescent="0.2">
      <c r="F87" s="28"/>
      <c r="G87" s="28"/>
      <c r="H87" s="133"/>
      <c r="I87" s="133"/>
      <c r="J87" s="133"/>
      <c r="K87" s="134"/>
      <c r="L87" s="134"/>
      <c r="M87" s="134"/>
      <c r="N87" s="134"/>
      <c r="O87" s="134"/>
      <c r="P87" s="134"/>
      <c r="Q87" s="134"/>
      <c r="R87" s="134"/>
      <c r="S87" s="28"/>
      <c r="T87" s="28"/>
      <c r="U87" s="28"/>
      <c r="V87" s="28"/>
      <c r="W87" s="28"/>
      <c r="X87" s="28"/>
      <c r="Y87" s="28"/>
      <c r="Z87" s="28"/>
      <c r="AA87" s="28"/>
      <c r="AG87" s="28"/>
      <c r="AH87" s="28"/>
      <c r="AI87" s="28"/>
      <c r="AJ87" s="28"/>
      <c r="AK87" s="28"/>
      <c r="AL87" s="226"/>
      <c r="AM87"/>
      <c r="AN87"/>
      <c r="AO87"/>
      <c r="AP87"/>
      <c r="AQ87" s="226"/>
      <c r="AR87" s="226"/>
      <c r="AS87" s="226"/>
      <c r="AT87" s="226"/>
      <c r="AU87" s="226"/>
      <c r="AV87" s="226"/>
      <c r="AW87" s="226"/>
      <c r="AX87" s="226"/>
      <c r="AY87" s="226"/>
      <c r="AZ87" s="226"/>
    </row>
    <row r="88" spans="6:52" s="104" customFormat="1" ht="17.100000000000001" customHeight="1" x14ac:dyDescent="0.2">
      <c r="F88" s="28"/>
      <c r="G88" s="28"/>
      <c r="H88" s="133"/>
      <c r="I88" s="133"/>
      <c r="J88" s="133"/>
      <c r="K88" s="134"/>
      <c r="L88" s="134"/>
      <c r="M88" s="134"/>
      <c r="N88" s="134"/>
      <c r="O88" s="134"/>
      <c r="P88" s="134"/>
      <c r="Q88" s="134"/>
      <c r="R88" s="134"/>
      <c r="S88" s="28"/>
      <c r="T88" s="28"/>
      <c r="U88" s="28"/>
      <c r="V88" s="28"/>
      <c r="W88" s="28"/>
      <c r="X88" s="28"/>
      <c r="Y88" s="28"/>
      <c r="Z88" s="28"/>
      <c r="AA88" s="28"/>
      <c r="AG88" s="28"/>
      <c r="AH88" s="28"/>
      <c r="AI88" s="28"/>
      <c r="AJ88" s="28"/>
      <c r="AK88" s="28"/>
      <c r="AL88" s="226"/>
      <c r="AM88"/>
      <c r="AN88"/>
      <c r="AO88"/>
      <c r="AP88"/>
      <c r="AQ88" s="226"/>
      <c r="AR88" s="226"/>
      <c r="AS88" s="226"/>
      <c r="AT88" s="226"/>
      <c r="AU88" s="226"/>
      <c r="AV88" s="226"/>
      <c r="AW88" s="226"/>
      <c r="AX88" s="226"/>
      <c r="AY88" s="226"/>
      <c r="AZ88" s="226"/>
    </row>
    <row r="89" spans="6:52" s="104" customFormat="1" ht="17.100000000000001" customHeight="1" x14ac:dyDescent="0.2">
      <c r="F89" s="28"/>
      <c r="G89" s="28"/>
      <c r="H89" s="133"/>
      <c r="I89" s="133"/>
      <c r="J89" s="133"/>
      <c r="K89" s="134"/>
      <c r="L89" s="134"/>
      <c r="M89" s="134"/>
      <c r="N89" s="134"/>
      <c r="O89" s="134"/>
      <c r="P89" s="134"/>
      <c r="Q89" s="134"/>
      <c r="R89" s="134"/>
      <c r="S89" s="28"/>
      <c r="T89" s="28"/>
      <c r="U89" s="28"/>
      <c r="V89" s="28"/>
      <c r="W89" s="28"/>
      <c r="X89" s="28"/>
      <c r="Y89" s="28"/>
      <c r="Z89" s="28"/>
      <c r="AA89" s="28"/>
      <c r="AG89" s="28"/>
      <c r="AH89" s="28"/>
      <c r="AI89" s="28"/>
      <c r="AJ89" s="28"/>
      <c r="AK89" s="28"/>
      <c r="AL89" s="226"/>
      <c r="AM89"/>
      <c r="AN89"/>
      <c r="AO89"/>
      <c r="AP89"/>
      <c r="AQ89" s="226"/>
      <c r="AR89" s="226"/>
      <c r="AS89" s="226"/>
      <c r="AT89" s="226"/>
      <c r="AU89" s="226"/>
      <c r="AV89" s="226"/>
      <c r="AW89" s="226"/>
      <c r="AX89" s="226"/>
      <c r="AY89" s="226"/>
      <c r="AZ89" s="226"/>
    </row>
    <row r="90" spans="6:52" s="104" customFormat="1" ht="17.100000000000001" customHeight="1" x14ac:dyDescent="0.2">
      <c r="F90" s="134"/>
      <c r="G90" s="28"/>
      <c r="H90" s="133"/>
      <c r="I90" s="133"/>
      <c r="J90" s="133"/>
      <c r="K90" s="134"/>
      <c r="L90" s="134"/>
      <c r="M90" s="134"/>
      <c r="N90" s="134"/>
      <c r="O90" s="134"/>
      <c r="P90" s="134"/>
      <c r="Q90" s="134"/>
      <c r="R90" s="134"/>
      <c r="S90" s="28"/>
      <c r="T90" s="28"/>
      <c r="U90" s="28"/>
      <c r="V90" s="28"/>
      <c r="W90" s="28"/>
      <c r="X90" s="28"/>
      <c r="Y90" s="28"/>
      <c r="Z90" s="28"/>
      <c r="AA90" s="28"/>
      <c r="AG90" s="28"/>
      <c r="AH90" s="28"/>
      <c r="AI90" s="28"/>
      <c r="AJ90" s="28"/>
      <c r="AK90" s="28"/>
      <c r="AL90" s="226"/>
      <c r="AM90"/>
      <c r="AN90"/>
      <c r="AO90"/>
      <c r="AP90"/>
      <c r="AQ90" s="226"/>
      <c r="AR90" s="226"/>
      <c r="AS90" s="226"/>
      <c r="AT90" s="226"/>
      <c r="AU90" s="226"/>
      <c r="AV90" s="226"/>
      <c r="AW90" s="226"/>
      <c r="AX90" s="226"/>
      <c r="AY90" s="226"/>
      <c r="AZ90" s="226"/>
    </row>
    <row r="91" spans="6:52" s="104" customFormat="1" ht="17.100000000000001" customHeight="1" x14ac:dyDescent="0.2">
      <c r="F91" s="134"/>
      <c r="G91" s="28"/>
      <c r="H91" s="133"/>
      <c r="I91" s="133"/>
      <c r="J91" s="133"/>
      <c r="K91" s="134"/>
      <c r="L91" s="134"/>
      <c r="M91" s="134"/>
      <c r="N91" s="134"/>
      <c r="O91" s="134"/>
      <c r="P91" s="134"/>
      <c r="Q91" s="134"/>
      <c r="R91" s="134"/>
      <c r="S91" s="28"/>
      <c r="T91" s="28"/>
      <c r="U91" s="28"/>
      <c r="V91" s="28"/>
      <c r="W91" s="28"/>
      <c r="X91" s="28"/>
      <c r="Y91" s="28"/>
      <c r="Z91" s="28"/>
      <c r="AA91" s="28"/>
      <c r="AG91" s="28"/>
      <c r="AH91" s="28"/>
      <c r="AI91" s="28"/>
      <c r="AJ91" s="28"/>
      <c r="AK91" s="28"/>
      <c r="AL91" s="226"/>
      <c r="AM91"/>
      <c r="AN91"/>
      <c r="AO91"/>
      <c r="AP91"/>
      <c r="AQ91" s="226"/>
      <c r="AR91" s="226"/>
      <c r="AS91" s="226"/>
      <c r="AT91" s="226"/>
      <c r="AU91" s="226"/>
      <c r="AV91" s="226"/>
      <c r="AW91" s="226"/>
      <c r="AX91" s="226"/>
      <c r="AY91" s="226"/>
      <c r="AZ91" s="226"/>
    </row>
    <row r="92" spans="6:52" s="104" customFormat="1" ht="17.100000000000001" customHeight="1" x14ac:dyDescent="0.2">
      <c r="F92" s="134"/>
      <c r="G92" s="28"/>
      <c r="H92" s="133"/>
      <c r="I92" s="133"/>
      <c r="J92" s="133"/>
      <c r="K92" s="134"/>
      <c r="L92" s="134"/>
      <c r="M92" s="134"/>
      <c r="N92" s="134"/>
      <c r="O92" s="134"/>
      <c r="P92" s="134"/>
      <c r="Q92" s="134"/>
      <c r="R92" s="134"/>
      <c r="S92" s="28"/>
      <c r="T92" s="28"/>
      <c r="U92" s="28"/>
      <c r="V92" s="28"/>
      <c r="W92" s="28"/>
      <c r="X92" s="28"/>
      <c r="Y92" s="28"/>
      <c r="Z92" s="28"/>
      <c r="AA92" s="28"/>
      <c r="AG92" s="28"/>
      <c r="AH92" s="28"/>
      <c r="AI92" s="28"/>
      <c r="AJ92" s="28"/>
      <c r="AK92" s="28"/>
      <c r="AL92" s="226"/>
      <c r="AM92"/>
      <c r="AN92"/>
      <c r="AO92"/>
      <c r="AP92"/>
      <c r="AQ92" s="226"/>
      <c r="AR92" s="226"/>
      <c r="AS92" s="226"/>
      <c r="AT92" s="226"/>
      <c r="AU92" s="226"/>
      <c r="AV92" s="226"/>
      <c r="AW92" s="226"/>
      <c r="AX92" s="226"/>
      <c r="AY92" s="226"/>
      <c r="AZ92" s="226"/>
    </row>
    <row r="93" spans="6:52" s="104" customFormat="1" ht="17.100000000000001" customHeight="1" x14ac:dyDescent="0.2">
      <c r="F93" s="134"/>
      <c r="G93" s="134"/>
      <c r="H93" s="133"/>
      <c r="I93" s="133"/>
      <c r="J93" s="133"/>
      <c r="K93" s="134"/>
      <c r="L93" s="134"/>
      <c r="M93" s="134"/>
      <c r="N93" s="134"/>
      <c r="O93" s="134"/>
      <c r="P93" s="134"/>
      <c r="Q93" s="134"/>
      <c r="R93" s="134"/>
      <c r="S93" s="28"/>
      <c r="T93" s="28"/>
      <c r="U93" s="28"/>
      <c r="V93" s="28"/>
      <c r="W93" s="28"/>
      <c r="X93" s="28"/>
      <c r="Y93" s="28"/>
      <c r="Z93" s="28"/>
      <c r="AA93" s="28"/>
      <c r="AG93" s="28"/>
      <c r="AH93" s="28"/>
      <c r="AI93" s="28"/>
      <c r="AJ93" s="28"/>
      <c r="AK93" s="28"/>
      <c r="AL93" s="226"/>
      <c r="AM93"/>
      <c r="AN93"/>
      <c r="AO93"/>
      <c r="AP93"/>
      <c r="AQ93" s="226"/>
      <c r="AR93" s="226"/>
      <c r="AS93" s="226"/>
      <c r="AT93" s="226"/>
      <c r="AU93" s="226"/>
      <c r="AV93" s="226"/>
      <c r="AW93" s="226"/>
      <c r="AX93" s="226"/>
      <c r="AY93" s="226"/>
      <c r="AZ93" s="226"/>
    </row>
    <row r="94" spans="6:52" s="104" customFormat="1" ht="17.100000000000001" customHeight="1" x14ac:dyDescent="0.2">
      <c r="F94" s="28"/>
      <c r="G94" s="28"/>
      <c r="H94" s="133"/>
      <c r="I94" s="133"/>
      <c r="J94" s="133"/>
      <c r="K94" s="134"/>
      <c r="L94" s="134"/>
      <c r="M94" s="134"/>
      <c r="N94" s="134"/>
      <c r="O94" s="134"/>
      <c r="P94" s="134"/>
      <c r="Q94" s="134"/>
      <c r="R94" s="134"/>
      <c r="S94" s="28"/>
      <c r="T94" s="28"/>
      <c r="U94" s="28"/>
      <c r="V94" s="28"/>
      <c r="W94" s="28"/>
      <c r="X94" s="28"/>
      <c r="Y94" s="28"/>
      <c r="Z94" s="28"/>
      <c r="AA94" s="28"/>
      <c r="AG94" s="28"/>
      <c r="AH94" s="28"/>
      <c r="AI94" s="28"/>
      <c r="AJ94" s="28"/>
      <c r="AK94" s="28"/>
      <c r="AL94" s="226"/>
      <c r="AM94"/>
      <c r="AN94"/>
      <c r="AO94"/>
      <c r="AP94"/>
      <c r="AQ94" s="226"/>
      <c r="AR94" s="226"/>
      <c r="AS94" s="226"/>
      <c r="AT94" s="226"/>
      <c r="AU94" s="226"/>
      <c r="AV94" s="226"/>
      <c r="AW94" s="226"/>
      <c r="AX94" s="226"/>
      <c r="AY94" s="226"/>
      <c r="AZ94" s="226"/>
    </row>
    <row r="95" spans="6:52" s="104" customFormat="1" ht="17.100000000000001" customHeight="1" x14ac:dyDescent="0.2">
      <c r="F95" s="28"/>
      <c r="G95" s="28"/>
      <c r="H95" s="133"/>
      <c r="I95" s="133"/>
      <c r="J95" s="133"/>
      <c r="K95" s="134"/>
      <c r="L95" s="134"/>
      <c r="M95" s="134"/>
      <c r="N95" s="134"/>
      <c r="O95" s="134"/>
      <c r="P95" s="134"/>
      <c r="Q95" s="134"/>
      <c r="R95" s="134"/>
      <c r="S95" s="28"/>
      <c r="T95" s="28"/>
      <c r="U95" s="28"/>
      <c r="V95" s="28"/>
      <c r="W95" s="28"/>
      <c r="X95" s="28"/>
      <c r="Y95" s="28"/>
      <c r="Z95" s="28"/>
      <c r="AA95" s="28"/>
      <c r="AG95" s="28"/>
      <c r="AH95" s="28"/>
      <c r="AI95" s="28"/>
      <c r="AJ95" s="28"/>
      <c r="AK95" s="28"/>
      <c r="AL95" s="226"/>
      <c r="AM95"/>
      <c r="AN95"/>
      <c r="AO95"/>
      <c r="AP95"/>
      <c r="AQ95" s="226"/>
      <c r="AR95" s="226"/>
      <c r="AS95" s="226"/>
      <c r="AT95" s="226"/>
      <c r="AU95" s="226"/>
      <c r="AV95" s="226"/>
      <c r="AW95" s="226"/>
      <c r="AX95" s="226"/>
      <c r="AY95" s="226"/>
      <c r="AZ95" s="226"/>
    </row>
    <row r="96" spans="6:52" s="104" customFormat="1" ht="17.100000000000001" customHeight="1" x14ac:dyDescent="0.2">
      <c r="F96" s="28"/>
      <c r="G96" s="28"/>
      <c r="H96" s="133"/>
      <c r="I96" s="133"/>
      <c r="J96" s="133"/>
      <c r="K96" s="134"/>
      <c r="L96" s="134"/>
      <c r="M96" s="134"/>
      <c r="N96" s="134"/>
      <c r="O96" s="134"/>
      <c r="P96" s="134"/>
      <c r="Q96" s="134"/>
      <c r="R96" s="134"/>
      <c r="S96" s="28"/>
      <c r="T96" s="28"/>
      <c r="U96" s="28"/>
      <c r="V96" s="28"/>
      <c r="W96" s="28"/>
      <c r="X96" s="28"/>
      <c r="Y96" s="28"/>
      <c r="Z96" s="28"/>
      <c r="AA96" s="28"/>
      <c r="AG96" s="28"/>
      <c r="AH96" s="28"/>
      <c r="AI96" s="28"/>
      <c r="AJ96" s="28"/>
      <c r="AK96" s="28"/>
      <c r="AL96" s="226"/>
      <c r="AM96"/>
      <c r="AN96"/>
      <c r="AO96"/>
      <c r="AP96"/>
      <c r="AQ96" s="226"/>
      <c r="AR96" s="226"/>
      <c r="AS96" s="226"/>
      <c r="AT96" s="226"/>
      <c r="AU96" s="226"/>
      <c r="AV96" s="226"/>
      <c r="AW96" s="226"/>
      <c r="AX96" s="226"/>
      <c r="AY96" s="226"/>
      <c r="AZ96" s="226"/>
    </row>
    <row r="97" spans="6:52" s="104" customFormat="1" ht="17.100000000000001" customHeight="1" x14ac:dyDescent="0.2">
      <c r="F97" s="28"/>
      <c r="G97" s="28"/>
      <c r="H97" s="28"/>
      <c r="I97" s="28"/>
      <c r="J97" s="28"/>
      <c r="K97" s="134"/>
      <c r="L97" s="134"/>
      <c r="M97" s="134"/>
      <c r="N97" s="134"/>
      <c r="O97" s="134"/>
      <c r="P97" s="134"/>
      <c r="Q97" s="134"/>
      <c r="R97" s="134"/>
      <c r="S97" s="28"/>
      <c r="T97" s="28"/>
      <c r="U97" s="28"/>
      <c r="V97" s="28"/>
      <c r="W97" s="28"/>
      <c r="X97" s="28"/>
      <c r="Y97" s="28"/>
      <c r="Z97" s="28"/>
      <c r="AA97" s="28"/>
      <c r="AG97" s="28"/>
      <c r="AH97" s="28"/>
      <c r="AI97" s="28"/>
      <c r="AJ97" s="28"/>
      <c r="AK97" s="28"/>
      <c r="AL97" s="226"/>
      <c r="AM97"/>
      <c r="AN97"/>
      <c r="AO97"/>
      <c r="AP97"/>
      <c r="AQ97" s="226"/>
      <c r="AR97" s="226"/>
      <c r="AS97" s="226"/>
      <c r="AT97" s="226"/>
      <c r="AU97" s="226"/>
      <c r="AV97" s="226"/>
      <c r="AW97" s="226"/>
      <c r="AX97" s="226"/>
      <c r="AY97" s="226"/>
      <c r="AZ97" s="226"/>
    </row>
    <row r="98" spans="6:52" s="104" customFormat="1" ht="17.100000000000001" customHeight="1" x14ac:dyDescent="0.2">
      <c r="F98" s="28"/>
      <c r="G98" s="28"/>
      <c r="H98" s="28"/>
      <c r="I98" s="28"/>
      <c r="J98" s="28"/>
      <c r="K98" s="134"/>
      <c r="L98" s="134"/>
      <c r="M98" s="134"/>
      <c r="N98" s="134"/>
      <c r="O98" s="134"/>
      <c r="P98" s="134"/>
      <c r="Q98" s="134"/>
      <c r="R98" s="134"/>
      <c r="S98" s="28"/>
      <c r="T98" s="28"/>
      <c r="U98" s="28"/>
      <c r="V98" s="28"/>
      <c r="W98" s="28"/>
      <c r="X98" s="28"/>
      <c r="Y98" s="28"/>
      <c r="Z98" s="28"/>
      <c r="AA98" s="28"/>
      <c r="AG98" s="28"/>
      <c r="AH98" s="28"/>
      <c r="AI98" s="28"/>
      <c r="AJ98" s="28"/>
      <c r="AK98" s="28"/>
      <c r="AL98" s="226"/>
      <c r="AM98"/>
      <c r="AN98"/>
      <c r="AO98"/>
      <c r="AP98"/>
      <c r="AQ98" s="226"/>
      <c r="AR98" s="226"/>
      <c r="AS98" s="226"/>
      <c r="AT98" s="226"/>
      <c r="AU98" s="226"/>
      <c r="AV98" s="226"/>
      <c r="AW98" s="226"/>
      <c r="AX98" s="226"/>
      <c r="AY98" s="226"/>
      <c r="AZ98" s="226"/>
    </row>
    <row r="99" spans="6:52" s="104" customFormat="1" ht="17.100000000000001" customHeight="1" x14ac:dyDescent="0.2">
      <c r="F99" s="28"/>
      <c r="G99" s="28"/>
      <c r="H99" s="28"/>
      <c r="I99" s="28"/>
      <c r="J99" s="28"/>
      <c r="K99" s="134"/>
      <c r="L99" s="134"/>
      <c r="M99" s="134"/>
      <c r="N99" s="134"/>
      <c r="O99" s="134"/>
      <c r="P99" s="134"/>
      <c r="Q99" s="134"/>
      <c r="R99" s="134"/>
      <c r="S99" s="28"/>
      <c r="T99" s="28"/>
      <c r="U99" s="28"/>
      <c r="V99" s="28"/>
      <c r="W99" s="28"/>
      <c r="X99" s="28"/>
      <c r="Y99" s="28"/>
      <c r="Z99" s="28"/>
      <c r="AA99" s="28"/>
      <c r="AG99" s="28"/>
      <c r="AH99" s="28"/>
      <c r="AI99" s="28"/>
      <c r="AJ99" s="28"/>
      <c r="AK99" s="28"/>
      <c r="AL99" s="226"/>
      <c r="AM99"/>
      <c r="AN99"/>
      <c r="AO99"/>
      <c r="AP99"/>
      <c r="AQ99" s="226"/>
      <c r="AR99" s="226"/>
      <c r="AS99" s="226"/>
      <c r="AT99" s="226"/>
      <c r="AU99" s="226"/>
      <c r="AV99" s="226"/>
      <c r="AW99" s="226"/>
      <c r="AX99" s="226"/>
      <c r="AY99" s="226"/>
      <c r="AZ99" s="226"/>
    </row>
    <row r="100" spans="6:52" s="104" customFormat="1" ht="17.100000000000001" customHeight="1" x14ac:dyDescent="0.2">
      <c r="F100" s="28"/>
      <c r="G100" s="28"/>
      <c r="H100" s="28"/>
      <c r="I100" s="28"/>
      <c r="J100" s="28"/>
      <c r="K100" s="134"/>
      <c r="L100" s="134"/>
      <c r="M100" s="134"/>
      <c r="N100" s="134"/>
      <c r="O100" s="134"/>
      <c r="P100" s="134"/>
      <c r="Q100" s="134"/>
      <c r="R100" s="134"/>
      <c r="S100" s="28"/>
      <c r="T100" s="28"/>
      <c r="U100" s="28"/>
      <c r="V100" s="28"/>
      <c r="W100" s="28"/>
      <c r="X100" s="28"/>
      <c r="Y100" s="28"/>
      <c r="Z100" s="28"/>
      <c r="AA100" s="28"/>
      <c r="AG100" s="28"/>
      <c r="AH100" s="28"/>
      <c r="AI100" s="28"/>
      <c r="AJ100" s="28"/>
      <c r="AK100" s="28"/>
      <c r="AL100" s="226"/>
      <c r="AM100"/>
      <c r="AN100"/>
      <c r="AO100"/>
      <c r="AP100"/>
      <c r="AQ100" s="226"/>
      <c r="AR100" s="226"/>
      <c r="AS100" s="226"/>
      <c r="AT100" s="226"/>
      <c r="AU100" s="226"/>
      <c r="AV100" s="226"/>
      <c r="AW100" s="226"/>
      <c r="AX100" s="226"/>
      <c r="AY100" s="226"/>
      <c r="AZ100" s="226"/>
    </row>
    <row r="101" spans="6:52" s="104" customFormat="1" ht="17.100000000000001" customHeight="1" x14ac:dyDescent="0.2">
      <c r="F101" s="28"/>
      <c r="G101" s="28"/>
      <c r="H101" s="28"/>
      <c r="I101" s="28"/>
      <c r="J101" s="28"/>
      <c r="K101" s="134"/>
      <c r="L101" s="134"/>
      <c r="M101" s="134"/>
      <c r="N101" s="134"/>
      <c r="O101" s="134"/>
      <c r="P101" s="134"/>
      <c r="Q101" s="134"/>
      <c r="R101" s="134"/>
      <c r="S101" s="28"/>
      <c r="T101" s="28"/>
      <c r="U101" s="28"/>
      <c r="V101" s="28"/>
      <c r="W101" s="28"/>
      <c r="X101" s="28"/>
      <c r="Y101" s="28"/>
      <c r="Z101" s="28"/>
      <c r="AA101" s="28"/>
      <c r="AG101" s="28"/>
      <c r="AH101" s="28"/>
      <c r="AI101" s="28"/>
      <c r="AJ101" s="28"/>
      <c r="AK101" s="28"/>
      <c r="AL101" s="226"/>
      <c r="AM101"/>
      <c r="AN101"/>
      <c r="AO101"/>
      <c r="AP101"/>
      <c r="AQ101" s="226"/>
      <c r="AR101" s="226"/>
      <c r="AS101" s="226"/>
      <c r="AT101" s="226"/>
      <c r="AU101" s="226"/>
      <c r="AV101" s="226"/>
      <c r="AW101" s="226"/>
      <c r="AX101" s="226"/>
      <c r="AY101" s="226"/>
      <c r="AZ101" s="226"/>
    </row>
    <row r="102" spans="6:52" s="104" customFormat="1" ht="17.100000000000001" customHeight="1" x14ac:dyDescent="0.2">
      <c r="F102" s="28"/>
      <c r="G102" s="28"/>
      <c r="H102" s="28"/>
      <c r="I102" s="28"/>
      <c r="J102" s="28"/>
      <c r="K102" s="134"/>
      <c r="L102" s="134"/>
      <c r="M102" s="134"/>
      <c r="N102" s="134"/>
      <c r="O102" s="134"/>
      <c r="P102" s="134"/>
      <c r="Q102" s="134"/>
      <c r="R102" s="134"/>
      <c r="S102" s="28"/>
      <c r="T102" s="28"/>
      <c r="U102" s="28"/>
      <c r="V102" s="28"/>
      <c r="W102" s="28"/>
      <c r="X102" s="28"/>
      <c r="Y102" s="28"/>
      <c r="Z102" s="28"/>
      <c r="AA102" s="28"/>
      <c r="AG102" s="28"/>
      <c r="AH102" s="28"/>
      <c r="AI102" s="28"/>
      <c r="AJ102" s="28"/>
      <c r="AK102" s="28"/>
      <c r="AL102" s="226"/>
      <c r="AM102"/>
      <c r="AN102"/>
      <c r="AO102"/>
      <c r="AP102"/>
      <c r="AQ102" s="226"/>
      <c r="AR102" s="226"/>
      <c r="AS102" s="226"/>
      <c r="AT102" s="226"/>
      <c r="AU102" s="226"/>
      <c r="AV102" s="226"/>
      <c r="AW102" s="226"/>
      <c r="AX102" s="226"/>
      <c r="AY102" s="226"/>
      <c r="AZ102" s="226"/>
    </row>
    <row r="103" spans="6:52" s="104" customFormat="1" ht="17.100000000000001" customHeight="1" x14ac:dyDescent="0.2">
      <c r="F103" s="28"/>
      <c r="G103" s="28"/>
      <c r="H103" s="28"/>
      <c r="I103" s="28"/>
      <c r="J103" s="28"/>
      <c r="K103" s="134"/>
      <c r="L103" s="134"/>
      <c r="M103" s="134"/>
      <c r="N103" s="134"/>
      <c r="O103" s="134"/>
      <c r="P103" s="134"/>
      <c r="Q103" s="134"/>
      <c r="R103" s="134"/>
      <c r="S103" s="28"/>
      <c r="T103" s="28"/>
      <c r="U103" s="28"/>
      <c r="V103" s="28"/>
      <c r="W103" s="28"/>
      <c r="X103" s="28"/>
      <c r="Y103" s="28"/>
      <c r="Z103" s="28"/>
      <c r="AA103" s="28"/>
      <c r="AG103" s="28"/>
      <c r="AH103" s="28"/>
      <c r="AI103" s="28"/>
      <c r="AJ103" s="28"/>
      <c r="AK103" s="28"/>
      <c r="AL103" s="226"/>
      <c r="AM103"/>
      <c r="AN103"/>
      <c r="AO103"/>
      <c r="AP103"/>
      <c r="AQ103" s="226"/>
      <c r="AR103" s="226"/>
      <c r="AS103" s="226"/>
      <c r="AT103" s="226"/>
      <c r="AU103" s="226"/>
      <c r="AV103" s="226"/>
      <c r="AW103" s="226"/>
      <c r="AX103" s="226"/>
      <c r="AY103" s="226"/>
      <c r="AZ103" s="226"/>
    </row>
    <row r="104" spans="6:52" s="104" customFormat="1" ht="17.100000000000001" customHeight="1" x14ac:dyDescent="0.2">
      <c r="F104" s="28"/>
      <c r="G104" s="28"/>
      <c r="H104" s="28"/>
      <c r="I104" s="28"/>
      <c r="J104" s="28"/>
      <c r="K104" s="134"/>
      <c r="L104" s="134"/>
      <c r="M104" s="134"/>
      <c r="N104" s="134"/>
      <c r="O104" s="134"/>
      <c r="P104" s="134"/>
      <c r="Q104" s="134"/>
      <c r="R104" s="134"/>
      <c r="S104" s="28"/>
      <c r="T104" s="28"/>
      <c r="U104" s="28"/>
      <c r="V104" s="28"/>
      <c r="W104" s="28"/>
      <c r="X104" s="28"/>
      <c r="Y104" s="28"/>
      <c r="Z104" s="28"/>
      <c r="AA104" s="28"/>
      <c r="AG104" s="28"/>
      <c r="AH104" s="28"/>
      <c r="AI104" s="28"/>
      <c r="AJ104" s="28"/>
      <c r="AK104" s="28"/>
      <c r="AL104" s="226"/>
      <c r="AM104"/>
      <c r="AN104"/>
      <c r="AO104"/>
      <c r="AP104"/>
      <c r="AQ104" s="226"/>
      <c r="AR104" s="226"/>
      <c r="AS104" s="226"/>
      <c r="AT104" s="226"/>
      <c r="AU104" s="226"/>
      <c r="AV104" s="226"/>
      <c r="AW104" s="226"/>
      <c r="AX104" s="226"/>
      <c r="AY104" s="226"/>
      <c r="AZ104" s="226"/>
    </row>
    <row r="105" spans="6:52" s="104" customFormat="1" ht="17.100000000000001" customHeight="1" x14ac:dyDescent="0.2">
      <c r="F105" s="28"/>
      <c r="G105" s="28"/>
      <c r="H105" s="28"/>
      <c r="I105" s="28"/>
      <c r="J105" s="28"/>
      <c r="K105" s="134"/>
      <c r="L105" s="134"/>
      <c r="M105" s="134"/>
      <c r="N105" s="134"/>
      <c r="O105" s="134"/>
      <c r="P105" s="134"/>
      <c r="Q105" s="134"/>
      <c r="R105" s="134"/>
      <c r="S105" s="28"/>
      <c r="T105" s="28"/>
      <c r="U105" s="28"/>
      <c r="V105" s="28"/>
      <c r="W105" s="28"/>
      <c r="X105" s="28"/>
      <c r="Y105" s="28"/>
      <c r="Z105" s="28"/>
      <c r="AA105" s="28"/>
      <c r="AG105" s="28"/>
      <c r="AH105" s="28"/>
      <c r="AI105" s="28"/>
      <c r="AJ105" s="28"/>
      <c r="AK105" s="28"/>
      <c r="AL105" s="226"/>
      <c r="AM105"/>
      <c r="AN105"/>
      <c r="AO105"/>
      <c r="AP105"/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6"/>
    </row>
    <row r="106" spans="6:52" s="104" customFormat="1" ht="17.100000000000001" customHeight="1" x14ac:dyDescent="0.2">
      <c r="F106" s="28"/>
      <c r="G106" s="28"/>
      <c r="H106" s="28"/>
      <c r="I106" s="28"/>
      <c r="J106" s="28"/>
      <c r="K106" s="134"/>
      <c r="L106" s="134"/>
      <c r="M106" s="134"/>
      <c r="N106" s="134"/>
      <c r="O106" s="134"/>
      <c r="P106" s="134"/>
      <c r="Q106" s="134"/>
      <c r="R106" s="134"/>
      <c r="S106" s="28"/>
      <c r="T106" s="28"/>
      <c r="U106" s="28"/>
      <c r="V106" s="28"/>
      <c r="W106" s="28"/>
      <c r="X106" s="28"/>
      <c r="Y106" s="28"/>
      <c r="Z106" s="28"/>
      <c r="AA106" s="28"/>
      <c r="AG106" s="28"/>
      <c r="AH106" s="28"/>
      <c r="AI106" s="28"/>
      <c r="AJ106" s="28"/>
      <c r="AK106" s="28"/>
      <c r="AL106" s="226"/>
      <c r="AM106"/>
      <c r="AN106"/>
      <c r="AO106"/>
      <c r="AP106"/>
      <c r="AQ106" s="226"/>
      <c r="AR106" s="226"/>
      <c r="AS106" s="226"/>
      <c r="AT106" s="226"/>
      <c r="AU106" s="226"/>
      <c r="AV106" s="226"/>
      <c r="AW106" s="226"/>
      <c r="AX106" s="226"/>
      <c r="AY106" s="204"/>
      <c r="AZ106" s="204"/>
    </row>
    <row r="107" spans="6:52" s="104" customFormat="1" ht="17.100000000000001" customHeight="1" x14ac:dyDescent="0.2">
      <c r="F107" s="28"/>
      <c r="G107" s="28"/>
      <c r="H107" s="28"/>
      <c r="I107" s="28"/>
      <c r="J107" s="28"/>
      <c r="K107" s="134"/>
      <c r="L107" s="134"/>
      <c r="M107" s="134"/>
      <c r="N107" s="134"/>
      <c r="O107" s="134"/>
      <c r="P107" s="134"/>
      <c r="Q107" s="134"/>
      <c r="R107" s="134"/>
      <c r="S107" s="28"/>
      <c r="T107" s="28"/>
      <c r="U107" s="28"/>
      <c r="V107" s="28"/>
      <c r="W107" s="28"/>
      <c r="X107" s="28"/>
      <c r="Y107" s="28"/>
      <c r="Z107" s="28"/>
      <c r="AA107" s="28"/>
      <c r="AG107" s="28"/>
      <c r="AH107" s="28"/>
      <c r="AI107" s="28"/>
      <c r="AJ107" s="28"/>
      <c r="AK107" s="204">
        <v>-8389017.6852083318</v>
      </c>
      <c r="AL107" s="226"/>
      <c r="AM107"/>
      <c r="AN107"/>
      <c r="AO107"/>
      <c r="AP107"/>
      <c r="AQ107" s="226"/>
      <c r="AR107" s="226"/>
      <c r="AS107" s="226"/>
      <c r="AT107" s="226"/>
      <c r="AU107" s="226"/>
      <c r="AV107" s="204"/>
      <c r="AW107" s="204"/>
      <c r="AX107" s="204"/>
      <c r="AY107" s="134"/>
      <c r="AZ107" s="134"/>
    </row>
    <row r="108" spans="6:52" s="104" customFormat="1" ht="17.100000000000001" customHeight="1" x14ac:dyDescent="0.2">
      <c r="F108" s="28"/>
      <c r="G108" s="28"/>
      <c r="H108" s="28"/>
      <c r="I108" s="28"/>
      <c r="J108" s="28"/>
      <c r="K108" s="134"/>
      <c r="L108" s="134"/>
      <c r="M108" s="134"/>
      <c r="N108" s="134"/>
      <c r="O108" s="134"/>
      <c r="P108" s="134"/>
      <c r="Q108" s="134"/>
      <c r="R108" s="134"/>
      <c r="S108" s="28"/>
      <c r="T108" s="28"/>
      <c r="U108" s="28"/>
      <c r="V108" s="28"/>
      <c r="W108" s="28"/>
      <c r="X108" s="28"/>
      <c r="Y108" s="28"/>
      <c r="Z108" s="28"/>
      <c r="AA108" s="28"/>
      <c r="AG108" s="28"/>
      <c r="AH108" s="28"/>
      <c r="AI108" s="28"/>
      <c r="AJ108" s="28"/>
      <c r="AK108" s="134"/>
      <c r="AL108" s="226"/>
      <c r="AM108"/>
      <c r="AN108"/>
      <c r="AO108"/>
      <c r="AP108"/>
      <c r="AQ108" s="204"/>
      <c r="AR108" s="204"/>
      <c r="AS108" s="204"/>
      <c r="AT108" s="204"/>
      <c r="AU108" s="204"/>
      <c r="AV108" s="134"/>
      <c r="AW108" s="134"/>
      <c r="AX108" s="134"/>
      <c r="AY108" s="204"/>
      <c r="AZ108" s="204"/>
    </row>
    <row r="109" spans="6:52" s="104" customFormat="1" ht="17.100000000000001" customHeight="1" x14ac:dyDescent="0.2">
      <c r="F109" s="28"/>
      <c r="G109" s="28"/>
      <c r="H109" s="28"/>
      <c r="I109" s="28"/>
      <c r="J109" s="28"/>
      <c r="K109" s="134"/>
      <c r="L109" s="134"/>
      <c r="M109" s="134"/>
      <c r="N109" s="134"/>
      <c r="O109" s="134"/>
      <c r="P109" s="134"/>
      <c r="Q109" s="134"/>
      <c r="R109" s="134"/>
      <c r="S109" s="28"/>
      <c r="T109" s="28"/>
      <c r="U109" s="28"/>
      <c r="V109" s="28"/>
      <c r="W109" s="28"/>
      <c r="X109" s="28"/>
      <c r="Y109" s="28"/>
      <c r="Z109" s="28"/>
      <c r="AA109" s="28"/>
      <c r="AG109" s="28"/>
      <c r="AH109" s="28"/>
      <c r="AI109" s="28"/>
      <c r="AJ109" s="28"/>
      <c r="AK109" s="204">
        <f>AK72-AK107</f>
        <v>8389017.6852083318</v>
      </c>
      <c r="AL109" s="204"/>
      <c r="AM109"/>
      <c r="AN109"/>
      <c r="AO109"/>
      <c r="AP109"/>
      <c r="AQ109" s="134"/>
      <c r="AR109" s="134"/>
      <c r="AS109" s="134"/>
      <c r="AT109" s="134"/>
      <c r="AU109" s="134"/>
      <c r="AV109" s="204"/>
      <c r="AW109" s="204"/>
      <c r="AX109" s="204"/>
      <c r="AY109" s="204"/>
      <c r="AZ109" s="204"/>
    </row>
    <row r="110" spans="6:52" s="104" customFormat="1" ht="17.100000000000001" customHeight="1" x14ac:dyDescent="0.2">
      <c r="F110" s="28"/>
      <c r="G110" s="28"/>
      <c r="H110" s="28"/>
      <c r="I110" s="28"/>
      <c r="J110" s="28"/>
      <c r="K110" s="134"/>
      <c r="L110" s="134"/>
      <c r="M110" s="134"/>
      <c r="N110" s="134"/>
      <c r="O110" s="134"/>
      <c r="P110" s="134"/>
      <c r="Q110" s="134"/>
      <c r="R110" s="134"/>
      <c r="S110" s="28"/>
      <c r="T110" s="28"/>
      <c r="U110" s="28"/>
      <c r="V110" s="28"/>
      <c r="W110" s="28"/>
      <c r="X110" s="28"/>
      <c r="Y110" s="28"/>
      <c r="Z110" s="28"/>
      <c r="AA110" s="28"/>
      <c r="AG110" s="28"/>
      <c r="AH110" s="28"/>
      <c r="AI110" s="28"/>
      <c r="AJ110" s="28"/>
      <c r="AK110" s="204"/>
      <c r="AL110" s="134"/>
      <c r="AM110"/>
      <c r="AN110"/>
      <c r="AO110"/>
      <c r="AP110"/>
      <c r="AQ110" s="204"/>
      <c r="AR110" s="204"/>
      <c r="AS110" s="204"/>
      <c r="AT110" s="204"/>
      <c r="AU110" s="204"/>
      <c r="AV110" s="204"/>
      <c r="AW110" s="204"/>
      <c r="AX110" s="204"/>
      <c r="AY110" s="204"/>
      <c r="AZ110" s="204"/>
    </row>
    <row r="111" spans="6:52" s="104" customFormat="1" ht="17.100000000000001" customHeight="1" x14ac:dyDescent="0.2">
      <c r="F111" s="28"/>
      <c r="G111" s="28"/>
      <c r="H111" s="28"/>
      <c r="I111" s="28"/>
      <c r="J111" s="28"/>
      <c r="K111" s="134"/>
      <c r="L111" s="134"/>
      <c r="M111" s="134"/>
      <c r="N111" s="134"/>
      <c r="O111" s="134"/>
      <c r="P111" s="134"/>
      <c r="Q111" s="134"/>
      <c r="R111" s="134"/>
      <c r="S111" s="28"/>
      <c r="T111" s="28"/>
      <c r="U111" s="28"/>
      <c r="V111" s="28"/>
      <c r="W111" s="28"/>
      <c r="X111" s="28"/>
      <c r="Y111" s="28"/>
      <c r="Z111" s="28"/>
      <c r="AA111" s="28"/>
      <c r="AG111" s="28"/>
      <c r="AH111" s="28"/>
      <c r="AI111" s="28"/>
      <c r="AJ111" s="28"/>
      <c r="AK111" s="204">
        <v>0</v>
      </c>
      <c r="AL111" s="204"/>
      <c r="AM111"/>
      <c r="AN111"/>
      <c r="AO111"/>
      <c r="AP111"/>
      <c r="AQ111" s="204"/>
      <c r="AR111" s="204"/>
      <c r="AS111" s="204"/>
      <c r="AT111" s="204"/>
      <c r="AU111" s="204"/>
      <c r="AV111" s="204"/>
      <c r="AW111" s="204"/>
      <c r="AX111" s="204"/>
      <c r="AY111" s="134"/>
      <c r="AZ111" s="134"/>
    </row>
    <row r="112" spans="6:52" s="104" customFormat="1" ht="17.100000000000001" customHeight="1" x14ac:dyDescent="0.2">
      <c r="F112" s="28"/>
      <c r="G112" s="28"/>
      <c r="H112" s="28"/>
      <c r="I112" s="28"/>
      <c r="J112" s="28"/>
      <c r="K112" s="134"/>
      <c r="L112" s="134"/>
      <c r="M112" s="134"/>
      <c r="N112" s="134"/>
      <c r="O112" s="134"/>
      <c r="P112" s="134"/>
      <c r="Q112" s="134"/>
      <c r="R112" s="134"/>
      <c r="S112" s="28"/>
      <c r="T112" s="28"/>
      <c r="U112" s="28"/>
      <c r="V112" s="28"/>
      <c r="W112" s="28"/>
      <c r="X112" s="28"/>
      <c r="Y112" s="28"/>
      <c r="Z112" s="28"/>
      <c r="AA112" s="28"/>
      <c r="AG112" s="28"/>
      <c r="AH112" s="28"/>
      <c r="AI112" s="28"/>
      <c r="AJ112" s="28"/>
      <c r="AK112" s="134"/>
      <c r="AL112" s="204"/>
      <c r="AM112"/>
      <c r="AN112"/>
      <c r="AO112"/>
      <c r="AP112"/>
      <c r="AQ112" s="204"/>
      <c r="AR112" s="204"/>
      <c r="AS112" s="204"/>
      <c r="AT112" s="204"/>
      <c r="AU112" s="204"/>
      <c r="AV112" s="134"/>
      <c r="AW112" s="134"/>
      <c r="AX112" s="134"/>
      <c r="AY112" s="204"/>
      <c r="AZ112" s="204"/>
    </row>
    <row r="113" spans="1:52" s="104" customFormat="1" ht="17.100000000000001" customHeight="1" x14ac:dyDescent="0.2">
      <c r="F113" s="28"/>
      <c r="G113" s="28"/>
      <c r="H113" s="28"/>
      <c r="I113" s="28"/>
      <c r="J113" s="28"/>
      <c r="K113" s="134"/>
      <c r="L113" s="134"/>
      <c r="M113" s="134"/>
      <c r="N113" s="134"/>
      <c r="O113" s="134"/>
      <c r="P113" s="134"/>
      <c r="Q113" s="134"/>
      <c r="R113" s="134"/>
      <c r="S113" s="28"/>
      <c r="T113" s="28"/>
      <c r="U113" s="28"/>
      <c r="V113" s="28"/>
      <c r="W113" s="28"/>
      <c r="X113" s="28"/>
      <c r="Y113" s="28"/>
      <c r="Z113" s="28"/>
      <c r="AA113" s="28"/>
      <c r="AG113" s="28"/>
      <c r="AH113" s="28"/>
      <c r="AI113" s="28"/>
      <c r="AJ113" s="28"/>
      <c r="AK113" s="204">
        <v>0</v>
      </c>
      <c r="AL113" s="204"/>
      <c r="AM113"/>
      <c r="AN113"/>
      <c r="AO113"/>
      <c r="AP113"/>
      <c r="AQ113" s="134"/>
      <c r="AR113" s="134"/>
      <c r="AS113" s="134"/>
      <c r="AT113" s="134"/>
      <c r="AU113" s="134"/>
      <c r="AV113" s="204"/>
      <c r="AW113" s="204"/>
      <c r="AX113" s="204"/>
      <c r="AY113" s="226"/>
      <c r="AZ113" s="226"/>
    </row>
    <row r="114" spans="1:52" s="104" customFormat="1" ht="17.100000000000001" customHeight="1" x14ac:dyDescent="0.2">
      <c r="F114" s="28"/>
      <c r="G114" s="28"/>
      <c r="H114" s="28"/>
      <c r="I114" s="28"/>
      <c r="J114" s="28"/>
      <c r="K114" s="134"/>
      <c r="L114" s="134"/>
      <c r="M114" s="134"/>
      <c r="N114" s="134"/>
      <c r="O114" s="134"/>
      <c r="P114" s="134"/>
      <c r="Q114" s="134"/>
      <c r="R114" s="134"/>
      <c r="S114" s="28"/>
      <c r="T114" s="28"/>
      <c r="U114" s="28"/>
      <c r="V114" s="28"/>
      <c r="W114" s="28"/>
      <c r="X114" s="28"/>
      <c r="Y114" s="28"/>
      <c r="Z114" s="28"/>
      <c r="AA114" s="28"/>
      <c r="AG114" s="28"/>
      <c r="AH114" s="28"/>
      <c r="AI114" s="28"/>
      <c r="AJ114" s="28"/>
      <c r="AK114" s="28"/>
      <c r="AL114" s="134"/>
      <c r="AM114"/>
      <c r="AN114"/>
      <c r="AO114"/>
      <c r="AP114"/>
      <c r="AQ114" s="204"/>
      <c r="AR114" s="204"/>
      <c r="AS114" s="204"/>
      <c r="AT114" s="204"/>
      <c r="AU114" s="204"/>
      <c r="AV114" s="226"/>
      <c r="AW114" s="226"/>
      <c r="AX114" s="226"/>
      <c r="AY114" s="226"/>
      <c r="AZ114" s="226"/>
    </row>
    <row r="115" spans="1:52" s="104" customFormat="1" ht="17.100000000000001" customHeight="1" x14ac:dyDescent="0.2">
      <c r="F115" s="28"/>
      <c r="G115" s="28"/>
      <c r="H115" s="28"/>
      <c r="I115" s="28"/>
      <c r="J115" s="28"/>
      <c r="K115" s="134"/>
      <c r="L115" s="134"/>
      <c r="M115" s="134"/>
      <c r="N115" s="134"/>
      <c r="O115" s="134"/>
      <c r="P115" s="134"/>
      <c r="Q115" s="134"/>
      <c r="R115" s="134"/>
      <c r="S115" s="28"/>
      <c r="T115" s="28"/>
      <c r="U115" s="28"/>
      <c r="V115" s="28"/>
      <c r="W115" s="28"/>
      <c r="X115" s="28"/>
      <c r="Y115" s="28"/>
      <c r="Z115" s="28"/>
      <c r="AA115" s="28"/>
      <c r="AG115" s="28"/>
      <c r="AH115" s="28"/>
      <c r="AI115" s="28"/>
      <c r="AJ115" s="28"/>
      <c r="AK115" s="28"/>
      <c r="AL115" s="204"/>
      <c r="AM115"/>
      <c r="AN115"/>
      <c r="AO115"/>
      <c r="AP115"/>
      <c r="AQ115" s="226"/>
      <c r="AR115" s="226"/>
      <c r="AS115" s="226"/>
      <c r="AT115" s="226"/>
      <c r="AU115" s="226"/>
      <c r="AV115" s="226"/>
      <c r="AW115" s="226"/>
      <c r="AX115" s="226"/>
      <c r="AY115" s="226"/>
      <c r="AZ115" s="226"/>
    </row>
    <row r="116" spans="1:52" s="104" customFormat="1" ht="17.100000000000001" customHeight="1" x14ac:dyDescent="0.2">
      <c r="F116" s="28"/>
      <c r="G116" s="28"/>
      <c r="H116" s="28"/>
      <c r="I116" s="28"/>
      <c r="J116" s="28"/>
      <c r="K116" s="134"/>
      <c r="L116" s="134"/>
      <c r="M116" s="134"/>
      <c r="N116" s="134"/>
      <c r="O116" s="134"/>
      <c r="P116" s="134"/>
      <c r="Q116" s="134"/>
      <c r="R116" s="134"/>
      <c r="S116" s="28"/>
      <c r="T116" s="28"/>
      <c r="U116" s="28"/>
      <c r="V116" s="28"/>
      <c r="W116" s="28"/>
      <c r="X116" s="28"/>
      <c r="Y116" s="28"/>
      <c r="Z116" s="28"/>
      <c r="AA116" s="28"/>
      <c r="AG116" s="28"/>
      <c r="AH116" s="28"/>
      <c r="AI116" s="28"/>
      <c r="AJ116" s="28"/>
      <c r="AK116" s="28"/>
      <c r="AL116" s="226"/>
      <c r="AM116"/>
      <c r="AN116"/>
      <c r="AO116"/>
      <c r="AP116"/>
      <c r="AQ116" s="226"/>
      <c r="AR116" s="226"/>
      <c r="AS116" s="226"/>
      <c r="AT116" s="226"/>
      <c r="AU116" s="226"/>
      <c r="AV116" s="226"/>
      <c r="AW116" s="226"/>
      <c r="AX116" s="226"/>
      <c r="AY116" s="226"/>
      <c r="AZ116" s="226"/>
    </row>
    <row r="117" spans="1:52" s="104" customFormat="1" ht="17.100000000000001" customHeight="1" x14ac:dyDescent="0.2">
      <c r="F117" s="28"/>
      <c r="G117" s="28"/>
      <c r="H117" s="28"/>
      <c r="I117" s="28"/>
      <c r="J117" s="28"/>
      <c r="K117" s="134"/>
      <c r="L117" s="134"/>
      <c r="M117" s="134"/>
      <c r="N117" s="134"/>
      <c r="O117" s="134"/>
      <c r="P117" s="134"/>
      <c r="Q117" s="134"/>
      <c r="R117" s="134"/>
      <c r="S117" s="28"/>
      <c r="T117" s="28"/>
      <c r="U117" s="28"/>
      <c r="V117" s="28"/>
      <c r="W117" s="28"/>
      <c r="X117" s="28"/>
      <c r="Y117" s="28"/>
      <c r="Z117" s="28"/>
      <c r="AA117" s="28"/>
      <c r="AC117" s="94"/>
      <c r="AD117" s="94"/>
      <c r="AE117" s="94"/>
      <c r="AF117" s="94"/>
      <c r="AG117" s="28"/>
      <c r="AH117" s="28"/>
      <c r="AI117" s="28"/>
      <c r="AJ117" s="28"/>
      <c r="AK117" s="28"/>
      <c r="AL117" s="226"/>
      <c r="AM117"/>
      <c r="AN117"/>
      <c r="AO117"/>
      <c r="AP117"/>
      <c r="AQ117" s="226"/>
      <c r="AR117" s="226"/>
      <c r="AS117" s="226"/>
      <c r="AT117" s="226"/>
      <c r="AU117" s="226"/>
      <c r="AV117" s="226"/>
      <c r="AW117" s="226"/>
      <c r="AX117" s="226"/>
      <c r="AY117" s="226"/>
      <c r="AZ117" s="226"/>
    </row>
    <row r="118" spans="1:52" s="104" customFormat="1" ht="17.100000000000001" customHeight="1" x14ac:dyDescent="0.2">
      <c r="F118" s="28"/>
      <c r="G118" s="28"/>
      <c r="H118" s="28"/>
      <c r="I118" s="28"/>
      <c r="J118" s="28"/>
      <c r="K118" s="134"/>
      <c r="L118" s="134"/>
      <c r="M118" s="134"/>
      <c r="N118" s="134"/>
      <c r="O118" s="134"/>
      <c r="P118" s="134"/>
      <c r="Q118" s="134"/>
      <c r="R118" s="134"/>
      <c r="S118" s="28"/>
      <c r="T118" s="28"/>
      <c r="U118" s="28"/>
      <c r="V118" s="28"/>
      <c r="W118" s="28"/>
      <c r="X118" s="28"/>
      <c r="Y118" s="28"/>
      <c r="Z118" s="28"/>
      <c r="AA118" s="28"/>
      <c r="AC118" s="94"/>
      <c r="AD118" s="94"/>
      <c r="AE118" s="94"/>
      <c r="AF118" s="94"/>
      <c r="AG118" s="28"/>
      <c r="AH118" s="28"/>
      <c r="AI118" s="28"/>
      <c r="AJ118" s="28"/>
      <c r="AK118" s="28"/>
      <c r="AL118" s="226"/>
      <c r="AM118"/>
      <c r="AN118"/>
      <c r="AO118"/>
      <c r="AP118"/>
      <c r="AQ118" s="226"/>
      <c r="AR118" s="226"/>
      <c r="AS118" s="226"/>
      <c r="AT118" s="226"/>
      <c r="AU118" s="226"/>
      <c r="AV118" s="226"/>
      <c r="AW118" s="226"/>
      <c r="AX118" s="226"/>
      <c r="AY118" s="226"/>
      <c r="AZ118" s="226"/>
    </row>
    <row r="119" spans="1:52" s="104" customFormat="1" ht="17.100000000000001" customHeight="1" x14ac:dyDescent="0.2">
      <c r="F119" s="28"/>
      <c r="G119" s="28"/>
      <c r="H119" s="28"/>
      <c r="I119" s="28"/>
      <c r="J119" s="28"/>
      <c r="K119" s="134"/>
      <c r="L119" s="134"/>
      <c r="M119" s="134"/>
      <c r="N119" s="134"/>
      <c r="O119" s="134"/>
      <c r="P119" s="134"/>
      <c r="Q119" s="134"/>
      <c r="R119" s="134"/>
      <c r="S119" s="28"/>
      <c r="T119" s="28"/>
      <c r="U119" s="28"/>
      <c r="V119" s="28"/>
      <c r="W119" s="28"/>
      <c r="X119" s="28"/>
      <c r="Y119" s="28"/>
      <c r="Z119" s="28"/>
      <c r="AA119" s="28"/>
      <c r="AC119" s="94"/>
      <c r="AD119" s="94"/>
      <c r="AE119" s="94"/>
      <c r="AF119" s="94"/>
      <c r="AG119" s="28"/>
      <c r="AH119" s="28"/>
      <c r="AI119" s="28"/>
      <c r="AJ119" s="28"/>
      <c r="AK119" s="28"/>
      <c r="AL119" s="226"/>
      <c r="AM119"/>
      <c r="AN119"/>
      <c r="AO119"/>
      <c r="AP119"/>
      <c r="AQ119" s="226"/>
      <c r="AR119" s="226"/>
      <c r="AS119" s="226"/>
      <c r="AT119" s="226"/>
      <c r="AU119" s="226"/>
      <c r="AV119" s="226"/>
      <c r="AW119" s="226"/>
      <c r="AX119" s="226"/>
      <c r="AY119" s="226"/>
      <c r="AZ119" s="226"/>
    </row>
    <row r="120" spans="1:52" s="104" customFormat="1" ht="17.100000000000001" customHeight="1" x14ac:dyDescent="0.2">
      <c r="F120" s="28"/>
      <c r="G120" s="28"/>
      <c r="H120" s="28"/>
      <c r="I120" s="28"/>
      <c r="J120" s="28"/>
      <c r="K120" s="134"/>
      <c r="L120" s="134"/>
      <c r="M120" s="134"/>
      <c r="N120" s="134"/>
      <c r="O120" s="52"/>
      <c r="P120" s="52"/>
      <c r="Q120" s="52"/>
      <c r="R120" s="52"/>
      <c r="S120" s="28"/>
      <c r="T120" s="28"/>
      <c r="U120" s="28"/>
      <c r="V120" s="28"/>
      <c r="W120" s="28"/>
      <c r="X120" s="28"/>
      <c r="Y120" s="28"/>
      <c r="Z120" s="28"/>
      <c r="AA120" s="28"/>
      <c r="AC120" s="94"/>
      <c r="AD120" s="94"/>
      <c r="AE120" s="94"/>
      <c r="AF120" s="94"/>
      <c r="AG120" s="28"/>
      <c r="AH120" s="28"/>
      <c r="AI120" s="28"/>
      <c r="AJ120" s="28"/>
      <c r="AK120" s="28"/>
      <c r="AL120" s="226"/>
      <c r="AM120"/>
      <c r="AN120"/>
      <c r="AO120"/>
      <c r="AP120"/>
      <c r="AQ120" s="226"/>
      <c r="AR120" s="226"/>
      <c r="AS120" s="226"/>
      <c r="AT120" s="226"/>
      <c r="AU120" s="226"/>
      <c r="AV120" s="226"/>
      <c r="AW120" s="226"/>
      <c r="AX120" s="226"/>
      <c r="AY120" s="226"/>
      <c r="AZ120" s="226"/>
    </row>
    <row r="121" spans="1:52" s="104" customFormat="1" ht="17.100000000000001" customHeight="1" x14ac:dyDescent="0.2">
      <c r="F121" s="28"/>
      <c r="G121" s="28"/>
      <c r="H121" s="28"/>
      <c r="I121" s="28"/>
      <c r="J121" s="28"/>
      <c r="K121" s="134"/>
      <c r="L121" s="134"/>
      <c r="M121" s="134"/>
      <c r="N121" s="134"/>
      <c r="O121" s="52"/>
      <c r="P121" s="52"/>
      <c r="Q121" s="52"/>
      <c r="R121" s="52"/>
      <c r="S121" s="28"/>
      <c r="T121" s="28"/>
      <c r="U121" s="28"/>
      <c r="V121" s="28"/>
      <c r="W121" s="28"/>
      <c r="X121" s="28"/>
      <c r="Y121" s="28"/>
      <c r="Z121" s="28"/>
      <c r="AA121" s="28"/>
      <c r="AC121" s="94"/>
      <c r="AD121" s="94"/>
      <c r="AE121" s="94"/>
      <c r="AF121" s="94"/>
      <c r="AG121" s="28"/>
      <c r="AH121" s="28"/>
      <c r="AI121" s="28"/>
      <c r="AJ121" s="28"/>
      <c r="AK121" s="28"/>
      <c r="AL121" s="226"/>
      <c r="AM121"/>
      <c r="AN121"/>
      <c r="AO121"/>
      <c r="AP121"/>
      <c r="AQ121" s="226"/>
      <c r="AR121" s="226"/>
      <c r="AS121" s="226"/>
      <c r="AT121" s="226"/>
      <c r="AU121" s="226"/>
      <c r="AV121" s="226"/>
      <c r="AW121" s="226"/>
      <c r="AX121" s="226"/>
      <c r="AY121" s="226"/>
      <c r="AZ121" s="226"/>
    </row>
    <row r="122" spans="1:52" ht="17.100000000000001" customHeight="1" x14ac:dyDescent="0.2">
      <c r="A122" s="104"/>
      <c r="B122" s="104"/>
      <c r="C122" s="104"/>
      <c r="D122" s="104"/>
      <c r="E122" s="104"/>
      <c r="K122" s="134"/>
      <c r="L122" s="134"/>
      <c r="M122" s="134"/>
      <c r="N122" s="134"/>
      <c r="AM122"/>
      <c r="AN122"/>
      <c r="AO122"/>
      <c r="AP122"/>
    </row>
    <row r="123" spans="1:52" x14ac:dyDescent="0.2">
      <c r="A123" s="104"/>
      <c r="B123" s="104"/>
      <c r="C123" s="104"/>
      <c r="D123" s="104"/>
      <c r="E123" s="104"/>
      <c r="K123" s="134"/>
      <c r="L123" s="134"/>
      <c r="M123" s="134"/>
      <c r="N123" s="134"/>
    </row>
    <row r="124" spans="1:52" x14ac:dyDescent="0.2">
      <c r="A124" s="104"/>
      <c r="B124" s="104"/>
      <c r="C124" s="104"/>
      <c r="D124" s="104"/>
      <c r="E124" s="104"/>
      <c r="K124" s="134"/>
      <c r="L124" s="134"/>
      <c r="M124" s="134"/>
      <c r="N124" s="134"/>
    </row>
    <row r="125" spans="1:52" x14ac:dyDescent="0.2">
      <c r="A125" s="104"/>
      <c r="B125" s="104"/>
      <c r="C125" s="104"/>
      <c r="D125" s="104"/>
      <c r="E125" s="104"/>
      <c r="K125" s="134"/>
      <c r="L125" s="134"/>
      <c r="M125" s="134"/>
      <c r="N125" s="134"/>
    </row>
    <row r="126" spans="1:52" x14ac:dyDescent="0.2">
      <c r="A126" s="104"/>
      <c r="B126" s="104"/>
      <c r="C126" s="104"/>
      <c r="D126" s="104"/>
      <c r="E126" s="104"/>
      <c r="K126" s="134"/>
      <c r="L126" s="134"/>
      <c r="M126" s="134"/>
      <c r="N126" s="134"/>
    </row>
    <row r="127" spans="1:52" x14ac:dyDescent="0.2">
      <c r="A127" s="104"/>
      <c r="B127" s="104"/>
      <c r="C127" s="104"/>
      <c r="D127" s="104"/>
      <c r="E127" s="104"/>
    </row>
    <row r="128" spans="1:52" x14ac:dyDescent="0.2">
      <c r="A128" s="104"/>
      <c r="B128" s="104"/>
      <c r="C128" s="104"/>
      <c r="D128" s="104"/>
      <c r="E128" s="104"/>
    </row>
    <row r="129" spans="1:5" x14ac:dyDescent="0.2">
      <c r="A129" s="104"/>
      <c r="B129" s="104"/>
      <c r="C129" s="104"/>
      <c r="D129" s="104"/>
      <c r="E129" s="104"/>
    </row>
    <row r="130" spans="1:5" x14ac:dyDescent="0.2">
      <c r="A130" s="104"/>
      <c r="B130" s="104"/>
      <c r="C130" s="104"/>
      <c r="D130" s="104"/>
      <c r="E130" s="104"/>
    </row>
    <row r="131" spans="1:5" x14ac:dyDescent="0.2">
      <c r="A131" s="104"/>
      <c r="B131" s="104"/>
      <c r="C131" s="104"/>
      <c r="D131" s="104"/>
      <c r="E131" s="104"/>
    </row>
    <row r="132" spans="1:5" x14ac:dyDescent="0.2">
      <c r="A132" s="104"/>
      <c r="B132" s="104"/>
      <c r="C132" s="104"/>
      <c r="D132" s="104"/>
      <c r="E132" s="104"/>
    </row>
  </sheetData>
  <mergeCells count="8">
    <mergeCell ref="BF7:BJ7"/>
    <mergeCell ref="BF8:BJ8"/>
    <mergeCell ref="AV5:AZ5"/>
    <mergeCell ref="AB5:AF5"/>
    <mergeCell ref="AG5:AK5"/>
    <mergeCell ref="BA5:BE5"/>
    <mergeCell ref="BF5:BJ5"/>
    <mergeCell ref="BF6:BJ6"/>
  </mergeCells>
  <conditionalFormatting sqref="K1:M1 A1:I1 S1:U1">
    <cfRule type="cellIs" dxfId="30" priority="48" stopIfTrue="1" operator="notEqual">
      <formula>0</formula>
    </cfRule>
  </conditionalFormatting>
  <conditionalFormatting sqref="AC1:AE1">
    <cfRule type="cellIs" dxfId="29" priority="43" stopIfTrue="1" operator="notEqual">
      <formula>0</formula>
    </cfRule>
  </conditionalFormatting>
  <conditionalFormatting sqref="W1:Z1">
    <cfRule type="cellIs" dxfId="28" priority="47" stopIfTrue="1" operator="notEqual">
      <formula>0</formula>
    </cfRule>
  </conditionalFormatting>
  <conditionalFormatting sqref="AG1:AJ1">
    <cfRule type="cellIs" dxfId="27" priority="32" stopIfTrue="1" operator="notEqual">
      <formula>0</formula>
    </cfRule>
  </conditionalFormatting>
  <conditionalFormatting sqref="J1">
    <cfRule type="cellIs" dxfId="26" priority="29" stopIfTrue="1" operator="notEqual">
      <formula>0</formula>
    </cfRule>
  </conditionalFormatting>
  <conditionalFormatting sqref="N1">
    <cfRule type="cellIs" dxfId="25" priority="28" stopIfTrue="1" operator="notEqual">
      <formula>0</formula>
    </cfRule>
  </conditionalFormatting>
  <conditionalFormatting sqref="V1">
    <cfRule type="cellIs" dxfId="24" priority="27" stopIfTrue="1" operator="notEqual">
      <formula>0</formula>
    </cfRule>
  </conditionalFormatting>
  <conditionalFormatting sqref="AA1">
    <cfRule type="cellIs" dxfId="23" priority="26" stopIfTrue="1" operator="notEqual">
      <formula>0</formula>
    </cfRule>
  </conditionalFormatting>
  <conditionalFormatting sqref="AB1">
    <cfRule type="cellIs" dxfId="22" priority="25" stopIfTrue="1" operator="notEqual">
      <formula>0</formula>
    </cfRule>
  </conditionalFormatting>
  <conditionalFormatting sqref="AF1">
    <cfRule type="cellIs" dxfId="21" priority="24" stopIfTrue="1" operator="notEqual">
      <formula>0</formula>
    </cfRule>
  </conditionalFormatting>
  <conditionalFormatting sqref="AK1">
    <cfRule type="cellIs" dxfId="20" priority="23" stopIfTrue="1" operator="notEqual">
      <formula>0</formula>
    </cfRule>
  </conditionalFormatting>
  <conditionalFormatting sqref="J2">
    <cfRule type="cellIs" dxfId="19" priority="21" stopIfTrue="1" operator="notEqual">
      <formula>0</formula>
    </cfRule>
  </conditionalFormatting>
  <conditionalFormatting sqref="AP1">
    <cfRule type="cellIs" dxfId="18" priority="20" stopIfTrue="1" operator="notEqual">
      <formula>0</formula>
    </cfRule>
  </conditionalFormatting>
  <conditionalFormatting sqref="AM1:AO1">
    <cfRule type="cellIs" dxfId="17" priority="19" stopIfTrue="1" operator="notEqual">
      <formula>0</formula>
    </cfRule>
  </conditionalFormatting>
  <conditionalFormatting sqref="O1:Q1">
    <cfRule type="cellIs" dxfId="16" priority="18" stopIfTrue="1" operator="notEqual">
      <formula>0</formula>
    </cfRule>
  </conditionalFormatting>
  <conditionalFormatting sqref="R1">
    <cfRule type="cellIs" dxfId="15" priority="17" stopIfTrue="1" operator="notEqual">
      <formula>0</formula>
    </cfRule>
  </conditionalFormatting>
  <conditionalFormatting sqref="BE1">
    <cfRule type="cellIs" dxfId="14" priority="16" stopIfTrue="1" operator="notEqual">
      <formula>0</formula>
    </cfRule>
  </conditionalFormatting>
  <conditionalFormatting sqref="BA1:BD1">
    <cfRule type="cellIs" dxfId="13" priority="15" stopIfTrue="1" operator="notEqual">
      <formula>0</formula>
    </cfRule>
  </conditionalFormatting>
  <conditionalFormatting sqref="AV1:AY1">
    <cfRule type="cellIs" dxfId="12" priority="14" stopIfTrue="1" operator="notEqual">
      <formula>0</formula>
    </cfRule>
  </conditionalFormatting>
  <conditionalFormatting sqref="AL1">
    <cfRule type="cellIs" dxfId="11" priority="12" stopIfTrue="1" operator="notEqual">
      <formula>0</formula>
    </cfRule>
  </conditionalFormatting>
  <conditionalFormatting sqref="AQ1:AT1">
    <cfRule type="cellIs" dxfId="10" priority="11" stopIfTrue="1" operator="notEqual">
      <formula>0</formula>
    </cfRule>
  </conditionalFormatting>
  <conditionalFormatting sqref="BF1:BI1">
    <cfRule type="cellIs" dxfId="9" priority="6" stopIfTrue="1" operator="notEqual">
      <formula>0</formula>
    </cfRule>
  </conditionalFormatting>
  <conditionalFormatting sqref="AU1">
    <cfRule type="cellIs" dxfId="8" priority="5" stopIfTrue="1" operator="notEqual">
      <formula>0</formula>
    </cfRule>
  </conditionalFormatting>
  <conditionalFormatting sqref="AZ1">
    <cfRule type="cellIs" dxfId="7" priority="4" stopIfTrue="1" operator="notEqual">
      <formula>0</formula>
    </cfRule>
  </conditionalFormatting>
  <conditionalFormatting sqref="BJ1">
    <cfRule type="cellIs" dxfId="6" priority="1" stopIfTrue="1" operator="notEqual">
      <formula>0</formula>
    </cfRule>
  </conditionalFormatting>
  <printOptions horizontalCentered="1"/>
  <pageMargins left="0.45" right="0.45" top="0.75" bottom="1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567B3A-085C-4C28-B655-B959B0037AA1}"/>
</file>

<file path=customXml/itemProps2.xml><?xml version="1.0" encoding="utf-8"?>
<ds:datastoreItem xmlns:ds="http://schemas.openxmlformats.org/officeDocument/2006/customXml" ds:itemID="{683AAC1C-478A-480E-9BBB-33541FEFF6A6}"/>
</file>

<file path=customXml/itemProps3.xml><?xml version="1.0" encoding="utf-8"?>
<ds:datastoreItem xmlns:ds="http://schemas.openxmlformats.org/officeDocument/2006/customXml" ds:itemID="{B0B3471B-B8EF-4F3F-A472-C4A2DF28529A}"/>
</file>

<file path=customXml/itemProps4.xml><?xml version="1.0" encoding="utf-8"?>
<ds:datastoreItem xmlns:ds="http://schemas.openxmlformats.org/officeDocument/2006/customXml" ds:itemID="{D714C9E0-185C-4B6D-B93B-7B93AF0157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76</vt:i4>
      </vt:variant>
    </vt:vector>
  </HeadingPairs>
  <TitlesOfParts>
    <vt:vector size="88" baseType="lpstr">
      <vt:lpstr>Deficiency</vt:lpstr>
      <vt:lpstr>ERF ROR</vt:lpstr>
      <vt:lpstr>E ERF Conv Factr</vt:lpstr>
      <vt:lpstr>ERF Main Summary</vt:lpstr>
      <vt:lpstr>ERF Adj Summary</vt:lpstr>
      <vt:lpstr>ERF Adj Pages</vt:lpstr>
      <vt:lpstr>EOP Adj Summary</vt:lpstr>
      <vt:lpstr>EOP Adj Pages</vt:lpstr>
      <vt:lpstr>Remove Non-ERF</vt:lpstr>
      <vt:lpstr>CBR Model</vt:lpstr>
      <vt:lpstr>Summary</vt:lpstr>
      <vt:lpstr>9.04E Annualize FIT</vt:lpstr>
      <vt:lpstr>_11.01_RemoveVPC</vt:lpstr>
      <vt:lpstr>_3.01_Deficiency</vt:lpstr>
      <vt:lpstr>_3.02_ERF_ROR</vt:lpstr>
      <vt:lpstr>_3.03_ERF_ConvFact</vt:lpstr>
      <vt:lpstr>_3.04_ERF_Summ</vt:lpstr>
      <vt:lpstr>_5.01A_CBR_Summary</vt:lpstr>
      <vt:lpstr>_5.01B_CBRSum</vt:lpstr>
      <vt:lpstr>_5.01C_CBRSum</vt:lpstr>
      <vt:lpstr>_5.01D_CBRSum</vt:lpstr>
      <vt:lpstr>_5.08_CBR_ConvFct</vt:lpstr>
      <vt:lpstr>_5.09_TempNorm</vt:lpstr>
      <vt:lpstr>_5.10_RevAndExp</vt:lpstr>
      <vt:lpstr>_5.11_FIT</vt:lpstr>
      <vt:lpstr>_5.12_TBofRE</vt:lpstr>
      <vt:lpstr>_5.13_Pass_Thru</vt:lpstr>
      <vt:lpstr>_5.14_RateCaseExp</vt:lpstr>
      <vt:lpstr>_5.15_Bad_Debt</vt:lpstr>
      <vt:lpstr>_5.16_Incentives</vt:lpstr>
      <vt:lpstr>_5.17_ExciseTax</vt:lpstr>
      <vt:lpstr>_5.18_DO_Ins</vt:lpstr>
      <vt:lpstr>_5.19_IntOnCustDep</vt:lpstr>
      <vt:lpstr>_5.20_PensionPlan</vt:lpstr>
      <vt:lpstr>_5.21_InjDamages</vt:lpstr>
      <vt:lpstr>_5.22_Misc</vt:lpstr>
      <vt:lpstr>_5.23_ASC815</vt:lpstr>
      <vt:lpstr>_5.24_Storm</vt:lpstr>
      <vt:lpstr>_5.25_PowerCst</vt:lpstr>
      <vt:lpstr>_5.26_Montana_Energy</vt:lpstr>
      <vt:lpstr>_5.27_WHSolar</vt:lpstr>
      <vt:lpstr>_7.01_EOP_Adj_Sum</vt:lpstr>
      <vt:lpstr>_7.02_EOP_RB</vt:lpstr>
      <vt:lpstr>_7.03_EOP_Depr</vt:lpstr>
      <vt:lpstr>_7.04_EOP_TBPI</vt:lpstr>
      <vt:lpstr>_9.01_ERFAdjSumm</vt:lpstr>
      <vt:lpstr>_9.02_ERFRevExp</vt:lpstr>
      <vt:lpstr>_9.03_ERFDepr</vt:lpstr>
      <vt:lpstr>_9.04_ERF_FIT</vt:lpstr>
      <vt:lpstr>_9.05_ERF_TBRI</vt:lpstr>
      <vt:lpstr>_9.06_ERF_DefGainsLoses</vt:lpstr>
      <vt:lpstr>_9.07_ERF_EnvironmRem</vt:lpstr>
      <vt:lpstr>_9.08_ERF_PaymentProc</vt:lpstr>
      <vt:lpstr>_9.09_ERF_Storm</vt:lpstr>
      <vt:lpstr>_9.10_ERF_PowerCst</vt:lpstr>
      <vt:lpstr>_9.11_ERF_MontanaTax</vt:lpstr>
      <vt:lpstr>_9.12_ERF_RegAL</vt:lpstr>
      <vt:lpstr>_9.13_ERF_WhtRiver</vt:lpstr>
      <vt:lpstr>_9.14_ERF_HydroGrntRcls</vt:lpstr>
      <vt:lpstr>'EOP Adj Pages'!_CaseName</vt:lpstr>
      <vt:lpstr>_CaseName</vt:lpstr>
      <vt:lpstr>'EOP Adj Pages'!_TestYear</vt:lpstr>
      <vt:lpstr>_TestYear</vt:lpstr>
      <vt:lpstr>BD</vt:lpstr>
      <vt:lpstr>D</vt:lpstr>
      <vt:lpstr>DOCKET</vt:lpstr>
      <vt:lpstr>FF</vt:lpstr>
      <vt:lpstr>FIT_CBR</vt:lpstr>
      <vt:lpstr>'ERF ROR'!k_3.02_COC</vt:lpstr>
      <vt:lpstr>'CBR Model'!Print_Area</vt:lpstr>
      <vt:lpstr>'E ERF Conv Factr'!Print_Area</vt:lpstr>
      <vt:lpstr>'EOP Adj Summary'!Print_Area</vt:lpstr>
      <vt:lpstr>'ERF Adj Pages'!Print_Area</vt:lpstr>
      <vt:lpstr>'ERF Adj Summary'!Print_Area</vt:lpstr>
      <vt:lpstr>'ERF Main Summary'!Print_Area</vt:lpstr>
      <vt:lpstr>'ERF ROR'!Print_Area</vt:lpstr>
      <vt:lpstr>'Remove Non-ERF'!Print_Area</vt:lpstr>
      <vt:lpstr>'ERF Adj Summary'!Print_Titles</vt:lpstr>
      <vt:lpstr>PSPL</vt:lpstr>
      <vt:lpstr>RATEBASE</vt:lpstr>
      <vt:lpstr>RESTATING</vt:lpstr>
      <vt:lpstr>REVADJ</vt:lpstr>
      <vt:lpstr>TAXBENEFIT</vt:lpstr>
      <vt:lpstr>TAXEXCISE</vt:lpstr>
      <vt:lpstr>TAXINCOME</vt:lpstr>
      <vt:lpstr>TESTYEAR</vt:lpstr>
      <vt:lpstr>UTG</vt:lpstr>
      <vt:lpstr>UTN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NC</cp:lastModifiedBy>
  <cp:lastPrinted>2018-10-26T23:58:06Z</cp:lastPrinted>
  <dcterms:created xsi:type="dcterms:W3CDTF">1997-10-13T22:59:17Z</dcterms:created>
  <dcterms:modified xsi:type="dcterms:W3CDTF">2018-11-05T23:08:27Z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