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ashington Rate Cases\WA Rate Case 2001 End Oct 03\ERM\March 2018 Filing\Non-Confidential Supporting Documentation\"/>
    </mc:Choice>
  </mc:AlternateContent>
  <bookViews>
    <workbookView xWindow="-90" yWindow="110" windowWidth="15350" windowHeight="4740" tabRatio="283" firstSheet="1" activeTab="1"/>
  </bookViews>
  <sheets>
    <sheet name="Table" sheetId="2" r:id="rId1"/>
    <sheet name="Calculation" sheetId="1" r:id="rId2"/>
    <sheet name="Mid C Index" sheetId="3" r:id="rId3"/>
  </sheets>
  <definedNames>
    <definedName name="_xlnm.Print_Area" localSheetId="1">Calculation!$A$1:$N$128</definedName>
    <definedName name="_xlnm.Print_Area" localSheetId="0">Table!$C$1:$G$23</definedName>
    <definedName name="_xlnm.Print_Titles" localSheetId="1">Calculation!$1:$5</definedName>
  </definedNames>
  <calcPr calcId="152511"/>
</workbook>
</file>

<file path=xl/calcChain.xml><?xml version="1.0" encoding="utf-8"?>
<calcChain xmlns="http://schemas.openxmlformats.org/spreadsheetml/2006/main">
  <c r="F7" i="2" l="1"/>
  <c r="F13" i="2"/>
  <c r="F19" i="2"/>
  <c r="F15" i="2"/>
  <c r="B125" i="1"/>
  <c r="B121" i="1"/>
  <c r="B100" i="1"/>
  <c r="D75" i="1" l="1"/>
  <c r="E75" i="1"/>
  <c r="F75" i="1"/>
  <c r="G75" i="1"/>
  <c r="H75" i="1"/>
  <c r="I75" i="1"/>
  <c r="J75" i="1"/>
  <c r="K75" i="1"/>
  <c r="L75" i="1"/>
  <c r="M75" i="1"/>
  <c r="N75" i="1"/>
  <c r="C75" i="1"/>
  <c r="D81" i="1" l="1"/>
  <c r="E81" i="1"/>
  <c r="F81" i="1"/>
  <c r="G81" i="1"/>
  <c r="H81" i="1"/>
  <c r="I81" i="1"/>
  <c r="J81" i="1"/>
  <c r="K81" i="1"/>
  <c r="L81" i="1"/>
  <c r="M81" i="1"/>
  <c r="N81" i="1"/>
  <c r="C81" i="1"/>
  <c r="B103" i="1" l="1"/>
  <c r="B112" i="1" l="1"/>
  <c r="B111" i="1"/>
  <c r="B108" i="1"/>
  <c r="B107" i="1"/>
  <c r="D113" i="1"/>
  <c r="E113" i="1"/>
  <c r="F113" i="1"/>
  <c r="G113" i="1"/>
  <c r="H113" i="1"/>
  <c r="I113" i="1"/>
  <c r="J113" i="1"/>
  <c r="K113" i="1"/>
  <c r="L113" i="1"/>
  <c r="M113" i="1"/>
  <c r="N113" i="1"/>
  <c r="C113" i="1"/>
  <c r="D109" i="1"/>
  <c r="E109" i="1"/>
  <c r="F109" i="1"/>
  <c r="G109" i="1"/>
  <c r="H109" i="1"/>
  <c r="I109" i="1"/>
  <c r="J109" i="1"/>
  <c r="K109" i="1"/>
  <c r="L109" i="1"/>
  <c r="M109" i="1"/>
  <c r="N109" i="1"/>
  <c r="C109" i="1"/>
  <c r="B109" i="1" l="1"/>
  <c r="M115" i="1"/>
  <c r="M116" i="1" s="1"/>
  <c r="K115" i="1"/>
  <c r="K116" i="1" s="1"/>
  <c r="I115" i="1"/>
  <c r="I116" i="1" s="1"/>
  <c r="G115" i="1"/>
  <c r="G116" i="1" s="1"/>
  <c r="E115" i="1"/>
  <c r="E116" i="1" s="1"/>
  <c r="N115" i="1"/>
  <c r="N116" i="1" s="1"/>
  <c r="L115" i="1"/>
  <c r="L116" i="1" s="1"/>
  <c r="J115" i="1"/>
  <c r="J116" i="1" s="1"/>
  <c r="H115" i="1"/>
  <c r="H116" i="1" s="1"/>
  <c r="F115" i="1"/>
  <c r="F116" i="1" s="1"/>
  <c r="D115" i="1"/>
  <c r="D116" i="1" s="1"/>
  <c r="B113" i="1"/>
  <c r="C115" i="1"/>
  <c r="C116" i="1" s="1"/>
  <c r="B115" i="1" l="1"/>
  <c r="B73" i="1"/>
  <c r="B74" i="1" s="1"/>
  <c r="B72" i="1"/>
  <c r="B71" i="1" s="1"/>
  <c r="B79" i="1"/>
  <c r="B75" i="1"/>
  <c r="B76" i="1" s="1"/>
  <c r="D7" i="1"/>
  <c r="E7" i="1"/>
  <c r="G7" i="1"/>
  <c r="I7" i="1"/>
  <c r="K7" i="1"/>
  <c r="M7" i="1"/>
  <c r="C7" i="1"/>
  <c r="D98" i="1"/>
  <c r="E98" i="1"/>
  <c r="F98" i="1"/>
  <c r="G98" i="1"/>
  <c r="H98" i="1"/>
  <c r="I98" i="1"/>
  <c r="J98" i="1"/>
  <c r="K98" i="1"/>
  <c r="L98" i="1"/>
  <c r="M98" i="1"/>
  <c r="N98" i="1"/>
  <c r="C98" i="1"/>
  <c r="C14" i="1"/>
  <c r="C15" i="1" s="1"/>
  <c r="D14" i="1"/>
  <c r="D15" i="1" s="1"/>
  <c r="E14" i="1"/>
  <c r="E15" i="1" s="1"/>
  <c r="F14" i="1"/>
  <c r="F15" i="1" s="1"/>
  <c r="G14" i="1"/>
  <c r="G15" i="1" s="1"/>
  <c r="H14" i="1"/>
  <c r="H15" i="1" s="1"/>
  <c r="I14" i="1"/>
  <c r="I15" i="1" s="1"/>
  <c r="J14" i="1"/>
  <c r="J15" i="1" s="1"/>
  <c r="K14" i="1"/>
  <c r="K15" i="1" s="1"/>
  <c r="L14" i="1"/>
  <c r="L15" i="1" s="1"/>
  <c r="M14" i="1"/>
  <c r="M15" i="1" s="1"/>
  <c r="N14" i="1"/>
  <c r="N15" i="1" s="1"/>
  <c r="D41" i="1"/>
  <c r="D47" i="1"/>
  <c r="D57" i="1"/>
  <c r="D63" i="1"/>
  <c r="E41" i="1"/>
  <c r="E47" i="1"/>
  <c r="E57" i="1"/>
  <c r="E63" i="1"/>
  <c r="F41" i="1"/>
  <c r="F47" i="1"/>
  <c r="F57" i="1"/>
  <c r="F63" i="1"/>
  <c r="G41" i="1"/>
  <c r="G47" i="1"/>
  <c r="G57" i="1"/>
  <c r="G63" i="1"/>
  <c r="H41" i="1"/>
  <c r="H47" i="1"/>
  <c r="H57" i="1"/>
  <c r="H63" i="1"/>
  <c r="I41" i="1"/>
  <c r="I47" i="1"/>
  <c r="I57" i="1"/>
  <c r="I63" i="1"/>
  <c r="J41" i="1"/>
  <c r="J47" i="1"/>
  <c r="J57" i="1"/>
  <c r="J63" i="1"/>
  <c r="K41" i="1"/>
  <c r="K47" i="1"/>
  <c r="K57" i="1"/>
  <c r="K63" i="1"/>
  <c r="L41" i="1"/>
  <c r="L47" i="1"/>
  <c r="L57" i="1"/>
  <c r="L63" i="1"/>
  <c r="M41" i="1"/>
  <c r="M47" i="1"/>
  <c r="M57" i="1"/>
  <c r="M63" i="1"/>
  <c r="N41" i="1"/>
  <c r="N47" i="1"/>
  <c r="N57" i="1"/>
  <c r="N63" i="1"/>
  <c r="C41" i="1"/>
  <c r="C47" i="1"/>
  <c r="B47" i="1" s="1"/>
  <c r="C57" i="1"/>
  <c r="B57" i="1" s="1"/>
  <c r="C63" i="1"/>
  <c r="B96" i="1"/>
  <c r="B55" i="1"/>
  <c r="B39" i="1"/>
  <c r="B12" i="1"/>
  <c r="B13" i="1" s="1"/>
  <c r="B23" i="1"/>
  <c r="B22" i="1"/>
  <c r="B80" i="1"/>
  <c r="B45" i="1"/>
  <c r="B46" i="1"/>
  <c r="B29" i="1"/>
  <c r="B30" i="1"/>
  <c r="B4" i="1"/>
  <c r="B62" i="1"/>
  <c r="B61" i="1"/>
  <c r="B54" i="1"/>
  <c r="B95" i="1"/>
  <c r="B38" i="1"/>
  <c r="B11" i="1"/>
  <c r="B10" i="1" s="1"/>
  <c r="B88" i="1" l="1"/>
  <c r="C88" i="1" s="1"/>
  <c r="M44" i="1"/>
  <c r="M49" i="1" s="1"/>
  <c r="M51" i="1" s="1"/>
  <c r="K44" i="1"/>
  <c r="K49" i="1" s="1"/>
  <c r="K51" i="1" s="1"/>
  <c r="I44" i="1"/>
  <c r="I49" i="1" s="1"/>
  <c r="I51" i="1" s="1"/>
  <c r="G44" i="1"/>
  <c r="G49" i="1" s="1"/>
  <c r="G51" i="1" s="1"/>
  <c r="E44" i="1"/>
  <c r="E49" i="1" s="1"/>
  <c r="E51" i="1" s="1"/>
  <c r="N7" i="1"/>
  <c r="N101" i="1" s="1"/>
  <c r="N102" i="1" s="1"/>
  <c r="L7" i="1"/>
  <c r="L44" i="1" s="1"/>
  <c r="L49" i="1" s="1"/>
  <c r="L51" i="1" s="1"/>
  <c r="J7" i="1"/>
  <c r="J44" i="1" s="1"/>
  <c r="J49" i="1" s="1"/>
  <c r="J51" i="1" s="1"/>
  <c r="H7" i="1"/>
  <c r="H44" i="1" s="1"/>
  <c r="H49" i="1" s="1"/>
  <c r="H51" i="1" s="1"/>
  <c r="F7" i="1"/>
  <c r="B87" i="1"/>
  <c r="C87" i="1" s="1"/>
  <c r="N44" i="1"/>
  <c r="N49" i="1" s="1"/>
  <c r="N51" i="1" s="1"/>
  <c r="F44" i="1"/>
  <c r="F49" i="1" s="1"/>
  <c r="F51" i="1" s="1"/>
  <c r="D44" i="1"/>
  <c r="D49" i="1" s="1"/>
  <c r="D51" i="1" s="1"/>
  <c r="B81" i="1"/>
  <c r="N17" i="1"/>
  <c r="N19" i="1" s="1"/>
  <c r="J101" i="1"/>
  <c r="J102" i="1" s="1"/>
  <c r="J60" i="1"/>
  <c r="J65" i="1" s="1"/>
  <c r="J67" i="1" s="1"/>
  <c r="F101" i="1"/>
  <c r="F102" i="1" s="1"/>
  <c r="F60" i="1"/>
  <c r="F65" i="1" s="1"/>
  <c r="F67" i="1" s="1"/>
  <c r="D101" i="1"/>
  <c r="D102" i="1" s="1"/>
  <c r="D60" i="1"/>
  <c r="D65" i="1" s="1"/>
  <c r="D67" i="1" s="1"/>
  <c r="D17" i="1"/>
  <c r="D19" i="1" s="1"/>
  <c r="N78" i="1"/>
  <c r="N83" i="1" s="1"/>
  <c r="N85" i="1" s="1"/>
  <c r="F78" i="1"/>
  <c r="F83" i="1" s="1"/>
  <c r="F85" i="1" s="1"/>
  <c r="D78" i="1"/>
  <c r="D83" i="1" s="1"/>
  <c r="D85" i="1" s="1"/>
  <c r="C101" i="1"/>
  <c r="C102" i="1" s="1"/>
  <c r="C60" i="1"/>
  <c r="C17" i="1"/>
  <c r="C19" i="1" s="1"/>
  <c r="M101" i="1"/>
  <c r="M102" i="1" s="1"/>
  <c r="M60" i="1"/>
  <c r="M65" i="1" s="1"/>
  <c r="M67" i="1" s="1"/>
  <c r="M17" i="1"/>
  <c r="M19" i="1" s="1"/>
  <c r="K101" i="1"/>
  <c r="K102" i="1" s="1"/>
  <c r="K60" i="1"/>
  <c r="K65" i="1" s="1"/>
  <c r="K67" i="1" s="1"/>
  <c r="K17" i="1"/>
  <c r="K19" i="1" s="1"/>
  <c r="I101" i="1"/>
  <c r="I102" i="1" s="1"/>
  <c r="I60" i="1"/>
  <c r="I65" i="1" s="1"/>
  <c r="I67" i="1" s="1"/>
  <c r="I17" i="1"/>
  <c r="I19" i="1" s="1"/>
  <c r="G101" i="1"/>
  <c r="G102" i="1" s="1"/>
  <c r="G60" i="1"/>
  <c r="G65" i="1" s="1"/>
  <c r="G67" i="1" s="1"/>
  <c r="G17" i="1"/>
  <c r="G19" i="1" s="1"/>
  <c r="E101" i="1"/>
  <c r="E102" i="1" s="1"/>
  <c r="E60" i="1"/>
  <c r="E65" i="1" s="1"/>
  <c r="E67" i="1" s="1"/>
  <c r="E17" i="1"/>
  <c r="E19" i="1" s="1"/>
  <c r="C78" i="1"/>
  <c r="M78" i="1"/>
  <c r="M83" i="1" s="1"/>
  <c r="M85" i="1" s="1"/>
  <c r="K78" i="1"/>
  <c r="K83" i="1" s="1"/>
  <c r="K85" i="1" s="1"/>
  <c r="I78" i="1"/>
  <c r="I83" i="1" s="1"/>
  <c r="I85" i="1" s="1"/>
  <c r="G78" i="1"/>
  <c r="G83" i="1" s="1"/>
  <c r="G85" i="1" s="1"/>
  <c r="E78" i="1"/>
  <c r="E83" i="1" s="1"/>
  <c r="E85" i="1" s="1"/>
  <c r="B98" i="1"/>
  <c r="B99" i="1" s="1"/>
  <c r="I34" i="2" s="1"/>
  <c r="B41" i="1"/>
  <c r="B42" i="1" s="1"/>
  <c r="I30" i="2" s="1"/>
  <c r="C44" i="1"/>
  <c r="B14" i="1"/>
  <c r="B116" i="1"/>
  <c r="B63" i="1"/>
  <c r="B31" i="1"/>
  <c r="B58" i="1"/>
  <c r="I32" i="2" s="1"/>
  <c r="J32" i="2"/>
  <c r="C25" i="1"/>
  <c r="M25" i="1"/>
  <c r="M33" i="1" s="1"/>
  <c r="K25" i="1"/>
  <c r="K33" i="1" s="1"/>
  <c r="I25" i="1"/>
  <c r="I33" i="1" s="1"/>
  <c r="G25" i="1"/>
  <c r="G33" i="1" s="1"/>
  <c r="E25" i="1"/>
  <c r="E33" i="1" s="1"/>
  <c r="C26" i="1"/>
  <c r="M26" i="1"/>
  <c r="M34" i="1" s="1"/>
  <c r="K26" i="1"/>
  <c r="K34" i="1" s="1"/>
  <c r="I26" i="1"/>
  <c r="I34" i="1" s="1"/>
  <c r="G26" i="1"/>
  <c r="G34" i="1" s="1"/>
  <c r="E26" i="1"/>
  <c r="E34" i="1" s="1"/>
  <c r="N25" i="1"/>
  <c r="N33" i="1" s="1"/>
  <c r="F25" i="1"/>
  <c r="F33" i="1" s="1"/>
  <c r="D25" i="1"/>
  <c r="D33" i="1" s="1"/>
  <c r="N26" i="1"/>
  <c r="N34" i="1" s="1"/>
  <c r="L26" i="1"/>
  <c r="L34" i="1" s="1"/>
  <c r="J26" i="1"/>
  <c r="J34" i="1" s="1"/>
  <c r="H26" i="1"/>
  <c r="H34" i="1" s="1"/>
  <c r="F26" i="1"/>
  <c r="F34" i="1" s="1"/>
  <c r="D26" i="1"/>
  <c r="D34" i="1" s="1"/>
  <c r="L17" i="1" l="1"/>
  <c r="L19" i="1" s="1"/>
  <c r="J25" i="1"/>
  <c r="J33" i="1" s="1"/>
  <c r="J35" i="1" s="1"/>
  <c r="J78" i="1"/>
  <c r="J83" i="1" s="1"/>
  <c r="J85" i="1" s="1"/>
  <c r="F17" i="1"/>
  <c r="F19" i="1" s="1"/>
  <c r="J17" i="1"/>
  <c r="J19" i="1" s="1"/>
  <c r="N60" i="1"/>
  <c r="N65" i="1" s="1"/>
  <c r="N67" i="1" s="1"/>
  <c r="J34" i="2"/>
  <c r="J30" i="2"/>
  <c r="B89" i="1"/>
  <c r="B91" i="1" s="1"/>
  <c r="J28" i="2" s="1"/>
  <c r="H25" i="1"/>
  <c r="H33" i="1" s="1"/>
  <c r="L25" i="1"/>
  <c r="L33" i="1" s="1"/>
  <c r="L35" i="1" s="1"/>
  <c r="B7" i="1"/>
  <c r="H78" i="1"/>
  <c r="H83" i="1" s="1"/>
  <c r="H85" i="1" s="1"/>
  <c r="L78" i="1"/>
  <c r="L83" i="1" s="1"/>
  <c r="L85" i="1" s="1"/>
  <c r="H17" i="1"/>
  <c r="H19" i="1" s="1"/>
  <c r="H60" i="1"/>
  <c r="H65" i="1" s="1"/>
  <c r="H67" i="1" s="1"/>
  <c r="H101" i="1"/>
  <c r="L60" i="1"/>
  <c r="L65" i="1" s="1"/>
  <c r="L67" i="1" s="1"/>
  <c r="L101" i="1"/>
  <c r="B15" i="1"/>
  <c r="J105" i="1"/>
  <c r="J118" i="1" s="1"/>
  <c r="N105" i="1"/>
  <c r="N118" i="1" s="1"/>
  <c r="E105" i="1"/>
  <c r="E118" i="1" s="1"/>
  <c r="G105" i="1"/>
  <c r="G118" i="1" s="1"/>
  <c r="K105" i="1"/>
  <c r="K118" i="1" s="1"/>
  <c r="I105" i="1"/>
  <c r="I118" i="1" s="1"/>
  <c r="D105" i="1"/>
  <c r="D118" i="1" s="1"/>
  <c r="F105" i="1"/>
  <c r="F118" i="1" s="1"/>
  <c r="M105" i="1"/>
  <c r="M118" i="1" s="1"/>
  <c r="C65" i="1"/>
  <c r="C67" i="1" s="1"/>
  <c r="C83" i="1"/>
  <c r="C85" i="1" s="1"/>
  <c r="C34" i="1"/>
  <c r="B34" i="1" s="1"/>
  <c r="B26" i="1"/>
  <c r="B44" i="1"/>
  <c r="C49" i="1"/>
  <c r="C51" i="1" s="1"/>
  <c r="C33" i="1"/>
  <c r="D35" i="1"/>
  <c r="F35" i="1"/>
  <c r="H35" i="1"/>
  <c r="N35" i="1"/>
  <c r="E35" i="1"/>
  <c r="G35" i="1"/>
  <c r="I35" i="1"/>
  <c r="K35" i="1"/>
  <c r="M35" i="1"/>
  <c r="B60" i="1" l="1"/>
  <c r="L102" i="1"/>
  <c r="L105" i="1" s="1"/>
  <c r="L118" i="1" s="1"/>
  <c r="H102" i="1"/>
  <c r="H105" i="1" s="1"/>
  <c r="H118" i="1" s="1"/>
  <c r="B17" i="1"/>
  <c r="B16" i="1" s="1"/>
  <c r="B78" i="1"/>
  <c r="B77" i="1" s="1"/>
  <c r="B90" i="1"/>
  <c r="I28" i="2" s="1"/>
  <c r="B25" i="1"/>
  <c r="B27" i="1" s="1"/>
  <c r="B101" i="1"/>
  <c r="B33" i="1"/>
  <c r="C35" i="1"/>
  <c r="B35" i="1" s="1"/>
  <c r="B51" i="1"/>
  <c r="B49" i="1"/>
  <c r="C105" i="1"/>
  <c r="C118" i="1" s="1"/>
  <c r="B67" i="1"/>
  <c r="F9" i="2" s="1"/>
  <c r="B65" i="1"/>
  <c r="B19" i="1"/>
  <c r="F5" i="2" s="1"/>
  <c r="B85" i="1"/>
  <c r="F11" i="2" s="1"/>
  <c r="B83" i="1"/>
  <c r="B105" i="1" l="1"/>
  <c r="F17" i="2" s="1"/>
  <c r="B102" i="1"/>
  <c r="B118" i="1"/>
  <c r="B127" i="1" l="1"/>
  <c r="F21" i="2"/>
</calcChain>
</file>

<file path=xl/sharedStrings.xml><?xml version="1.0" encoding="utf-8"?>
<sst xmlns="http://schemas.openxmlformats.org/spreadsheetml/2006/main" count="130" uniqueCount="117">
  <si>
    <t>Actual Hydro</t>
  </si>
  <si>
    <t>Authorized Hydro</t>
  </si>
  <si>
    <t>Total</t>
  </si>
  <si>
    <t>Washington Allocation</t>
  </si>
  <si>
    <t>Difference, MWh</t>
  </si>
  <si>
    <t>Difference, aMW</t>
  </si>
  <si>
    <t>Cost of Additional Load</t>
  </si>
  <si>
    <t>Net Cost of Additional Load</t>
  </si>
  <si>
    <t>Avista Corp.</t>
  </si>
  <si>
    <t>Value of Additional Generation</t>
  </si>
  <si>
    <t>Colstrip</t>
  </si>
  <si>
    <t>Value of Higher Generation</t>
  </si>
  <si>
    <t>Net Cost of Higher Colstrip Gen</t>
  </si>
  <si>
    <t>WA share of Additional Load</t>
  </si>
  <si>
    <t>Total Increased Cost due to Higher</t>
  </si>
  <si>
    <t>Kettle Falls</t>
  </si>
  <si>
    <t>Retail Load</t>
  </si>
  <si>
    <t>Net Higher Cost of Coal</t>
  </si>
  <si>
    <t>Net Higher Cost of Gas</t>
  </si>
  <si>
    <t>Mid Columbia</t>
  </si>
  <si>
    <t>Power Prices</t>
  </si>
  <si>
    <t>Rate Case Market Purchases, MWh</t>
  </si>
  <si>
    <t>Rate Case Market Sales, MWh</t>
  </si>
  <si>
    <t>Actual Rate Case Market Purchases $</t>
  </si>
  <si>
    <t>Actual Rate Case Market Sales $</t>
  </si>
  <si>
    <t>Authorized Purchase $</t>
  </si>
  <si>
    <t>Authorized Sales $</t>
  </si>
  <si>
    <t>Difference Purchases $</t>
  </si>
  <si>
    <t>Difference Sales $</t>
  </si>
  <si>
    <t xml:space="preserve">   Net</t>
  </si>
  <si>
    <t xml:space="preserve">  Net</t>
  </si>
  <si>
    <t>Gas Fired Generation</t>
  </si>
  <si>
    <t>Actual Gas Fired Generation</t>
  </si>
  <si>
    <t>Authorized Gas Fired Generation</t>
  </si>
  <si>
    <t>Value of Generation</t>
  </si>
  <si>
    <t>Actual 547 Expense</t>
  </si>
  <si>
    <t>Authorized 547 Expense</t>
  </si>
  <si>
    <t>Net Cost of Gas Fired Generation</t>
  </si>
  <si>
    <t>Change in Hydro Generation</t>
  </si>
  <si>
    <t>aMW</t>
  </si>
  <si>
    <t>Change in Gas Fired Generation</t>
  </si>
  <si>
    <t>Change</t>
  </si>
  <si>
    <t>%</t>
  </si>
  <si>
    <t>Coyote Springs 2</t>
  </si>
  <si>
    <t>Avista Hydro Value</t>
  </si>
  <si>
    <t>Actual Gen MWh</t>
  </si>
  <si>
    <t>Authorized Gen MWh</t>
  </si>
  <si>
    <t>Actuals $</t>
  </si>
  <si>
    <t>Authorized $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</si>
  <si>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</si>
  <si>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</si>
  <si>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</si>
  <si>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</si>
  <si>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</si>
  <si>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</si>
  <si>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</si>
  <si>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</si>
  <si>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</si>
  <si>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</si>
  <si>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</si>
  <si>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</si>
  <si>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Net Cost of Low Cost of Mid C Gen</t>
  </si>
  <si>
    <t>Actual Transmisson Expense</t>
  </si>
  <si>
    <t>Actual Transmisson Revenue</t>
  </si>
  <si>
    <t>Authorized Transmission Expense</t>
  </si>
  <si>
    <t>Authorized Transmission Revenue</t>
  </si>
  <si>
    <t>Actual Net Transmisson Expense</t>
  </si>
  <si>
    <t>Authorized Net Transmission Expense</t>
  </si>
  <si>
    <t>Change In Net Transmission Expense</t>
  </si>
  <si>
    <t>WA Allocation</t>
  </si>
  <si>
    <t>Change in Net Transmission Expense (Expense - Revenues)</t>
  </si>
  <si>
    <t>Lancaster</t>
  </si>
  <si>
    <t>Change in Gas Generation and Natural Gas and Power Prices</t>
  </si>
  <si>
    <t>Change in Mid Columbia Generation and Contract Expense</t>
  </si>
  <si>
    <t>Change in Avista Owned Hydro Generation</t>
  </si>
  <si>
    <t>Higher Cost of Mid Columbia</t>
  </si>
  <si>
    <t>Change in System Load</t>
  </si>
  <si>
    <t>Hydro, Gas/Colstrip/KF/Mid C/Load/Trans</t>
  </si>
  <si>
    <t>Actual Total Hydro</t>
  </si>
  <si>
    <t>Authorized Total Hydro</t>
  </si>
  <si>
    <t>Difference aMW</t>
  </si>
  <si>
    <t>Difference MWh</t>
  </si>
  <si>
    <t>Difference %</t>
  </si>
  <si>
    <t>Actual Power Supply Expense Decrease</t>
  </si>
  <si>
    <t>Factors Contributing to Decreased Power Supply Expense</t>
  </si>
  <si>
    <t>Mid C Price</t>
  </si>
  <si>
    <t>Actual Load</t>
  </si>
  <si>
    <t>Authorized Load</t>
  </si>
  <si>
    <t>Total Expense Below the Authorized Level</t>
  </si>
  <si>
    <t>Change in Retail Loads (Power Cost Change less Retail Revenue Adjustment)</t>
  </si>
  <si>
    <t>Flat Mid C Price</t>
  </si>
  <si>
    <t>PT Ratio</t>
  </si>
  <si>
    <t>WA Retail Revenue Adjustment</t>
  </si>
  <si>
    <t>BPA Transmission Adjustment</t>
  </si>
  <si>
    <t>Colstrip &amp; Kettle Falls</t>
  </si>
  <si>
    <t>Actual Colstrip &amp; Kettle Falls Generation</t>
  </si>
  <si>
    <t>Authorized Colstrip &amp; Kettle Falls Generation</t>
  </si>
  <si>
    <t>Act Cost of Thermal Fuel</t>
  </si>
  <si>
    <t>Auth Cost of Thermal Fuel</t>
  </si>
  <si>
    <t>Power Supply Expense Variances - 2017</t>
  </si>
  <si>
    <t>Cost Increases Due to Other Contract Changes</t>
  </si>
  <si>
    <t>Prior Period BPA Transmission Power and Ancillary Service Revenue</t>
  </si>
  <si>
    <t>2017 - Washington Allocation</t>
  </si>
  <si>
    <t>Change in Other Contract Expense and Revenues</t>
  </si>
  <si>
    <t>Change in Colstrip &amp; Kettle Falls Generation</t>
  </si>
  <si>
    <t>Notes:</t>
  </si>
  <si>
    <t>2  Includes change in gas generation market value and gas transport value.</t>
  </si>
  <si>
    <t>3  Decrease in fuel expense more than offset reduced value of lower generation.</t>
  </si>
  <si>
    <t>4  Cost increase exceeded value of increased generation.</t>
  </si>
  <si>
    <t>5  Increased transmission revenue exceeded increased transmission expense.</t>
  </si>
  <si>
    <t>6  Includes loss of PGE contract revenue and other cost and revenue variations.</t>
  </si>
  <si>
    <t>7  WA allocation of cost associated with increased load less retail revenue adjustment credit.</t>
  </si>
  <si>
    <t>8  Adjustment for a mis-calibrated meter dating back to 2011.  Booked in December.</t>
  </si>
  <si>
    <t>1  Generation was higher in lower market price months and lower in higher market price months.</t>
  </si>
  <si>
    <t>Change in Colstrip &amp; Kettle Falls Generation and Fuel Expense</t>
  </si>
  <si>
    <t>2017 Generation and Load Differences from the Authorized Level</t>
  </si>
  <si>
    <t>2017 Thermal Generation Plant Availability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</si>
</sst>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0.0"/>
    <numFmt numFmtId="169" formatCode="#,##0.0"/>
    <numFmt numFmtId="170" formatCode="0.0%"/>
    <numFmt numFmtId="171" formatCode="_(* #,##0.0_);_(* \(#,##0.0\);_(* &quot;-&quot;??_);_(@_)"/>
    <numFmt numFmtId="172" formatCode="_(* #,##0.000_);_(* \(#,##0.000\);_(* &quot;-&quot;??_);_(@_)"/>
  </numFmts>
  <fonts count="10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1" applyNumberFormat="1" applyFont="1"/>
    <xf numFmtId="3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0" fillId="0" borderId="0" xfId="0" applyBorder="1"/>
    <xf numFmtId="0" fontId="4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0" fontId="0" fillId="0" borderId="4" xfId="0" applyBorder="1"/>
    <xf numFmtId="166" fontId="3" fillId="0" borderId="5" xfId="0" applyNumberFormat="1" applyFont="1" applyBorder="1"/>
    <xf numFmtId="0" fontId="0" fillId="0" borderId="6" xfId="0" applyBorder="1"/>
    <xf numFmtId="3" fontId="0" fillId="0" borderId="3" xfId="0" applyNumberFormat="1" applyBorder="1"/>
    <xf numFmtId="2" fontId="0" fillId="0" borderId="3" xfId="0" applyNumberFormat="1" applyBorder="1"/>
    <xf numFmtId="0" fontId="0" fillId="0" borderId="1" xfId="0" applyBorder="1"/>
    <xf numFmtId="166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6" fontId="0" fillId="0" borderId="9" xfId="0" applyNumberFormat="1" applyBorder="1"/>
    <xf numFmtId="0" fontId="0" fillId="0" borderId="11" xfId="0" applyBorder="1"/>
    <xf numFmtId="0" fontId="0" fillId="0" borderId="12" xfId="0" applyBorder="1"/>
    <xf numFmtId="166" fontId="0" fillId="0" borderId="13" xfId="0" applyNumberFormat="1" applyBorder="1"/>
    <xf numFmtId="164" fontId="0" fillId="0" borderId="3" xfId="1" applyNumberFormat="1" applyFont="1" applyBorder="1"/>
    <xf numFmtId="0" fontId="0" fillId="0" borderId="0" xfId="0" applyAlignment="1">
      <alignment horizontal="center"/>
    </xf>
    <xf numFmtId="168" fontId="0" fillId="0" borderId="3" xfId="0" applyNumberFormat="1" applyBorder="1"/>
    <xf numFmtId="166" fontId="3" fillId="0" borderId="0" xfId="0" applyNumberFormat="1" applyFont="1" applyBorder="1"/>
    <xf numFmtId="166" fontId="3" fillId="0" borderId="7" xfId="0" applyNumberFormat="1" applyFont="1" applyBorder="1"/>
    <xf numFmtId="0" fontId="0" fillId="0" borderId="0" xfId="0" applyFill="1" applyBorder="1"/>
    <xf numFmtId="0" fontId="3" fillId="0" borderId="0" xfId="0" applyFont="1" applyBorder="1"/>
    <xf numFmtId="166" fontId="0" fillId="0" borderId="0" xfId="0" applyNumberFormat="1" applyBorder="1"/>
    <xf numFmtId="166" fontId="3" fillId="0" borderId="3" xfId="0" applyNumberFormat="1" applyFont="1" applyBorder="1"/>
    <xf numFmtId="168" fontId="0" fillId="0" borderId="0" xfId="0" applyNumberFormat="1"/>
    <xf numFmtId="0" fontId="3" fillId="0" borderId="8" xfId="0" applyFont="1" applyFill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70" fontId="0" fillId="0" borderId="9" xfId="3" applyNumberFormat="1" applyFont="1" applyBorder="1" applyAlignment="1">
      <alignment horizontal="center"/>
    </xf>
    <xf numFmtId="169" fontId="0" fillId="0" borderId="12" xfId="0" applyNumberFormat="1" applyBorder="1" applyAlignment="1">
      <alignment horizontal="center"/>
    </xf>
    <xf numFmtId="170" fontId="0" fillId="0" borderId="13" xfId="3" applyNumberFormat="1" applyFont="1" applyBorder="1" applyAlignment="1">
      <alignment horizontal="center"/>
    </xf>
    <xf numFmtId="170" fontId="0" fillId="0" borderId="0" xfId="3" applyNumberFormat="1" applyFont="1" applyBorder="1" applyAlignment="1">
      <alignment horizontal="center"/>
    </xf>
    <xf numFmtId="0" fontId="3" fillId="0" borderId="0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169" fontId="0" fillId="0" borderId="9" xfId="0" applyNumberFormat="1" applyBorder="1" applyAlignment="1">
      <alignment horizontal="center"/>
    </xf>
    <xf numFmtId="164" fontId="0" fillId="0" borderId="0" xfId="1" applyNumberFormat="1" applyFont="1" applyFill="1" applyBorder="1"/>
    <xf numFmtId="0" fontId="5" fillId="0" borderId="2" xfId="0" applyFont="1" applyBorder="1"/>
    <xf numFmtId="9" fontId="0" fillId="0" borderId="0" xfId="3" applyFont="1"/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8" xfId="0" applyFont="1" applyBorder="1"/>
    <xf numFmtId="166" fontId="0" fillId="0" borderId="14" xfId="0" applyNumberFormat="1" applyBorder="1"/>
    <xf numFmtId="164" fontId="0" fillId="0" borderId="0" xfId="0" applyNumberFormat="1"/>
    <xf numFmtId="165" fontId="0" fillId="0" borderId="0" xfId="0" applyNumberFormat="1" applyFill="1"/>
    <xf numFmtId="0" fontId="0" fillId="0" borderId="2" xfId="0" applyFill="1" applyBorder="1"/>
    <xf numFmtId="0" fontId="0" fillId="0" borderId="1" xfId="0" applyFill="1" applyBorder="1"/>
    <xf numFmtId="166" fontId="0" fillId="0" borderId="6" xfId="0" applyNumberFormat="1" applyBorder="1"/>
    <xf numFmtId="0" fontId="0" fillId="0" borderId="4" xfId="0" applyFill="1" applyBorder="1"/>
    <xf numFmtId="3" fontId="0" fillId="0" borderId="0" xfId="0" applyNumberFormat="1" applyFill="1"/>
    <xf numFmtId="0" fontId="1" fillId="0" borderId="2" xfId="0" applyFont="1" applyBorder="1"/>
    <xf numFmtId="164" fontId="0" fillId="0" borderId="0" xfId="1" applyNumberFormat="1" applyFont="1" applyFill="1"/>
    <xf numFmtId="166" fontId="9" fillId="0" borderId="0" xfId="0" applyNumberFormat="1" applyFont="1" applyFill="1"/>
    <xf numFmtId="0" fontId="1" fillId="0" borderId="11" xfId="0" applyFont="1" applyBorder="1"/>
    <xf numFmtId="167" fontId="3" fillId="0" borderId="7" xfId="2" applyNumberFormat="1" applyFont="1" applyBorder="1"/>
    <xf numFmtId="171" fontId="1" fillId="0" borderId="0" xfId="1" applyNumberFormat="1" applyFont="1" applyBorder="1"/>
    <xf numFmtId="164" fontId="1" fillId="0" borderId="0" xfId="1" applyNumberFormat="1" applyFont="1" applyBorder="1"/>
    <xf numFmtId="10" fontId="1" fillId="0" borderId="0" xfId="3" applyNumberFormat="1" applyFont="1" applyBorder="1"/>
    <xf numFmtId="170" fontId="0" fillId="0" borderId="9" xfId="3" applyNumberFormat="1" applyFont="1" applyFill="1" applyBorder="1" applyAlignment="1">
      <alignment horizontal="center"/>
    </xf>
    <xf numFmtId="170" fontId="0" fillId="0" borderId="13" xfId="3" applyNumberFormat="1" applyFont="1" applyFill="1" applyBorder="1" applyAlignment="1">
      <alignment horizontal="center"/>
    </xf>
    <xf numFmtId="0" fontId="1" fillId="0" borderId="0" xfId="0" applyFont="1" applyFill="1"/>
    <xf numFmtId="166" fontId="1" fillId="0" borderId="6" xfId="0" applyNumberFormat="1" applyFont="1" applyBorder="1"/>
    <xf numFmtId="166" fontId="1" fillId="0" borderId="0" xfId="0" applyNumberFormat="1" applyFont="1" applyBorder="1"/>
    <xf numFmtId="166" fontId="0" fillId="0" borderId="0" xfId="0" applyNumberFormat="1" applyFill="1"/>
    <xf numFmtId="166" fontId="5" fillId="0" borderId="0" xfId="0" applyNumberFormat="1" applyFont="1" applyFill="1"/>
    <xf numFmtId="0" fontId="0" fillId="0" borderId="0" xfId="0" applyFill="1"/>
    <xf numFmtId="10" fontId="0" fillId="0" borderId="0" xfId="3" applyNumberFormat="1" applyFont="1"/>
    <xf numFmtId="43" fontId="0" fillId="0" borderId="0" xfId="1" applyNumberFormat="1" applyFont="1"/>
    <xf numFmtId="2" fontId="0" fillId="0" borderId="6" xfId="0" applyNumberFormat="1" applyBorder="1"/>
    <xf numFmtId="172" fontId="0" fillId="0" borderId="6" xfId="1" applyNumberFormat="1" applyFont="1" applyBorder="1"/>
    <xf numFmtId="43" fontId="0" fillId="0" borderId="3" xfId="0" applyNumberFormat="1" applyBorder="1"/>
    <xf numFmtId="5" fontId="5" fillId="0" borderId="0" xfId="0" applyNumberFormat="1" applyFont="1" applyFill="1" applyBorder="1"/>
    <xf numFmtId="0" fontId="1" fillId="0" borderId="0" xfId="0" applyFont="1" applyBorder="1"/>
    <xf numFmtId="0" fontId="0" fillId="3" borderId="15" xfId="0" applyFill="1" applyBorder="1"/>
    <xf numFmtId="0" fontId="0" fillId="3" borderId="8" xfId="0" applyFill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47"/>
  <sheetViews>
    <sheetView showGridLines="0" topLeftCell="E29" workbookViewId="0">
      <selection activeCell="I48" sqref="I48"/>
    </sheetView>
  </sheetViews>
  <sheetFormatPr defaultRowHeight="12.5"/>
  <cols>
    <col min="3" max="3" width="3.7265625" customWidth="1"/>
    <col min="4" max="4" width="60.453125" customWidth="1"/>
    <col min="5" max="5" width="2.81640625" customWidth="1"/>
    <col min="6" max="6" width="14.453125" bestFit="1" customWidth="1"/>
    <col min="8" max="8" width="49.26953125" customWidth="1"/>
  </cols>
  <sheetData>
    <row r="1" spans="3:6" ht="13" thickBot="1"/>
    <row r="2" spans="3:6" ht="13">
      <c r="C2" s="92"/>
      <c r="D2" s="98" t="s">
        <v>84</v>
      </c>
      <c r="E2" s="98"/>
      <c r="F2" s="99"/>
    </row>
    <row r="3" spans="3:6" ht="13">
      <c r="C3" s="93"/>
      <c r="D3" s="100" t="s">
        <v>102</v>
      </c>
      <c r="E3" s="100"/>
      <c r="F3" s="101"/>
    </row>
    <row r="4" spans="3:6">
      <c r="C4" s="22"/>
      <c r="D4" s="7"/>
      <c r="E4" s="7"/>
      <c r="F4" s="23"/>
    </row>
    <row r="5" spans="3:6">
      <c r="C5" s="94">
        <v>1</v>
      </c>
      <c r="D5" s="7" t="s">
        <v>74</v>
      </c>
      <c r="E5" s="7"/>
      <c r="F5" s="24">
        <f>ROUND(Calculation!B19,0)</f>
        <v>1357412</v>
      </c>
    </row>
    <row r="6" spans="3:6" ht="6.75" customHeight="1">
      <c r="C6" s="94"/>
      <c r="D6" s="7"/>
      <c r="E6" s="7"/>
      <c r="F6" s="24"/>
    </row>
    <row r="7" spans="3:6">
      <c r="C7" s="94">
        <v>2</v>
      </c>
      <c r="D7" s="91" t="s">
        <v>72</v>
      </c>
      <c r="E7" s="7"/>
      <c r="F7" s="24">
        <f>ROUND(Calculation!B51,0)+1</f>
        <v>-8343471</v>
      </c>
    </row>
    <row r="8" spans="3:6" ht="6.75" customHeight="1">
      <c r="C8" s="94"/>
      <c r="D8" s="7"/>
      <c r="E8" s="7"/>
      <c r="F8" s="24"/>
    </row>
    <row r="9" spans="3:6" ht="12.75" customHeight="1">
      <c r="C9" s="94">
        <v>3</v>
      </c>
      <c r="D9" s="7" t="s">
        <v>114</v>
      </c>
      <c r="E9" s="7"/>
      <c r="F9" s="24">
        <f>ROUND(Calculation!B67,0)</f>
        <v>-2629783</v>
      </c>
    </row>
    <row r="10" spans="3:6" ht="6.75" customHeight="1">
      <c r="C10" s="94"/>
      <c r="D10" s="7"/>
      <c r="E10" s="7"/>
      <c r="F10" s="24"/>
    </row>
    <row r="11" spans="3:6" ht="12.75" customHeight="1">
      <c r="C11" s="94">
        <v>4</v>
      </c>
      <c r="D11" s="7" t="s">
        <v>73</v>
      </c>
      <c r="E11" s="7"/>
      <c r="F11" s="24">
        <f>ROUND(Calculation!B85,0)</f>
        <v>480093</v>
      </c>
    </row>
    <row r="12" spans="3:6" ht="6.75" customHeight="1">
      <c r="C12" s="94"/>
      <c r="D12" s="7"/>
      <c r="E12" s="7"/>
      <c r="F12" s="24"/>
    </row>
    <row r="13" spans="3:6" ht="12.75" customHeight="1">
      <c r="C13" s="94">
        <v>5</v>
      </c>
      <c r="D13" s="7" t="s">
        <v>70</v>
      </c>
      <c r="E13" s="7"/>
      <c r="F13" s="24">
        <f>ROUND(Calculation!B116,0)</f>
        <v>-2889236</v>
      </c>
    </row>
    <row r="14" spans="3:6" ht="6" customHeight="1">
      <c r="C14" s="94"/>
      <c r="D14" s="7"/>
      <c r="E14" s="7"/>
      <c r="F14" s="24"/>
    </row>
    <row r="15" spans="3:6" ht="12.75" customHeight="1">
      <c r="C15" s="94">
        <v>6</v>
      </c>
      <c r="D15" s="7" t="s">
        <v>103</v>
      </c>
      <c r="E15" s="7"/>
      <c r="F15" s="24">
        <f>Calculation!B125</f>
        <v>6348355.1653076634</v>
      </c>
    </row>
    <row r="16" spans="3:6" ht="7" customHeight="1">
      <c r="C16" s="94"/>
      <c r="D16" s="7"/>
      <c r="E16" s="7"/>
      <c r="F16" s="24"/>
    </row>
    <row r="17" spans="3:10" ht="12.75" customHeight="1">
      <c r="C17" s="94">
        <v>7</v>
      </c>
      <c r="D17" s="7" t="s">
        <v>89</v>
      </c>
      <c r="E17" s="7"/>
      <c r="F17" s="24">
        <f>ROUND(Calculation!B105,0)</f>
        <v>606348</v>
      </c>
    </row>
    <row r="18" spans="3:10" ht="5" customHeight="1">
      <c r="C18" s="94"/>
      <c r="D18" s="7"/>
      <c r="E18" s="7"/>
      <c r="F18" s="24"/>
    </row>
    <row r="19" spans="3:10" ht="12" customHeight="1">
      <c r="C19" s="95">
        <v>8</v>
      </c>
      <c r="D19" s="21" t="s">
        <v>101</v>
      </c>
      <c r="E19" s="21"/>
      <c r="F19" s="61">
        <f>ROUND(Calculation!B121,0)</f>
        <v>-1149458</v>
      </c>
    </row>
    <row r="20" spans="3:10" ht="6.75" customHeight="1">
      <c r="C20" s="22"/>
      <c r="D20" s="7"/>
      <c r="E20" s="7"/>
      <c r="F20" s="24"/>
    </row>
    <row r="21" spans="3:10" ht="13" thickBot="1">
      <c r="C21" s="25"/>
      <c r="D21" s="26" t="s">
        <v>88</v>
      </c>
      <c r="E21" s="26"/>
      <c r="F21" s="27">
        <f>SUM(F5:F20)</f>
        <v>-6219739.8346923366</v>
      </c>
    </row>
    <row r="22" spans="3:10" ht="13" thickBot="1"/>
    <row r="23" spans="3:10" ht="13">
      <c r="D23" t="s">
        <v>105</v>
      </c>
      <c r="H23" s="96" t="s">
        <v>115</v>
      </c>
      <c r="I23" s="102"/>
      <c r="J23" s="97"/>
    </row>
    <row r="24" spans="3:10" ht="13">
      <c r="D24" t="s">
        <v>113</v>
      </c>
      <c r="H24" s="57"/>
      <c r="I24" s="58"/>
      <c r="J24" s="59"/>
    </row>
    <row r="25" spans="3:10" ht="13">
      <c r="D25" t="s">
        <v>106</v>
      </c>
      <c r="H25" s="38"/>
      <c r="I25" s="42" t="s">
        <v>41</v>
      </c>
      <c r="J25" s="43" t="s">
        <v>41</v>
      </c>
    </row>
    <row r="26" spans="3:10" ht="13.5" customHeight="1">
      <c r="D26" t="s">
        <v>107</v>
      </c>
      <c r="F26" s="4"/>
      <c r="H26" s="22"/>
      <c r="I26" s="41" t="s">
        <v>39</v>
      </c>
      <c r="J26" s="44" t="s">
        <v>42</v>
      </c>
    </row>
    <row r="27" spans="3:10" ht="13.5" customHeight="1">
      <c r="D27" t="s">
        <v>108</v>
      </c>
      <c r="F27" s="4"/>
      <c r="H27" s="22"/>
      <c r="I27" s="41"/>
      <c r="J27" s="44"/>
    </row>
    <row r="28" spans="3:10">
      <c r="D28" t="s">
        <v>109</v>
      </c>
      <c r="F28" s="4"/>
      <c r="H28" s="22" t="s">
        <v>38</v>
      </c>
      <c r="I28" s="39">
        <f>Calculation!B90</f>
        <v>11.843606805447362</v>
      </c>
      <c r="J28" s="46">
        <f>Calculation!B91</f>
        <v>2.1495007465030726E-2</v>
      </c>
    </row>
    <row r="29" spans="3:10">
      <c r="D29" t="s">
        <v>110</v>
      </c>
      <c r="F29" s="4"/>
      <c r="H29" s="22"/>
      <c r="I29" s="39"/>
      <c r="J29" s="45"/>
    </row>
    <row r="30" spans="3:10">
      <c r="D30" t="s">
        <v>111</v>
      </c>
      <c r="F30" s="4"/>
      <c r="H30" s="22" t="s">
        <v>40</v>
      </c>
      <c r="I30" s="39">
        <f>Calculation!B42</f>
        <v>-21.601845085861619</v>
      </c>
      <c r="J30" s="46">
        <f>Calculation!B41/Calculation!B39</f>
        <v>-5.7705256003422814E-2</v>
      </c>
    </row>
    <row r="31" spans="3:10">
      <c r="D31" t="s">
        <v>112</v>
      </c>
      <c r="F31" s="4"/>
      <c r="H31" s="22"/>
      <c r="I31" s="39"/>
      <c r="J31" s="45"/>
    </row>
    <row r="32" spans="3:10">
      <c r="F32" s="4"/>
      <c r="H32" s="22" t="s">
        <v>104</v>
      </c>
      <c r="I32" s="39">
        <f>Calculation!B58</f>
        <v>-9.7569042284194811</v>
      </c>
      <c r="J32" s="46">
        <f>Calculation!B57/Calculation!B55</f>
        <v>-4.7512464901175028E-2</v>
      </c>
    </row>
    <row r="33" spans="6:10">
      <c r="F33" s="4"/>
      <c r="H33" s="22"/>
      <c r="I33" s="39"/>
      <c r="J33" s="45"/>
    </row>
    <row r="34" spans="6:10" ht="13" thickBot="1">
      <c r="F34" s="4"/>
      <c r="H34" s="72" t="s">
        <v>76</v>
      </c>
      <c r="I34" s="47">
        <f>Calculation!B99</f>
        <v>13.790097031963469</v>
      </c>
      <c r="J34" s="48">
        <f>Calculation!B98/Calculation!B96</f>
        <v>1.3052106565781842E-2</v>
      </c>
    </row>
    <row r="37" spans="6:10" ht="13" thickBot="1"/>
    <row r="38" spans="6:10" ht="13">
      <c r="H38" s="96" t="s">
        <v>116</v>
      </c>
      <c r="I38" s="97"/>
      <c r="J38" s="50"/>
    </row>
    <row r="39" spans="6:10" ht="13">
      <c r="H39" s="51"/>
      <c r="I39" s="52"/>
      <c r="J39" s="50"/>
    </row>
    <row r="40" spans="6:10">
      <c r="H40" s="22"/>
      <c r="I40" s="53"/>
      <c r="J40" s="40"/>
    </row>
    <row r="41" spans="6:10">
      <c r="H41" s="60" t="s">
        <v>10</v>
      </c>
      <c r="I41" s="77">
        <v>0.86409999999999998</v>
      </c>
      <c r="J41" s="49"/>
    </row>
    <row r="42" spans="6:10">
      <c r="H42" s="22"/>
      <c r="I42" s="46"/>
      <c r="J42" s="40"/>
    </row>
    <row r="43" spans="6:10">
      <c r="H43" s="22" t="s">
        <v>43</v>
      </c>
      <c r="I43" s="77">
        <v>0.93459999999999999</v>
      </c>
      <c r="J43" s="49"/>
    </row>
    <row r="44" spans="6:10">
      <c r="H44" s="22"/>
      <c r="I44" s="46"/>
      <c r="J44" s="49"/>
    </row>
    <row r="45" spans="6:10">
      <c r="H45" s="22" t="s">
        <v>15</v>
      </c>
      <c r="I45" s="77">
        <v>0.81159999999999999</v>
      </c>
      <c r="J45" s="49"/>
    </row>
    <row r="46" spans="6:10">
      <c r="H46" s="22"/>
      <c r="I46" s="46"/>
      <c r="J46" s="40"/>
    </row>
    <row r="47" spans="6:10" ht="13" thickBot="1">
      <c r="H47" s="25" t="s">
        <v>71</v>
      </c>
      <c r="I47" s="78">
        <v>0.95799999999999996</v>
      </c>
      <c r="J47" s="49"/>
    </row>
  </sheetData>
  <mergeCells count="4">
    <mergeCell ref="H38:I38"/>
    <mergeCell ref="D2:F2"/>
    <mergeCell ref="D3:F3"/>
    <mergeCell ref="H23:J2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"/>
  <sheetViews>
    <sheetView tabSelected="1" topLeftCell="A2" workbookViewId="0">
      <pane ySplit="1510" activePane="bottomLeft"/>
      <selection activeCell="C5" sqref="C5:N5"/>
      <selection pane="bottomLeft" activeCell="C107" sqref="C107:N108"/>
    </sheetView>
  </sheetViews>
  <sheetFormatPr defaultRowHeight="12.5"/>
  <cols>
    <col min="1" max="1" width="42.36328125" customWidth="1"/>
    <col min="2" max="2" width="13.7265625" customWidth="1"/>
    <col min="3" max="4" width="11.7265625" customWidth="1"/>
    <col min="5" max="5" width="11.54296875" customWidth="1"/>
    <col min="6" max="6" width="12.1796875" customWidth="1"/>
    <col min="7" max="8" width="11.7265625" customWidth="1"/>
    <col min="9" max="9" width="12.1796875" customWidth="1"/>
    <col min="10" max="10" width="11.54296875" customWidth="1"/>
    <col min="11" max="11" width="13" customWidth="1"/>
    <col min="12" max="13" width="11.453125" customWidth="1"/>
    <col min="14" max="14" width="11" customWidth="1"/>
    <col min="15" max="15" width="12.7265625" bestFit="1" customWidth="1"/>
    <col min="17" max="17" width="12.7265625" bestFit="1" customWidth="1"/>
    <col min="19" max="19" width="12.7265625" bestFit="1" customWidth="1"/>
    <col min="21" max="21" width="12.7265625" bestFit="1" customWidth="1"/>
    <col min="23" max="23" width="12.7265625" bestFit="1" customWidth="1"/>
    <col min="25" max="25" width="12.7265625" bestFit="1" customWidth="1"/>
    <col min="27" max="27" width="12.7265625" bestFit="1" customWidth="1"/>
  </cols>
  <sheetData>
    <row r="1" spans="1:20" ht="15.5">
      <c r="A1" s="8" t="s">
        <v>8</v>
      </c>
    </row>
    <row r="2" spans="1:20" ht="15.5">
      <c r="A2" s="8" t="s">
        <v>99</v>
      </c>
    </row>
    <row r="3" spans="1:20" ht="15.5">
      <c r="A3" s="8"/>
    </row>
    <row r="4" spans="1:20">
      <c r="B4" s="29">
        <f>SUM(C4:N4)</f>
        <v>8760</v>
      </c>
      <c r="C4" s="29">
        <v>744</v>
      </c>
      <c r="D4" s="29">
        <v>672</v>
      </c>
      <c r="E4" s="29">
        <v>743</v>
      </c>
      <c r="F4" s="29">
        <v>720</v>
      </c>
      <c r="G4" s="29">
        <v>744</v>
      </c>
      <c r="H4" s="29">
        <v>720</v>
      </c>
      <c r="I4" s="29">
        <v>744</v>
      </c>
      <c r="J4" s="29">
        <v>744</v>
      </c>
      <c r="K4" s="29">
        <v>720</v>
      </c>
      <c r="L4" s="29">
        <v>744</v>
      </c>
      <c r="M4" s="29">
        <v>721</v>
      </c>
      <c r="N4" s="29">
        <v>744</v>
      </c>
    </row>
    <row r="5" spans="1:20">
      <c r="B5" s="5" t="s">
        <v>2</v>
      </c>
      <c r="C5" s="6">
        <v>42736</v>
      </c>
      <c r="D5" s="6">
        <v>42767</v>
      </c>
      <c r="E5" s="6">
        <v>42795</v>
      </c>
      <c r="F5" s="6">
        <v>42826</v>
      </c>
      <c r="G5" s="6">
        <v>42856</v>
      </c>
      <c r="H5" s="6">
        <v>42887</v>
      </c>
      <c r="I5" s="6">
        <v>42917</v>
      </c>
      <c r="J5" s="6">
        <v>42948</v>
      </c>
      <c r="K5" s="6">
        <v>42979</v>
      </c>
      <c r="L5" s="6">
        <v>43009</v>
      </c>
      <c r="M5" s="6">
        <v>43040</v>
      </c>
      <c r="N5" s="6">
        <v>43070</v>
      </c>
    </row>
    <row r="7" spans="1:20">
      <c r="A7" s="79" t="s">
        <v>85</v>
      </c>
      <c r="B7" s="63">
        <f>AVERAGE(C7:N7)</f>
        <v>21.627570899352278</v>
      </c>
      <c r="C7" s="63">
        <f>'Mid C Index'!D6</f>
        <v>29.844706902532085</v>
      </c>
      <c r="D7" s="63">
        <f>'Mid C Index'!E6</f>
        <v>20.663384353741499</v>
      </c>
      <c r="E7" s="63">
        <f>'Mid C Index'!F6</f>
        <v>10.472661398862503</v>
      </c>
      <c r="F7" s="63">
        <f>'Mid C Index'!G6</f>
        <v>8.0512592592592576</v>
      </c>
      <c r="G7" s="63">
        <f>'Mid C Index'!H6</f>
        <v>10.309667013527575</v>
      </c>
      <c r="H7" s="63">
        <f>'Mid C Index'!I6</f>
        <v>9.4432148148148158</v>
      </c>
      <c r="I7" s="63">
        <f>'Mid C Index'!J6</f>
        <v>25.902532084634064</v>
      </c>
      <c r="J7" s="63">
        <f>'Mid C Index'!K6</f>
        <v>40.31300034686091</v>
      </c>
      <c r="K7" s="63">
        <f>'Mid C Index'!L6</f>
        <v>28.9142962962963</v>
      </c>
      <c r="L7" s="63">
        <f>'Mid C Index'!M6</f>
        <v>25.264308012486993</v>
      </c>
      <c r="M7" s="63">
        <f>'Mid C Index'!N6</f>
        <v>24.676048543689323</v>
      </c>
      <c r="N7" s="63">
        <f>'Mid C Index'!O6</f>
        <v>25.675771765522025</v>
      </c>
    </row>
    <row r="8" spans="1:20">
      <c r="A8" t="s">
        <v>91</v>
      </c>
      <c r="C8" s="85">
        <v>0.64710000000000001</v>
      </c>
      <c r="D8" s="85">
        <v>0.64710000000000001</v>
      </c>
      <c r="E8" s="85">
        <v>0.64710000000000001</v>
      </c>
      <c r="F8" s="85">
        <v>0.64710000000000001</v>
      </c>
      <c r="G8" s="85">
        <v>0.64710000000000001</v>
      </c>
      <c r="H8" s="85">
        <v>0.64710000000000001</v>
      </c>
      <c r="I8" s="85">
        <v>0.64710000000000001</v>
      </c>
      <c r="J8" s="85">
        <v>0.64710000000000001</v>
      </c>
      <c r="K8" s="85">
        <v>0.64710000000000001</v>
      </c>
      <c r="L8" s="85">
        <v>0.64710000000000001</v>
      </c>
      <c r="M8" s="85">
        <v>0.64710000000000001</v>
      </c>
      <c r="N8" s="85">
        <v>0.64710000000000001</v>
      </c>
    </row>
    <row r="9" spans="1:20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T9" s="1"/>
    </row>
    <row r="10" spans="1:20" ht="13">
      <c r="A10" s="9" t="s">
        <v>44</v>
      </c>
      <c r="B10" s="88">
        <f>B11/8760</f>
        <v>454.11643835616439</v>
      </c>
      <c r="C10" s="86"/>
      <c r="D10" s="86"/>
    </row>
    <row r="11" spans="1:20">
      <c r="A11" s="10" t="s">
        <v>0</v>
      </c>
      <c r="B11" s="28">
        <f>SUM(C11:N11)</f>
        <v>3978060</v>
      </c>
      <c r="C11" s="1">
        <v>283090</v>
      </c>
      <c r="D11" s="1">
        <v>290948</v>
      </c>
      <c r="E11" s="1">
        <v>465718</v>
      </c>
      <c r="F11" s="1">
        <v>520028</v>
      </c>
      <c r="G11" s="1">
        <v>566736</v>
      </c>
      <c r="H11" s="1">
        <v>509919</v>
      </c>
      <c r="I11" s="1">
        <v>289320</v>
      </c>
      <c r="J11" s="1">
        <v>133387</v>
      </c>
      <c r="K11" s="1">
        <v>149039</v>
      </c>
      <c r="L11" s="1">
        <v>196923</v>
      </c>
      <c r="M11" s="1">
        <v>235196</v>
      </c>
      <c r="N11" s="1">
        <v>337756</v>
      </c>
    </row>
    <row r="12" spans="1:20">
      <c r="A12" s="10" t="s">
        <v>1</v>
      </c>
      <c r="B12" s="28">
        <f>SUM(C12:N12)</f>
        <v>3885144.9123859894</v>
      </c>
      <c r="C12" s="70">
        <v>268941.93135223398</v>
      </c>
      <c r="D12" s="70">
        <v>241047.41148376456</v>
      </c>
      <c r="E12" s="70">
        <v>275128.34905395494</v>
      </c>
      <c r="F12" s="70">
        <v>413807.13348999008</v>
      </c>
      <c r="G12" s="70">
        <v>587637.55425415072</v>
      </c>
      <c r="H12" s="70">
        <v>578208.11132812558</v>
      </c>
      <c r="I12" s="70">
        <v>393117.34786987305</v>
      </c>
      <c r="J12" s="70">
        <v>188578.52233014102</v>
      </c>
      <c r="K12" s="70">
        <v>188358.38188629158</v>
      </c>
      <c r="L12" s="70">
        <v>207892.03539581309</v>
      </c>
      <c r="M12" s="70">
        <v>237159.12587585446</v>
      </c>
      <c r="N12" s="70">
        <v>305269.00806579611</v>
      </c>
    </row>
    <row r="13" spans="1:20">
      <c r="A13" s="10"/>
      <c r="B13" s="89">
        <f>B12/8760</f>
        <v>443.50969319474763</v>
      </c>
    </row>
    <row r="14" spans="1:20">
      <c r="A14" s="10" t="s">
        <v>4</v>
      </c>
      <c r="B14" s="28">
        <f>SUM(C14:N14)</f>
        <v>92915.087614010816</v>
      </c>
      <c r="C14" s="2">
        <f>C11-C12</f>
        <v>14148.06864776602</v>
      </c>
      <c r="D14" s="2">
        <f t="shared" ref="D14:N14" si="0">D11-D12</f>
        <v>49900.588516235439</v>
      </c>
      <c r="E14" s="2">
        <f t="shared" si="0"/>
        <v>190589.65094604506</v>
      </c>
      <c r="F14" s="2">
        <f t="shared" si="0"/>
        <v>106220.86651000992</v>
      </c>
      <c r="G14" s="2">
        <f t="shared" si="0"/>
        <v>-20901.554254150717</v>
      </c>
      <c r="H14" s="2">
        <f t="shared" si="0"/>
        <v>-68289.111328125582</v>
      </c>
      <c r="I14" s="2">
        <f t="shared" si="0"/>
        <v>-103797.34786987305</v>
      </c>
      <c r="J14" s="2">
        <f t="shared" si="0"/>
        <v>-55191.522330141015</v>
      </c>
      <c r="K14" s="2">
        <f t="shared" si="0"/>
        <v>-39319.38188629158</v>
      </c>
      <c r="L14" s="2">
        <f t="shared" si="0"/>
        <v>-10969.035395813087</v>
      </c>
      <c r="M14" s="2">
        <f t="shared" si="0"/>
        <v>-1963.1258758544573</v>
      </c>
      <c r="N14" s="2">
        <f t="shared" si="0"/>
        <v>32486.991934203892</v>
      </c>
    </row>
    <row r="15" spans="1:20">
      <c r="A15" s="10" t="s">
        <v>5</v>
      </c>
      <c r="B15" s="30">
        <f>B14/8760</f>
        <v>10.606745161416759</v>
      </c>
      <c r="C15" s="37">
        <f t="shared" ref="C15:N15" si="1">C14/C4</f>
        <v>19.01622130076078</v>
      </c>
      <c r="D15" s="37">
        <f t="shared" si="1"/>
        <v>74.256828149159873</v>
      </c>
      <c r="E15" s="37">
        <f t="shared" si="1"/>
        <v>256.51366210773227</v>
      </c>
      <c r="F15" s="37">
        <f t="shared" si="1"/>
        <v>147.52898126390266</v>
      </c>
      <c r="G15" s="37">
        <f t="shared" si="1"/>
        <v>-28.09348690074021</v>
      </c>
      <c r="H15" s="37">
        <f t="shared" si="1"/>
        <v>-94.845987955729981</v>
      </c>
      <c r="I15" s="37">
        <f t="shared" si="1"/>
        <v>-139.5125643412272</v>
      </c>
      <c r="J15" s="37">
        <f t="shared" si="1"/>
        <v>-74.182153669544377</v>
      </c>
      <c r="K15" s="37">
        <f t="shared" si="1"/>
        <v>-54.610252619849419</v>
      </c>
      <c r="L15" s="37">
        <f t="shared" si="1"/>
        <v>-14.743327144910063</v>
      </c>
      <c r="M15" s="37">
        <f t="shared" si="1"/>
        <v>-2.7227820746941154</v>
      </c>
      <c r="N15" s="37">
        <f t="shared" si="1"/>
        <v>43.665311739521357</v>
      </c>
    </row>
    <row r="16" spans="1:20">
      <c r="A16" s="10"/>
      <c r="B16" s="12">
        <f>B17/B14</f>
        <v>22.576367164278736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10" t="s">
        <v>9</v>
      </c>
      <c r="B17" s="13">
        <f>SUM(C17:N17)</f>
        <v>2097685.1330750356</v>
      </c>
      <c r="C17" s="4">
        <f>-C$7*C14</f>
        <v>-422244.96202948032</v>
      </c>
      <c r="D17" s="4">
        <f t="shared" ref="D17:N17" si="2">-D$7*D14</f>
        <v>-1031115.0399888721</v>
      </c>
      <c r="E17" s="4">
        <f t="shared" si="2"/>
        <v>-1995980.8804853244</v>
      </c>
      <c r="F17" s="4">
        <f t="shared" si="2"/>
        <v>-855211.73501525889</v>
      </c>
      <c r="G17" s="4">
        <f t="shared" si="2"/>
        <v>215488.06442547459</v>
      </c>
      <c r="H17" s="4">
        <f t="shared" si="2"/>
        <v>644868.74778429372</v>
      </c>
      <c r="I17" s="4">
        <f t="shared" si="2"/>
        <v>2688614.1334993099</v>
      </c>
      <c r="J17" s="4">
        <f t="shared" si="2"/>
        <v>2224935.8588387566</v>
      </c>
      <c r="K17" s="4">
        <f t="shared" si="2"/>
        <v>1136892.2580474603</v>
      </c>
      <c r="L17" s="4">
        <f t="shared" si="2"/>
        <v>277125.08883969398</v>
      </c>
      <c r="M17" s="4">
        <f t="shared" si="2"/>
        <v>48442.189409957209</v>
      </c>
      <c r="N17" s="4">
        <f t="shared" si="2"/>
        <v>-834128.59025097406</v>
      </c>
    </row>
    <row r="18" spans="1:14">
      <c r="A18" s="10"/>
      <c r="B18" s="1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3">
      <c r="A19" s="14" t="s">
        <v>3</v>
      </c>
      <c r="B19" s="15">
        <f>SUM(C19:N19)</f>
        <v>1357412.049612856</v>
      </c>
      <c r="C19" s="4">
        <f>C17*C$8</f>
        <v>-273234.71492927673</v>
      </c>
      <c r="D19" s="4">
        <f>D17*D$8</f>
        <v>-667234.54237679916</v>
      </c>
      <c r="E19" s="4">
        <f t="shared" ref="E19:N19" si="3">E17*E$8</f>
        <v>-1291599.2277620535</v>
      </c>
      <c r="F19" s="4">
        <f t="shared" si="3"/>
        <v>-553407.51372837403</v>
      </c>
      <c r="G19" s="4">
        <f t="shared" si="3"/>
        <v>139442.3264897246</v>
      </c>
      <c r="H19" s="4">
        <f t="shared" si="3"/>
        <v>417294.56669121649</v>
      </c>
      <c r="I19" s="4">
        <f t="shared" si="3"/>
        <v>1739802.2057874035</v>
      </c>
      <c r="J19" s="4">
        <f t="shared" si="3"/>
        <v>1439755.9942545593</v>
      </c>
      <c r="K19" s="4">
        <f t="shared" si="3"/>
        <v>735682.98018251162</v>
      </c>
      <c r="L19" s="4">
        <f t="shared" si="3"/>
        <v>179327.64498816599</v>
      </c>
      <c r="M19" s="4">
        <f t="shared" si="3"/>
        <v>31346.940767183311</v>
      </c>
      <c r="N19" s="4">
        <f t="shared" si="3"/>
        <v>-539764.61075140536</v>
      </c>
    </row>
    <row r="20" spans="1:14" ht="13">
      <c r="A20" s="7"/>
      <c r="B20" s="31"/>
    </row>
    <row r="21" spans="1:14" ht="13" hidden="1">
      <c r="A21" s="34" t="s">
        <v>20</v>
      </c>
      <c r="B21" s="31"/>
    </row>
    <row r="22" spans="1:14" hidden="1">
      <c r="A22" s="33" t="s">
        <v>21</v>
      </c>
      <c r="B22" s="17">
        <f>SUM(C22:N22)</f>
        <v>705935</v>
      </c>
      <c r="C22" s="2">
        <v>147358</v>
      </c>
      <c r="D22" s="2">
        <v>45205</v>
      </c>
      <c r="E22" s="2">
        <v>92737</v>
      </c>
      <c r="F22" s="2">
        <v>9901</v>
      </c>
      <c r="G22" s="2">
        <v>383</v>
      </c>
      <c r="H22" s="2">
        <v>840</v>
      </c>
      <c r="I22" s="2">
        <v>13951</v>
      </c>
      <c r="J22" s="2">
        <v>94532</v>
      </c>
      <c r="K22" s="2">
        <v>59300</v>
      </c>
      <c r="L22" s="2">
        <v>107507</v>
      </c>
      <c r="M22" s="2">
        <v>58355</v>
      </c>
      <c r="N22" s="2">
        <v>75866</v>
      </c>
    </row>
    <row r="23" spans="1:14" hidden="1">
      <c r="A23" s="33" t="s">
        <v>22</v>
      </c>
      <c r="B23" s="17">
        <f>SUM(C23:N23)</f>
        <v>-1035944</v>
      </c>
      <c r="C23" s="2">
        <v>-14968</v>
      </c>
      <c r="D23" s="2">
        <v>-34073</v>
      </c>
      <c r="E23" s="2">
        <v>-21830</v>
      </c>
      <c r="F23" s="2">
        <v>-130338</v>
      </c>
      <c r="G23" s="2">
        <v>-271672</v>
      </c>
      <c r="H23" s="2">
        <v>-278105</v>
      </c>
      <c r="I23" s="2">
        <v>-137895</v>
      </c>
      <c r="J23" s="2">
        <v>-20896</v>
      </c>
      <c r="K23" s="2">
        <v>-31209</v>
      </c>
      <c r="L23" s="2">
        <v>-22287</v>
      </c>
      <c r="M23" s="2">
        <v>-48835</v>
      </c>
      <c r="N23" s="2">
        <v>-23836</v>
      </c>
    </row>
    <row r="24" spans="1:14" ht="13" hidden="1">
      <c r="A24" s="7"/>
      <c r="B24" s="31"/>
    </row>
    <row r="25" spans="1:14" hidden="1">
      <c r="A25" s="33" t="s">
        <v>23</v>
      </c>
      <c r="B25" s="13">
        <f>SUM(C25:N25)</f>
        <v>18385575.649738148</v>
      </c>
      <c r="C25" s="4">
        <f t="shared" ref="C25:N25" si="4">C7*C22</f>
        <v>4397856.3197433231</v>
      </c>
      <c r="D25" s="4">
        <f t="shared" si="4"/>
        <v>934088.28971088445</v>
      </c>
      <c r="E25" s="4">
        <f t="shared" si="4"/>
        <v>971203.20014631189</v>
      </c>
      <c r="F25" s="4">
        <f t="shared" si="4"/>
        <v>79715.517925925902</v>
      </c>
      <c r="G25" s="4">
        <f t="shared" si="4"/>
        <v>3948.6024661810611</v>
      </c>
      <c r="H25" s="4">
        <f t="shared" si="4"/>
        <v>7932.300444444445</v>
      </c>
      <c r="I25" s="4">
        <f t="shared" si="4"/>
        <v>361366.22511272982</v>
      </c>
      <c r="J25" s="4">
        <f t="shared" si="4"/>
        <v>3810868.5487894556</v>
      </c>
      <c r="K25" s="4">
        <f t="shared" si="4"/>
        <v>1714617.7703703705</v>
      </c>
      <c r="L25" s="4">
        <f t="shared" si="4"/>
        <v>2716089.9614984393</v>
      </c>
      <c r="M25" s="4">
        <f t="shared" si="4"/>
        <v>1439970.8127669904</v>
      </c>
      <c r="N25" s="4">
        <f t="shared" si="4"/>
        <v>1947918.1007630939</v>
      </c>
    </row>
    <row r="26" spans="1:14" hidden="1">
      <c r="A26" s="33" t="s">
        <v>24</v>
      </c>
      <c r="B26" s="13" t="e">
        <f>SUM(C26:N26)</f>
        <v>#REF!</v>
      </c>
      <c r="C26" s="4" t="e">
        <f>#REF!*C23</f>
        <v>#REF!</v>
      </c>
      <c r="D26" s="4" t="e">
        <f>#REF!*D23</f>
        <v>#REF!</v>
      </c>
      <c r="E26" s="4" t="e">
        <f>#REF!*E23</f>
        <v>#REF!</v>
      </c>
      <c r="F26" s="4" t="e">
        <f>#REF!*F23</f>
        <v>#REF!</v>
      </c>
      <c r="G26" s="4" t="e">
        <f>#REF!*G23</f>
        <v>#REF!</v>
      </c>
      <c r="H26" s="4" t="e">
        <f>#REF!*H23</f>
        <v>#REF!</v>
      </c>
      <c r="I26" s="4" t="e">
        <f>#REF!*I23</f>
        <v>#REF!</v>
      </c>
      <c r="J26" s="4" t="e">
        <f>#REF!*J23</f>
        <v>#REF!</v>
      </c>
      <c r="K26" s="4" t="e">
        <f>#REF!*K23</f>
        <v>#REF!</v>
      </c>
      <c r="L26" s="4" t="e">
        <f>#REF!*L23</f>
        <v>#REF!</v>
      </c>
      <c r="M26" s="4" t="e">
        <f>#REF!*M23</f>
        <v>#REF!</v>
      </c>
      <c r="N26" s="4" t="e">
        <f>#REF!*N23</f>
        <v>#REF!</v>
      </c>
    </row>
    <row r="27" spans="1:14" ht="13" hidden="1">
      <c r="A27" s="33" t="s">
        <v>29</v>
      </c>
      <c r="B27" s="31" t="e">
        <f>SUM(B25:B26)</f>
        <v>#REF!</v>
      </c>
    </row>
    <row r="28" spans="1:14" ht="13" hidden="1">
      <c r="A28" s="33"/>
      <c r="B28" s="31"/>
    </row>
    <row r="29" spans="1:14" hidden="1">
      <c r="A29" s="33" t="s">
        <v>25</v>
      </c>
      <c r="B29" s="13">
        <f>SUM(C29:N29)</f>
        <v>44793650</v>
      </c>
      <c r="C29" s="4">
        <v>9075662</v>
      </c>
      <c r="D29" s="4">
        <v>2751138</v>
      </c>
      <c r="E29" s="4">
        <v>5619553</v>
      </c>
      <c r="F29" s="4">
        <v>577177</v>
      </c>
      <c r="G29" s="4">
        <v>22410</v>
      </c>
      <c r="H29" s="4">
        <v>32375</v>
      </c>
      <c r="I29" s="4">
        <v>934723</v>
      </c>
      <c r="J29" s="4">
        <v>5871138</v>
      </c>
      <c r="K29" s="4">
        <v>3944699</v>
      </c>
      <c r="L29" s="4">
        <v>7107241</v>
      </c>
      <c r="M29" s="4">
        <v>3786293</v>
      </c>
      <c r="N29" s="4">
        <v>5071241</v>
      </c>
    </row>
    <row r="30" spans="1:14" hidden="1">
      <c r="A30" s="33" t="s">
        <v>26</v>
      </c>
      <c r="B30" s="13">
        <f>SUM(C30:N30)</f>
        <v>-46402691</v>
      </c>
      <c r="C30" s="4">
        <v>-797058</v>
      </c>
      <c r="D30" s="4">
        <v>-2024244</v>
      </c>
      <c r="E30" s="4">
        <v>-1170113</v>
      </c>
      <c r="F30" s="4">
        <v>-6133173</v>
      </c>
      <c r="G30" s="4">
        <v>-10830415</v>
      </c>
      <c r="H30" s="4">
        <v>-9847543</v>
      </c>
      <c r="I30" s="4">
        <v>-6773305</v>
      </c>
      <c r="J30" s="4">
        <v>-1214676</v>
      </c>
      <c r="K30" s="4">
        <v>-1756109</v>
      </c>
      <c r="L30" s="4">
        <v>-1213524</v>
      </c>
      <c r="M30" s="4">
        <v>-3049337</v>
      </c>
      <c r="N30" s="4">
        <v>-1593194</v>
      </c>
    </row>
    <row r="31" spans="1:14" ht="13" hidden="1">
      <c r="A31" s="33"/>
      <c r="B31" s="31">
        <f>SUM(B29:B30)</f>
        <v>-1609041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3" hidden="1">
      <c r="A32" s="33"/>
      <c r="B32" s="3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idden="1">
      <c r="A33" s="33" t="s">
        <v>27</v>
      </c>
      <c r="B33" s="13">
        <f>SUM(C33:N33)</f>
        <v>-26408074.350261848</v>
      </c>
      <c r="C33" s="4">
        <f>C25-C29</f>
        <v>-4677805.6802566769</v>
      </c>
      <c r="D33" s="4">
        <f t="shared" ref="D33:N33" si="5">D25-D29</f>
        <v>-1817049.7102891156</v>
      </c>
      <c r="E33" s="4">
        <f t="shared" si="5"/>
        <v>-4648349.7998536881</v>
      </c>
      <c r="F33" s="4">
        <f t="shared" si="5"/>
        <v>-497461.4820740741</v>
      </c>
      <c r="G33" s="4">
        <f t="shared" si="5"/>
        <v>-18461.397533818938</v>
      </c>
      <c r="H33" s="4">
        <f t="shared" si="5"/>
        <v>-24442.699555555555</v>
      </c>
      <c r="I33" s="4">
        <f t="shared" si="5"/>
        <v>-573356.77488727018</v>
      </c>
      <c r="J33" s="4">
        <f t="shared" si="5"/>
        <v>-2060269.4512105444</v>
      </c>
      <c r="K33" s="4">
        <f t="shared" si="5"/>
        <v>-2230081.2296296293</v>
      </c>
      <c r="L33" s="4">
        <f t="shared" si="5"/>
        <v>-4391151.0385015607</v>
      </c>
      <c r="M33" s="4">
        <f t="shared" si="5"/>
        <v>-2346322.1872330094</v>
      </c>
      <c r="N33" s="4">
        <f t="shared" si="5"/>
        <v>-3123322.8992369063</v>
      </c>
    </row>
    <row r="34" spans="1:14" hidden="1">
      <c r="A34" s="33" t="s">
        <v>28</v>
      </c>
      <c r="B34" s="13" t="e">
        <f>SUM(C34:N34)</f>
        <v>#REF!</v>
      </c>
      <c r="C34" s="4" t="e">
        <f>C26-C30</f>
        <v>#REF!</v>
      </c>
      <c r="D34" s="4" t="e">
        <f t="shared" ref="D34:N34" si="6">D26-D30</f>
        <v>#REF!</v>
      </c>
      <c r="E34" s="4" t="e">
        <f t="shared" si="6"/>
        <v>#REF!</v>
      </c>
      <c r="F34" s="4" t="e">
        <f t="shared" si="6"/>
        <v>#REF!</v>
      </c>
      <c r="G34" s="4" t="e">
        <f t="shared" si="6"/>
        <v>#REF!</v>
      </c>
      <c r="H34" s="4" t="e">
        <f t="shared" si="6"/>
        <v>#REF!</v>
      </c>
      <c r="I34" s="4" t="e">
        <f t="shared" si="6"/>
        <v>#REF!</v>
      </c>
      <c r="J34" s="4" t="e">
        <f t="shared" si="6"/>
        <v>#REF!</v>
      </c>
      <c r="K34" s="4" t="e">
        <f t="shared" si="6"/>
        <v>#REF!</v>
      </c>
      <c r="L34" s="4" t="e">
        <f t="shared" si="6"/>
        <v>#REF!</v>
      </c>
      <c r="M34" s="4" t="e">
        <f t="shared" si="6"/>
        <v>#REF!</v>
      </c>
      <c r="N34" s="4" t="e">
        <f t="shared" si="6"/>
        <v>#REF!</v>
      </c>
    </row>
    <row r="35" spans="1:14" ht="13" hidden="1">
      <c r="A35" s="33" t="s">
        <v>30</v>
      </c>
      <c r="B35" s="36" t="e">
        <f>SUM(C35:N35)</f>
        <v>#REF!</v>
      </c>
      <c r="C35" s="31" t="e">
        <f>SUM(C33:C34)</f>
        <v>#REF!</v>
      </c>
      <c r="D35" s="31" t="e">
        <f t="shared" ref="D35:N35" si="7">SUM(D33:D34)</f>
        <v>#REF!</v>
      </c>
      <c r="E35" s="31" t="e">
        <f t="shared" si="7"/>
        <v>#REF!</v>
      </c>
      <c r="F35" s="31" t="e">
        <f t="shared" si="7"/>
        <v>#REF!</v>
      </c>
      <c r="G35" s="31" t="e">
        <f t="shared" si="7"/>
        <v>#REF!</v>
      </c>
      <c r="H35" s="31" t="e">
        <f t="shared" si="7"/>
        <v>#REF!</v>
      </c>
      <c r="I35" s="31" t="e">
        <f t="shared" si="7"/>
        <v>#REF!</v>
      </c>
      <c r="J35" s="31" t="e">
        <f t="shared" si="7"/>
        <v>#REF!</v>
      </c>
      <c r="K35" s="31" t="e">
        <f t="shared" si="7"/>
        <v>#REF!</v>
      </c>
      <c r="L35" s="31" t="e">
        <f t="shared" si="7"/>
        <v>#REF!</v>
      </c>
      <c r="M35" s="31" t="e">
        <f t="shared" si="7"/>
        <v>#REF!</v>
      </c>
      <c r="N35" s="31" t="e">
        <f t="shared" si="7"/>
        <v>#REF!</v>
      </c>
    </row>
    <row r="37" spans="1:14" ht="13">
      <c r="A37" s="9" t="s">
        <v>31</v>
      </c>
      <c r="B37" s="16"/>
    </row>
    <row r="38" spans="1:14">
      <c r="A38" s="10" t="s">
        <v>32</v>
      </c>
      <c r="B38" s="28">
        <f>SUM(C38:N38)</f>
        <v>3090056</v>
      </c>
      <c r="C38" s="70">
        <v>386733</v>
      </c>
      <c r="D38" s="70">
        <v>175942</v>
      </c>
      <c r="E38" s="70">
        <v>87395</v>
      </c>
      <c r="F38" s="70">
        <v>68469</v>
      </c>
      <c r="G38" s="70">
        <v>64909</v>
      </c>
      <c r="H38" s="70">
        <v>67538</v>
      </c>
      <c r="I38" s="70">
        <v>373187</v>
      </c>
      <c r="J38" s="70">
        <v>422139</v>
      </c>
      <c r="K38" s="70">
        <v>362680</v>
      </c>
      <c r="L38" s="70">
        <v>319922</v>
      </c>
      <c r="M38" s="70">
        <v>358704</v>
      </c>
      <c r="N38" s="70">
        <v>402438</v>
      </c>
    </row>
    <row r="39" spans="1:14">
      <c r="A39" s="10" t="s">
        <v>33</v>
      </c>
      <c r="B39" s="28">
        <f>SUM(C39:N39)</f>
        <v>3279288.1629521474</v>
      </c>
      <c r="C39" s="70">
        <v>365287.68860890908</v>
      </c>
      <c r="D39" s="70">
        <v>324944.55732508312</v>
      </c>
      <c r="E39" s="70">
        <v>317820.8956940652</v>
      </c>
      <c r="F39" s="70">
        <v>226687.93792569643</v>
      </c>
      <c r="G39" s="70">
        <v>91075.960249590964</v>
      </c>
      <c r="H39" s="70">
        <v>91518.159969103246</v>
      </c>
      <c r="I39" s="70">
        <v>219504.62223656167</v>
      </c>
      <c r="J39" s="70">
        <v>294153.15393773303</v>
      </c>
      <c r="K39" s="70">
        <v>309969.7308602815</v>
      </c>
      <c r="L39" s="70">
        <v>333717.54778287717</v>
      </c>
      <c r="M39" s="70">
        <v>340150.70664606069</v>
      </c>
      <c r="N39" s="70">
        <v>364457.20171618566</v>
      </c>
    </row>
    <row r="40" spans="1:14">
      <c r="A40" s="10"/>
      <c r="B40" s="11"/>
    </row>
    <row r="41" spans="1:14">
      <c r="A41" s="10" t="s">
        <v>4</v>
      </c>
      <c r="B41" s="17">
        <f>SUM(C41:N41)</f>
        <v>-189232.16295214777</v>
      </c>
      <c r="C41" s="2">
        <f>C38-C39</f>
        <v>21445.311391090916</v>
      </c>
      <c r="D41" s="2">
        <f t="shared" ref="D41:N41" si="8">D38-D39</f>
        <v>-149002.55732508312</v>
      </c>
      <c r="E41" s="2">
        <f t="shared" si="8"/>
        <v>-230425.8956940652</v>
      </c>
      <c r="F41" s="2">
        <f t="shared" si="8"/>
        <v>-158218.93792569643</v>
      </c>
      <c r="G41" s="2">
        <f t="shared" si="8"/>
        <v>-26166.960249590964</v>
      </c>
      <c r="H41" s="2">
        <f t="shared" si="8"/>
        <v>-23980.159969103246</v>
      </c>
      <c r="I41" s="2">
        <f t="shared" si="8"/>
        <v>153682.37776343833</v>
      </c>
      <c r="J41" s="2">
        <f t="shared" si="8"/>
        <v>127985.84606226697</v>
      </c>
      <c r="K41" s="2">
        <f t="shared" si="8"/>
        <v>52710.269139718497</v>
      </c>
      <c r="L41" s="2">
        <f t="shared" si="8"/>
        <v>-13795.547782877169</v>
      </c>
      <c r="M41" s="2">
        <f t="shared" si="8"/>
        <v>18553.293353939313</v>
      </c>
      <c r="N41" s="2">
        <f t="shared" si="8"/>
        <v>37980.798283814336</v>
      </c>
    </row>
    <row r="42" spans="1:14">
      <c r="A42" s="10" t="s">
        <v>5</v>
      </c>
      <c r="B42" s="18">
        <f>B41/8760</f>
        <v>-21.601845085861619</v>
      </c>
    </row>
    <row r="43" spans="1:14">
      <c r="A43" s="10"/>
      <c r="B43" s="1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10" t="s">
        <v>34</v>
      </c>
      <c r="B44" s="13">
        <f>SUM(C44:N44)</f>
        <v>-5126685.22488489</v>
      </c>
      <c r="C44" s="4">
        <f>-C$7*C41</f>
        <v>-640029.03290064097</v>
      </c>
      <c r="D44" s="4">
        <f t="shared" ref="D44:N44" si="9">-D$7*D41</f>
        <v>3078897.1116985935</v>
      </c>
      <c r="E44" s="4">
        <f t="shared" si="9"/>
        <v>2413172.3831335539</v>
      </c>
      <c r="F44" s="4">
        <f t="shared" si="9"/>
        <v>1273861.6889644291</v>
      </c>
      <c r="G44" s="4">
        <f t="shared" si="9"/>
        <v>269772.64692949521</v>
      </c>
      <c r="H44" s="4">
        <f t="shared" si="9"/>
        <v>226449.80188186496</v>
      </c>
      <c r="I44" s="4">
        <f t="shared" si="9"/>
        <v>-3980762.7208603141</v>
      </c>
      <c r="J44" s="4">
        <f t="shared" si="9"/>
        <v>-5159493.4567014556</v>
      </c>
      <c r="K44" s="4">
        <f t="shared" si="9"/>
        <v>-1524080.3397633438</v>
      </c>
      <c r="L44" s="4">
        <f t="shared" si="9"/>
        <v>348534.96838759084</v>
      </c>
      <c r="M44" s="4">
        <f t="shared" si="9"/>
        <v>-457821.96744711493</v>
      </c>
      <c r="N44" s="4">
        <f t="shared" si="9"/>
        <v>-975186.30820754752</v>
      </c>
    </row>
    <row r="45" spans="1:14">
      <c r="A45" s="10" t="s">
        <v>35</v>
      </c>
      <c r="B45" s="13">
        <f>SUM(C45:N45)</f>
        <v>69526485</v>
      </c>
      <c r="C45" s="82">
        <v>9055016</v>
      </c>
      <c r="D45" s="82">
        <v>4339629</v>
      </c>
      <c r="E45" s="82">
        <v>2734446</v>
      </c>
      <c r="F45" s="82">
        <v>2317057</v>
      </c>
      <c r="G45" s="82">
        <v>2255561</v>
      </c>
      <c r="H45" s="82">
        <v>2313002</v>
      </c>
      <c r="I45" s="82">
        <v>8249668</v>
      </c>
      <c r="J45" s="82">
        <v>9519606</v>
      </c>
      <c r="K45" s="82">
        <v>7225158</v>
      </c>
      <c r="L45" s="82">
        <v>6316558</v>
      </c>
      <c r="M45" s="82">
        <v>7150335</v>
      </c>
      <c r="N45" s="82">
        <v>8050449</v>
      </c>
    </row>
    <row r="46" spans="1:14">
      <c r="A46" s="10" t="s">
        <v>36</v>
      </c>
      <c r="B46" s="13">
        <f>SUM(C46:N46)</f>
        <v>77293436</v>
      </c>
      <c r="C46" s="82">
        <v>8481668</v>
      </c>
      <c r="D46" s="82">
        <v>7698692</v>
      </c>
      <c r="E46" s="82">
        <v>7292619</v>
      </c>
      <c r="F46" s="82">
        <v>5265751</v>
      </c>
      <c r="G46" s="82">
        <v>2664694</v>
      </c>
      <c r="H46" s="82">
        <v>2712482</v>
      </c>
      <c r="I46" s="82">
        <v>5239795</v>
      </c>
      <c r="J46" s="82">
        <v>6788998</v>
      </c>
      <c r="K46" s="82">
        <v>6983768</v>
      </c>
      <c r="L46" s="82">
        <v>7442560</v>
      </c>
      <c r="M46" s="82">
        <v>7920542</v>
      </c>
      <c r="N46" s="82">
        <v>8801867</v>
      </c>
    </row>
    <row r="47" spans="1:14">
      <c r="A47" s="10" t="s">
        <v>18</v>
      </c>
      <c r="B47" s="13">
        <f>SUM(C47:N47)</f>
        <v>-7766951</v>
      </c>
      <c r="C47" s="35">
        <f>C45-C46</f>
        <v>573348</v>
      </c>
      <c r="D47" s="35">
        <f t="shared" ref="D47:N47" si="10">D45-D46</f>
        <v>-3359063</v>
      </c>
      <c r="E47" s="35">
        <f t="shared" si="10"/>
        <v>-4558173</v>
      </c>
      <c r="F47" s="35">
        <f t="shared" si="10"/>
        <v>-2948694</v>
      </c>
      <c r="G47" s="35">
        <f t="shared" si="10"/>
        <v>-409133</v>
      </c>
      <c r="H47" s="35">
        <f t="shared" si="10"/>
        <v>-399480</v>
      </c>
      <c r="I47" s="35">
        <f t="shared" si="10"/>
        <v>3009873</v>
      </c>
      <c r="J47" s="35">
        <f t="shared" si="10"/>
        <v>2730608</v>
      </c>
      <c r="K47" s="35">
        <f t="shared" si="10"/>
        <v>241390</v>
      </c>
      <c r="L47" s="35">
        <f t="shared" si="10"/>
        <v>-1126002</v>
      </c>
      <c r="M47" s="35">
        <f t="shared" si="10"/>
        <v>-770207</v>
      </c>
      <c r="N47" s="35">
        <f t="shared" si="10"/>
        <v>-751418</v>
      </c>
    </row>
    <row r="48" spans="1:14">
      <c r="A48" s="10"/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>
      <c r="A49" s="10" t="s">
        <v>37</v>
      </c>
      <c r="B49" s="13">
        <f>SUM(C49:N49)</f>
        <v>-12893636.22488489</v>
      </c>
      <c r="C49" s="35">
        <f>C44+C47</f>
        <v>-66681.032900640974</v>
      </c>
      <c r="D49" s="35">
        <f t="shared" ref="D49:N49" si="11">D44+D47</f>
        <v>-280165.88830140652</v>
      </c>
      <c r="E49" s="35">
        <f t="shared" si="11"/>
        <v>-2145000.6168664461</v>
      </c>
      <c r="F49" s="35">
        <f t="shared" si="11"/>
        <v>-1674832.3110355709</v>
      </c>
      <c r="G49" s="35">
        <f t="shared" si="11"/>
        <v>-139360.35307050479</v>
      </c>
      <c r="H49" s="35">
        <f t="shared" si="11"/>
        <v>-173030.19811813504</v>
      </c>
      <c r="I49" s="35">
        <f t="shared" si="11"/>
        <v>-970889.72086031409</v>
      </c>
      <c r="J49" s="35">
        <f t="shared" si="11"/>
        <v>-2428885.4567014556</v>
      </c>
      <c r="K49" s="35">
        <f t="shared" si="11"/>
        <v>-1282690.3397633438</v>
      </c>
      <c r="L49" s="35">
        <f t="shared" si="11"/>
        <v>-777467.03161240916</v>
      </c>
      <c r="M49" s="35">
        <f t="shared" si="11"/>
        <v>-1228028.9674471149</v>
      </c>
      <c r="N49" s="35">
        <f t="shared" si="11"/>
        <v>-1726604.3082075475</v>
      </c>
    </row>
    <row r="50" spans="1:14">
      <c r="A50" s="10"/>
      <c r="B50" s="11"/>
      <c r="C50" s="3"/>
      <c r="D50" s="4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3">
      <c r="A51" s="14" t="s">
        <v>3</v>
      </c>
      <c r="B51" s="15">
        <f>SUM(C51:N51)</f>
        <v>-8343472.001123012</v>
      </c>
      <c r="C51" s="4">
        <f>C49*C$8</f>
        <v>-43149.296390004776</v>
      </c>
      <c r="D51" s="4">
        <f t="shared" ref="D51:N51" si="12">D49*D$8</f>
        <v>-181295.34631984017</v>
      </c>
      <c r="E51" s="4">
        <f t="shared" si="12"/>
        <v>-1388029.8991742772</v>
      </c>
      <c r="F51" s="4">
        <f t="shared" si="12"/>
        <v>-1083783.988471118</v>
      </c>
      <c r="G51" s="4">
        <f t="shared" si="12"/>
        <v>-90180.084471923648</v>
      </c>
      <c r="H51" s="4">
        <f t="shared" si="12"/>
        <v>-111967.84120224518</v>
      </c>
      <c r="I51" s="4">
        <f t="shared" si="12"/>
        <v>-628262.73836870922</v>
      </c>
      <c r="J51" s="4">
        <f t="shared" si="12"/>
        <v>-1571731.7790315119</v>
      </c>
      <c r="K51" s="4">
        <f t="shared" si="12"/>
        <v>-830028.91886085982</v>
      </c>
      <c r="L51" s="4">
        <f t="shared" si="12"/>
        <v>-503098.91615638998</v>
      </c>
      <c r="M51" s="4">
        <f t="shared" si="12"/>
        <v>-794657.54483502801</v>
      </c>
      <c r="N51" s="4">
        <f t="shared" si="12"/>
        <v>-1117285.6478411041</v>
      </c>
    </row>
    <row r="53" spans="1:14" ht="13">
      <c r="A53" s="9" t="s">
        <v>94</v>
      </c>
      <c r="B53" s="16"/>
      <c r="C53" s="70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</row>
    <row r="54" spans="1:14">
      <c r="A54" s="69" t="s">
        <v>95</v>
      </c>
      <c r="B54" s="28">
        <f>SUM(C54:N54)</f>
        <v>1713436</v>
      </c>
      <c r="C54" s="70">
        <v>186980</v>
      </c>
      <c r="D54" s="84">
        <v>152420</v>
      </c>
      <c r="E54" s="84">
        <v>102492</v>
      </c>
      <c r="F54" s="84">
        <v>92029</v>
      </c>
      <c r="G54" s="84">
        <v>44246</v>
      </c>
      <c r="H54" s="84">
        <v>52662</v>
      </c>
      <c r="I54" s="84">
        <v>184026</v>
      </c>
      <c r="J54" s="84">
        <v>187924</v>
      </c>
      <c r="K54" s="84">
        <v>167968</v>
      </c>
      <c r="L54" s="84">
        <v>166074</v>
      </c>
      <c r="M54" s="84">
        <v>183022</v>
      </c>
      <c r="N54" s="84">
        <v>193593</v>
      </c>
    </row>
    <row r="55" spans="1:14">
      <c r="A55" s="69" t="s">
        <v>96</v>
      </c>
      <c r="B55" s="28">
        <f>SUM(C55:N55)</f>
        <v>1798906.4810409548</v>
      </c>
      <c r="C55" s="54">
        <v>168233.3107299805</v>
      </c>
      <c r="D55" s="54">
        <v>155828.3332641602</v>
      </c>
      <c r="E55" s="54">
        <v>158051.26201171873</v>
      </c>
      <c r="F55" s="54">
        <v>129118.91492919918</v>
      </c>
      <c r="G55" s="54">
        <v>101985.71262207029</v>
      </c>
      <c r="H55" s="54">
        <v>92125.331114196815</v>
      </c>
      <c r="I55" s="54">
        <v>151094.813659668</v>
      </c>
      <c r="J55" s="54">
        <v>167121.22163085928</v>
      </c>
      <c r="K55" s="54">
        <v>165974.24946289061</v>
      </c>
      <c r="L55" s="54">
        <v>171028.3127075196</v>
      </c>
      <c r="M55" s="54">
        <v>165132.75656738286</v>
      </c>
      <c r="N55" s="54">
        <v>173212.26234130858</v>
      </c>
    </row>
    <row r="56" spans="1:14">
      <c r="A56" s="10"/>
      <c r="B56" s="11"/>
    </row>
    <row r="57" spans="1:14">
      <c r="A57" s="10" t="s">
        <v>4</v>
      </c>
      <c r="B57" s="17">
        <f>SUM(C57:N57)</f>
        <v>-85470.481040954648</v>
      </c>
      <c r="C57" s="2">
        <f>C54-C55</f>
        <v>18746.689270019502</v>
      </c>
      <c r="D57" s="2">
        <f t="shared" ref="D57:N57" si="13">D54-D55</f>
        <v>-3408.3332641602028</v>
      </c>
      <c r="E57" s="2">
        <f t="shared" si="13"/>
        <v>-55559.262011718733</v>
      </c>
      <c r="F57" s="2">
        <f t="shared" si="13"/>
        <v>-37089.914929199178</v>
      </c>
      <c r="G57" s="2">
        <f t="shared" si="13"/>
        <v>-57739.712622070292</v>
      </c>
      <c r="H57" s="2">
        <f t="shared" si="13"/>
        <v>-39463.331114196815</v>
      </c>
      <c r="I57" s="2">
        <f t="shared" si="13"/>
        <v>32931.186340332002</v>
      </c>
      <c r="J57" s="2">
        <f t="shared" si="13"/>
        <v>20802.778369140724</v>
      </c>
      <c r="K57" s="2">
        <f t="shared" si="13"/>
        <v>1993.7505371093866</v>
      </c>
      <c r="L57" s="2">
        <f t="shared" si="13"/>
        <v>-4954.3127075195953</v>
      </c>
      <c r="M57" s="2">
        <f t="shared" si="13"/>
        <v>17889.243432617135</v>
      </c>
      <c r="N57" s="2">
        <f t="shared" si="13"/>
        <v>20380.737658691418</v>
      </c>
    </row>
    <row r="58" spans="1:14">
      <c r="A58" s="10" t="s">
        <v>5</v>
      </c>
      <c r="B58" s="18">
        <f>B57/8760</f>
        <v>-9.7569042284194811</v>
      </c>
    </row>
    <row r="59" spans="1:14">
      <c r="A59" s="10"/>
      <c r="B59" s="1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10" t="s">
        <v>11</v>
      </c>
      <c r="B60" s="13">
        <f>SUM(C60:N60)</f>
        <v>-1229481.1049904344</v>
      </c>
      <c r="C60" s="4">
        <f>-C$7*C57</f>
        <v>-559489.44665657519</v>
      </c>
      <c r="D60" s="4">
        <f t="shared" ref="D60:N60" si="14">-D$7*D57</f>
        <v>70427.700242984632</v>
      </c>
      <c r="E60" s="4">
        <f t="shared" si="14"/>
        <v>581853.3386194146</v>
      </c>
      <c r="F60" s="4">
        <f t="shared" si="14"/>
        <v>298620.52099885303</v>
      </c>
      <c r="G60" s="4">
        <f t="shared" si="14"/>
        <v>595277.21059031982</v>
      </c>
      <c r="H60" s="4">
        <f t="shared" si="14"/>
        <v>372660.71301952587</v>
      </c>
      <c r="I60" s="4">
        <f t="shared" si="14"/>
        <v>-853001.11076551268</v>
      </c>
      <c r="J60" s="4">
        <f t="shared" si="14"/>
        <v>-838622.4116108407</v>
      </c>
      <c r="K60" s="4">
        <f t="shared" si="14"/>
        <v>-57647.893770880699</v>
      </c>
      <c r="L60" s="4">
        <f t="shared" si="14"/>
        <v>125167.28223295344</v>
      </c>
      <c r="M60" s="4">
        <f t="shared" si="14"/>
        <v>-441435.83935313585</v>
      </c>
      <c r="N60" s="4">
        <f t="shared" si="14"/>
        <v>-523291.16853754059</v>
      </c>
    </row>
    <row r="61" spans="1:14">
      <c r="A61" s="69" t="s">
        <v>97</v>
      </c>
      <c r="B61" s="13">
        <f>SUM(C61:N61)</f>
        <v>26288939</v>
      </c>
      <c r="C61" s="82">
        <v>3107526</v>
      </c>
      <c r="D61" s="82">
        <v>1445764</v>
      </c>
      <c r="E61" s="82">
        <v>1659485</v>
      </c>
      <c r="F61" s="82">
        <v>1553596</v>
      </c>
      <c r="G61" s="82">
        <v>593079</v>
      </c>
      <c r="H61" s="82">
        <v>932589</v>
      </c>
      <c r="I61" s="82">
        <v>3058428</v>
      </c>
      <c r="J61" s="82">
        <v>3762991</v>
      </c>
      <c r="K61" s="82">
        <v>2530191</v>
      </c>
      <c r="L61" s="82">
        <v>2786672</v>
      </c>
      <c r="M61" s="82">
        <v>2008377</v>
      </c>
      <c r="N61" s="82">
        <v>2850241</v>
      </c>
    </row>
    <row r="62" spans="1:14">
      <c r="A62" s="69" t="s">
        <v>98</v>
      </c>
      <c r="B62" s="13">
        <f>SUM(C62:N62)</f>
        <v>29123409</v>
      </c>
      <c r="C62" s="83">
        <v>2667343</v>
      </c>
      <c r="D62" s="83">
        <v>2503517</v>
      </c>
      <c r="E62" s="83">
        <v>2494287</v>
      </c>
      <c r="F62" s="83">
        <v>2179004</v>
      </c>
      <c r="G62" s="83">
        <v>1851578</v>
      </c>
      <c r="H62" s="83">
        <v>1612580</v>
      </c>
      <c r="I62" s="83">
        <v>2427227</v>
      </c>
      <c r="J62" s="83">
        <v>2652598</v>
      </c>
      <c r="K62" s="83">
        <v>2644728</v>
      </c>
      <c r="L62" s="83">
        <v>2706850</v>
      </c>
      <c r="M62" s="83">
        <v>2628470</v>
      </c>
      <c r="N62" s="83">
        <v>2755227</v>
      </c>
    </row>
    <row r="63" spans="1:14">
      <c r="A63" s="10" t="s">
        <v>17</v>
      </c>
      <c r="B63" s="13">
        <f>B61-B62</f>
        <v>-2834470</v>
      </c>
      <c r="C63" s="35">
        <f t="shared" ref="C63:N63" si="15">C61-C62</f>
        <v>440183</v>
      </c>
      <c r="D63" s="35">
        <f t="shared" si="15"/>
        <v>-1057753</v>
      </c>
      <c r="E63" s="35">
        <f t="shared" si="15"/>
        <v>-834802</v>
      </c>
      <c r="F63" s="35">
        <f t="shared" si="15"/>
        <v>-625408</v>
      </c>
      <c r="G63" s="35">
        <f t="shared" si="15"/>
        <v>-1258499</v>
      </c>
      <c r="H63" s="35">
        <f t="shared" si="15"/>
        <v>-679991</v>
      </c>
      <c r="I63" s="35">
        <f t="shared" si="15"/>
        <v>631201</v>
      </c>
      <c r="J63" s="35">
        <f t="shared" si="15"/>
        <v>1110393</v>
      </c>
      <c r="K63" s="35">
        <f t="shared" si="15"/>
        <v>-114537</v>
      </c>
      <c r="L63" s="35">
        <f t="shared" si="15"/>
        <v>79822</v>
      </c>
      <c r="M63" s="35">
        <f t="shared" si="15"/>
        <v>-620093</v>
      </c>
      <c r="N63" s="35">
        <f t="shared" si="15"/>
        <v>95014</v>
      </c>
    </row>
    <row r="64" spans="1:14">
      <c r="A64" s="10"/>
      <c r="B64" s="13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>
      <c r="A65" s="10" t="s">
        <v>12</v>
      </c>
      <c r="B65" s="13">
        <f>SUM(C65:N65)</f>
        <v>-4063951.1049904339</v>
      </c>
      <c r="C65" s="35">
        <f t="shared" ref="C65:N65" si="16">C60+C63</f>
        <v>-119306.44665657519</v>
      </c>
      <c r="D65" s="35">
        <f t="shared" si="16"/>
        <v>-987325.29975701543</v>
      </c>
      <c r="E65" s="35">
        <f t="shared" si="16"/>
        <v>-252948.6613805854</v>
      </c>
      <c r="F65" s="35">
        <f t="shared" si="16"/>
        <v>-326787.47900114697</v>
      </c>
      <c r="G65" s="35">
        <f t="shared" si="16"/>
        <v>-663221.78940968018</v>
      </c>
      <c r="H65" s="35">
        <f t="shared" si="16"/>
        <v>-307330.28698047413</v>
      </c>
      <c r="I65" s="35">
        <f t="shared" si="16"/>
        <v>-221800.11076551268</v>
      </c>
      <c r="J65" s="35">
        <f t="shared" si="16"/>
        <v>271770.5883891593</v>
      </c>
      <c r="K65" s="35">
        <f t="shared" si="16"/>
        <v>-172184.89377088071</v>
      </c>
      <c r="L65" s="35">
        <f t="shared" si="16"/>
        <v>204989.28223295344</v>
      </c>
      <c r="M65" s="35">
        <f t="shared" si="16"/>
        <v>-1061528.8393531358</v>
      </c>
      <c r="N65" s="35">
        <f t="shared" si="16"/>
        <v>-428277.16853754059</v>
      </c>
    </row>
    <row r="66" spans="1:14">
      <c r="A66" s="10"/>
      <c r="B66" s="1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3">
      <c r="A67" s="14" t="s">
        <v>3</v>
      </c>
      <c r="B67" s="15">
        <f>SUM(C67:N67)</f>
        <v>-2629782.7600393104</v>
      </c>
      <c r="C67" s="4">
        <f>C65*C$8</f>
        <v>-77203.201631469812</v>
      </c>
      <c r="D67" s="4">
        <f t="shared" ref="D67:N67" si="17">D65*D$8</f>
        <v>-638898.20147276472</v>
      </c>
      <c r="E67" s="4">
        <f t="shared" si="17"/>
        <v>-163683.07877937681</v>
      </c>
      <c r="F67" s="4">
        <f t="shared" si="17"/>
        <v>-211464.1776616422</v>
      </c>
      <c r="G67" s="4">
        <f t="shared" si="17"/>
        <v>-429170.81992700405</v>
      </c>
      <c r="H67" s="4">
        <f t="shared" si="17"/>
        <v>-198873.42870506481</v>
      </c>
      <c r="I67" s="4">
        <f t="shared" si="17"/>
        <v>-143526.85167636327</v>
      </c>
      <c r="J67" s="4">
        <f t="shared" si="17"/>
        <v>175862.74774662498</v>
      </c>
      <c r="K67" s="4">
        <f t="shared" si="17"/>
        <v>-111420.8447591369</v>
      </c>
      <c r="L67" s="4">
        <f t="shared" si="17"/>
        <v>132648.56453294418</v>
      </c>
      <c r="M67" s="4">
        <f t="shared" si="17"/>
        <v>-686915.31194541417</v>
      </c>
      <c r="N67" s="4">
        <f t="shared" si="17"/>
        <v>-277138.15576064255</v>
      </c>
    </row>
    <row r="68" spans="1:14" ht="13">
      <c r="A68" s="10"/>
      <c r="B68" s="31"/>
    </row>
    <row r="69" spans="1:14" ht="13">
      <c r="A69" s="10"/>
      <c r="B69" s="31"/>
    </row>
    <row r="70" spans="1:14" ht="13">
      <c r="A70" s="10"/>
      <c r="B70" s="32"/>
      <c r="C70">
        <v>87.316368377685492</v>
      </c>
      <c r="D70">
        <v>73.775378277587905</v>
      </c>
      <c r="E70">
        <v>74.31087803344731</v>
      </c>
      <c r="F70">
        <v>85.258126904296887</v>
      </c>
      <c r="G70">
        <v>107.92027320556637</v>
      </c>
      <c r="H70">
        <v>101.3685295898437</v>
      </c>
      <c r="I70">
        <v>91.92655499267579</v>
      </c>
      <c r="J70">
        <v>80.379194525146602</v>
      </c>
      <c r="K70">
        <v>55.9099644042969</v>
      </c>
      <c r="L70">
        <v>56.792810150146572</v>
      </c>
      <c r="M70">
        <v>71.685077746581996</v>
      </c>
      <c r="N70">
        <v>81.0387351074219</v>
      </c>
    </row>
    <row r="71" spans="1:14" ht="13">
      <c r="A71" s="9" t="s">
        <v>19</v>
      </c>
      <c r="B71" s="87">
        <f>B72/8760</f>
        <v>108.72054794520548</v>
      </c>
      <c r="C71">
        <v>-2.16319995117188</v>
      </c>
      <c r="D71">
        <v>-2.08</v>
      </c>
      <c r="E71">
        <v>-2.2463999023437502</v>
      </c>
      <c r="F71" s="86">
        <v>-2.16319995117188</v>
      </c>
      <c r="G71" s="86">
        <v>-2.16319995117188</v>
      </c>
      <c r="H71">
        <v>-2.16319995117188</v>
      </c>
      <c r="I71">
        <v>-2.16319995117188</v>
      </c>
      <c r="J71">
        <v>-2.2463999023437502</v>
      </c>
      <c r="K71">
        <v>-2.16319995117188</v>
      </c>
      <c r="L71">
        <v>-2.16319995117188</v>
      </c>
      <c r="M71">
        <v>-2.16319995117188</v>
      </c>
      <c r="N71">
        <v>-2.2463999023437502</v>
      </c>
    </row>
    <row r="72" spans="1:14">
      <c r="A72" s="55" t="s">
        <v>45</v>
      </c>
      <c r="B72" s="17">
        <f>SUM(C72:N72)</f>
        <v>952392</v>
      </c>
      <c r="C72">
        <v>96583</v>
      </c>
      <c r="D72">
        <v>84012</v>
      </c>
      <c r="E72">
        <v>96208</v>
      </c>
      <c r="F72">
        <v>98937</v>
      </c>
      <c r="G72">
        <v>100843</v>
      </c>
      <c r="H72">
        <v>99261</v>
      </c>
      <c r="I72">
        <v>81952</v>
      </c>
      <c r="J72">
        <v>62062</v>
      </c>
      <c r="K72">
        <v>54677</v>
      </c>
      <c r="L72">
        <v>44730</v>
      </c>
      <c r="M72">
        <v>57098</v>
      </c>
      <c r="N72">
        <v>76029</v>
      </c>
    </row>
    <row r="73" spans="1:14">
      <c r="A73" s="55" t="s">
        <v>46</v>
      </c>
      <c r="B73" s="17">
        <f>SUM(C73:N73)</f>
        <v>941557.09199829132</v>
      </c>
      <c r="C73" s="68">
        <v>85153.168426513614</v>
      </c>
      <c r="D73" s="68">
        <v>71695.378277587908</v>
      </c>
      <c r="E73" s="68">
        <v>72064.478131103562</v>
      </c>
      <c r="F73" s="68">
        <v>83094.926953125017</v>
      </c>
      <c r="G73" s="68">
        <v>105757.07325439451</v>
      </c>
      <c r="H73" s="68">
        <v>99205.329638671828</v>
      </c>
      <c r="I73" s="68">
        <v>89763.355041503921</v>
      </c>
      <c r="J73" s="68">
        <v>78132.794622802845</v>
      </c>
      <c r="K73" s="68">
        <v>53746.764453125019</v>
      </c>
      <c r="L73" s="68">
        <v>54629.610198974689</v>
      </c>
      <c r="M73" s="68">
        <v>69521.877795410124</v>
      </c>
      <c r="N73" s="68">
        <v>78792.33520507814</v>
      </c>
    </row>
    <row r="74" spans="1:14">
      <c r="A74" s="55"/>
      <c r="B74" s="18">
        <f>B73/8760</f>
        <v>107.48368630117481</v>
      </c>
    </row>
    <row r="75" spans="1:14">
      <c r="A75" s="10" t="s">
        <v>4</v>
      </c>
      <c r="B75" s="17">
        <f>SUM(C75:N75)</f>
        <v>10834.908001708827</v>
      </c>
      <c r="C75" s="2">
        <f>C72-C73</f>
        <v>11429.831573486386</v>
      </c>
      <c r="D75" s="2">
        <f t="shared" ref="D75:N75" si="18">D72-D73</f>
        <v>12316.621722412092</v>
      </c>
      <c r="E75" s="2">
        <f t="shared" si="18"/>
        <v>24143.521868896438</v>
      </c>
      <c r="F75" s="2">
        <f t="shared" si="18"/>
        <v>15842.073046874983</v>
      </c>
      <c r="G75" s="2">
        <f t="shared" si="18"/>
        <v>-4914.0732543945051</v>
      </c>
      <c r="H75" s="2">
        <f t="shared" si="18"/>
        <v>55.670361328171566</v>
      </c>
      <c r="I75" s="2">
        <f t="shared" si="18"/>
        <v>-7811.3550415039208</v>
      </c>
      <c r="J75" s="2">
        <f t="shared" si="18"/>
        <v>-16070.794622802845</v>
      </c>
      <c r="K75" s="2">
        <f t="shared" si="18"/>
        <v>930.23554687498108</v>
      </c>
      <c r="L75" s="2">
        <f t="shared" si="18"/>
        <v>-9899.6101989746894</v>
      </c>
      <c r="M75" s="2">
        <f t="shared" si="18"/>
        <v>-12423.877795410124</v>
      </c>
      <c r="N75" s="2">
        <f t="shared" si="18"/>
        <v>-2763.3352050781396</v>
      </c>
    </row>
    <row r="76" spans="1:14">
      <c r="A76" s="10" t="s">
        <v>5</v>
      </c>
      <c r="B76" s="18">
        <f>B75/8760</f>
        <v>1.2368616440306881</v>
      </c>
    </row>
    <row r="77" spans="1:14">
      <c r="A77" s="10"/>
      <c r="B77" s="18">
        <f>B78/B75</f>
        <v>48.458797939094929</v>
      </c>
    </row>
    <row r="78" spans="1:14">
      <c r="A78" s="69" t="s">
        <v>11</v>
      </c>
      <c r="B78" s="13">
        <f>SUM(C78:N78)</f>
        <v>525046.61754349084</v>
      </c>
      <c r="C78" s="4">
        <f>-C$7*C75</f>
        <v>-341119.97325600829</v>
      </c>
      <c r="D78" s="4">
        <f t="shared" ref="D78:N78" si="19">-D$7*D75</f>
        <v>-254503.08858984269</v>
      </c>
      <c r="E78" s="4">
        <f t="shared" si="19"/>
        <v>-252846.92950898438</v>
      </c>
      <c r="F78" s="4">
        <f t="shared" si="19"/>
        <v>-127548.63730451372</v>
      </c>
      <c r="G78" s="4">
        <f t="shared" si="19"/>
        <v>50662.458932889131</v>
      </c>
      <c r="H78" s="4">
        <f t="shared" si="19"/>
        <v>-525.70718084028351</v>
      </c>
      <c r="I78" s="4">
        <f t="shared" si="19"/>
        <v>202333.87458702337</v>
      </c>
      <c r="J78" s="4">
        <f t="shared" si="19"/>
        <v>647861.94920338155</v>
      </c>
      <c r="K78" s="4">
        <f t="shared" si="19"/>
        <v>-26897.106227690427</v>
      </c>
      <c r="L78" s="4">
        <f t="shared" si="19"/>
        <v>250106.80127045419</v>
      </c>
      <c r="M78" s="4">
        <f t="shared" si="19"/>
        <v>306572.21158040408</v>
      </c>
      <c r="N78" s="4">
        <f t="shared" si="19"/>
        <v>70950.764037218309</v>
      </c>
    </row>
    <row r="79" spans="1:14">
      <c r="A79" s="10" t="s">
        <v>47</v>
      </c>
      <c r="B79" s="13">
        <f>SUM(C79:N79)</f>
        <v>23629453.760000002</v>
      </c>
      <c r="C79">
        <v>1946814.45</v>
      </c>
      <c r="D79">
        <v>1988030.94</v>
      </c>
      <c r="E79">
        <v>2051117.13</v>
      </c>
      <c r="F79">
        <v>1973405.25</v>
      </c>
      <c r="G79">
        <v>2093340.89</v>
      </c>
      <c r="H79">
        <v>2096579.44</v>
      </c>
      <c r="I79">
        <v>2006453.17</v>
      </c>
      <c r="J79">
        <v>1965405.25</v>
      </c>
      <c r="K79">
        <v>1965926.41</v>
      </c>
      <c r="L79">
        <v>1926765.61</v>
      </c>
      <c r="M79">
        <v>1940145.67</v>
      </c>
      <c r="N79">
        <v>1675469.55</v>
      </c>
    </row>
    <row r="80" spans="1:14">
      <c r="A80" s="10" t="s">
        <v>48</v>
      </c>
      <c r="B80" s="13">
        <f>SUM(C80:N80)</f>
        <v>23412585.42761239</v>
      </c>
      <c r="C80" s="82">
        <v>2212019</v>
      </c>
      <c r="D80" s="82">
        <v>1850408.7242025898</v>
      </c>
      <c r="E80" s="82">
        <v>1879285.4018604162</v>
      </c>
      <c r="F80" s="82">
        <v>1972945.6725383902</v>
      </c>
      <c r="G80" s="82">
        <v>2101505.6149770385</v>
      </c>
      <c r="H80" s="82">
        <v>2096597.2251690787</v>
      </c>
      <c r="I80" s="82">
        <v>2110185.1122559854</v>
      </c>
      <c r="J80" s="82">
        <v>1966043.6041835239</v>
      </c>
      <c r="K80" s="82">
        <v>1706703.5488233676</v>
      </c>
      <c r="L80" s="82">
        <v>1715869.9008831335</v>
      </c>
      <c r="M80" s="82">
        <v>1844979.9882057935</v>
      </c>
      <c r="N80" s="82">
        <v>1956041.6345130682</v>
      </c>
    </row>
    <row r="81" spans="1:14" ht="12.75" customHeight="1">
      <c r="A81" s="69" t="s">
        <v>75</v>
      </c>
      <c r="B81" s="13">
        <f>SUM(C81:N81)</f>
        <v>216868.33238761406</v>
      </c>
      <c r="C81" s="35">
        <f>C79-C80</f>
        <v>-265204.55000000005</v>
      </c>
      <c r="D81" s="35">
        <f t="shared" ref="D81:N81" si="20">D79-D80</f>
        <v>137622.21579741011</v>
      </c>
      <c r="E81" s="35">
        <f t="shared" si="20"/>
        <v>171831.72813958372</v>
      </c>
      <c r="F81" s="35">
        <f t="shared" si="20"/>
        <v>459.57746160984971</v>
      </c>
      <c r="G81" s="35">
        <f t="shared" si="20"/>
        <v>-8164.7249770385679</v>
      </c>
      <c r="H81" s="35">
        <f t="shared" si="20"/>
        <v>-17.785169078735635</v>
      </c>
      <c r="I81" s="35">
        <f t="shared" si="20"/>
        <v>-103731.94225598546</v>
      </c>
      <c r="J81" s="35">
        <f t="shared" si="20"/>
        <v>-638.35418352391571</v>
      </c>
      <c r="K81" s="35">
        <f t="shared" si="20"/>
        <v>259222.86117663234</v>
      </c>
      <c r="L81" s="35">
        <f t="shared" si="20"/>
        <v>210895.70911686658</v>
      </c>
      <c r="M81" s="35">
        <f t="shared" si="20"/>
        <v>95165.681794206379</v>
      </c>
      <c r="N81" s="35">
        <f t="shared" si="20"/>
        <v>-280572.0845130682</v>
      </c>
    </row>
    <row r="82" spans="1:14" ht="12.75" customHeight="1">
      <c r="A82" s="10"/>
      <c r="B82" s="13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1:14" ht="12.75" customHeight="1">
      <c r="A83" s="55" t="s">
        <v>61</v>
      </c>
      <c r="B83" s="13">
        <f>SUM(C83:N83)</f>
        <v>741914.94993110502</v>
      </c>
      <c r="C83" s="35">
        <f>C78+C81</f>
        <v>-606324.52325600828</v>
      </c>
      <c r="D83" s="35">
        <f t="shared" ref="D83:N83" si="21">D78+D81</f>
        <v>-116880.87279243258</v>
      </c>
      <c r="E83" s="35">
        <f t="shared" si="21"/>
        <v>-81015.20136940066</v>
      </c>
      <c r="F83" s="35">
        <f t="shared" si="21"/>
        <v>-127089.05984290387</v>
      </c>
      <c r="G83" s="35">
        <f t="shared" si="21"/>
        <v>42497.733955850563</v>
      </c>
      <c r="H83" s="35">
        <f t="shared" si="21"/>
        <v>-543.49234991901915</v>
      </c>
      <c r="I83" s="35">
        <f t="shared" si="21"/>
        <v>98601.932331037911</v>
      </c>
      <c r="J83" s="35">
        <f t="shared" si="21"/>
        <v>647223.59501985763</v>
      </c>
      <c r="K83" s="35">
        <f t="shared" si="21"/>
        <v>232325.75494894193</v>
      </c>
      <c r="L83" s="35">
        <f t="shared" si="21"/>
        <v>461002.51038732077</v>
      </c>
      <c r="M83" s="35">
        <f t="shared" si="21"/>
        <v>401737.89337461046</v>
      </c>
      <c r="N83" s="35">
        <f t="shared" si="21"/>
        <v>-209621.32047584991</v>
      </c>
    </row>
    <row r="84" spans="1:14">
      <c r="A84" s="10"/>
      <c r="B84" s="11"/>
    </row>
    <row r="85" spans="1:14" ht="14.25" customHeight="1">
      <c r="A85" s="14" t="s">
        <v>3</v>
      </c>
      <c r="B85" s="15">
        <f>SUM(C85:N85)</f>
        <v>480093.16410041816</v>
      </c>
      <c r="C85" s="4">
        <f>C83*C$8</f>
        <v>-392352.59899896296</v>
      </c>
      <c r="D85" s="4">
        <f t="shared" ref="D85:N85" si="22">D83*D$8</f>
        <v>-75633.612783983117</v>
      </c>
      <c r="E85" s="4">
        <f t="shared" si="22"/>
        <v>-52424.936806139165</v>
      </c>
      <c r="F85" s="4">
        <f t="shared" si="22"/>
        <v>-82239.330624343085</v>
      </c>
      <c r="G85" s="4">
        <f t="shared" si="22"/>
        <v>27500.283642830898</v>
      </c>
      <c r="H85" s="4">
        <f t="shared" si="22"/>
        <v>-351.69389963259732</v>
      </c>
      <c r="I85" s="4">
        <f t="shared" si="22"/>
        <v>63805.310411414634</v>
      </c>
      <c r="J85" s="4">
        <f t="shared" si="22"/>
        <v>418818.38833734987</v>
      </c>
      <c r="K85" s="4">
        <f t="shared" si="22"/>
        <v>150337.99602746032</v>
      </c>
      <c r="L85" s="4">
        <f t="shared" si="22"/>
        <v>298314.7244716353</v>
      </c>
      <c r="M85" s="4">
        <f t="shared" si="22"/>
        <v>259964.59080271045</v>
      </c>
      <c r="N85" s="4">
        <f t="shared" si="22"/>
        <v>-135645.95647992246</v>
      </c>
    </row>
    <row r="86" spans="1:14" ht="14.25" customHeight="1">
      <c r="A86" s="10"/>
      <c r="B86" s="3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ht="14.25" customHeight="1">
      <c r="A87" s="69" t="s">
        <v>78</v>
      </c>
      <c r="B87" s="75">
        <f>B11+B72</f>
        <v>4930452</v>
      </c>
      <c r="C87" s="2">
        <f>B87/8760</f>
        <v>562.83698630136985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4.25" customHeight="1">
      <c r="A88" s="69" t="s">
        <v>79</v>
      </c>
      <c r="B88" s="75">
        <f>B12+B73</f>
        <v>4826702.0043842811</v>
      </c>
      <c r="C88" s="2">
        <f>B88/8760</f>
        <v>550.99337949592245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ht="14.25" customHeight="1">
      <c r="A89" s="69" t="s">
        <v>81</v>
      </c>
      <c r="B89" s="75">
        <f>B87-B88</f>
        <v>103749.99561571889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ht="14.25" customHeight="1">
      <c r="A90" s="69" t="s">
        <v>80</v>
      </c>
      <c r="B90" s="74">
        <f>B89/8760</f>
        <v>11.843606805447362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ht="14.25" customHeight="1">
      <c r="A91" s="69" t="s">
        <v>82</v>
      </c>
      <c r="B91" s="76">
        <f>B89/B88</f>
        <v>2.1495007465030726E-2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ht="14.25" customHeight="1">
      <c r="A92" s="69"/>
      <c r="B92" s="31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4.25" customHeight="1">
      <c r="A93" s="10"/>
      <c r="B93" s="73"/>
      <c r="C93">
        <v>883283</v>
      </c>
      <c r="D93">
        <v>759685</v>
      </c>
      <c r="E93">
        <v>759355</v>
      </c>
      <c r="F93">
        <v>663255</v>
      </c>
      <c r="G93">
        <v>677061</v>
      </c>
      <c r="H93">
        <v>705344</v>
      </c>
      <c r="I93">
        <v>757339</v>
      </c>
      <c r="J93">
        <v>790997</v>
      </c>
      <c r="K93">
        <v>660977</v>
      </c>
      <c r="L93">
        <v>708474</v>
      </c>
      <c r="M93">
        <v>733846</v>
      </c>
      <c r="N93">
        <v>955854</v>
      </c>
    </row>
    <row r="94" spans="1:14" ht="13">
      <c r="A94" s="9" t="s">
        <v>16</v>
      </c>
      <c r="B94" s="16"/>
      <c r="C94" s="2"/>
      <c r="D94" s="1"/>
      <c r="E94" s="1"/>
      <c r="F94" s="1"/>
      <c r="G94" s="1"/>
      <c r="H94" s="1"/>
    </row>
    <row r="95" spans="1:14">
      <c r="A95" s="10" t="s">
        <v>86</v>
      </c>
      <c r="B95" s="17">
        <f>SUM(C95:N95)</f>
        <v>9376108</v>
      </c>
      <c r="C95" s="70">
        <v>980851</v>
      </c>
      <c r="D95" s="70">
        <v>802013</v>
      </c>
      <c r="E95" s="70">
        <v>792839</v>
      </c>
      <c r="F95" s="70">
        <v>696244</v>
      </c>
      <c r="G95" s="70">
        <v>695272</v>
      </c>
      <c r="H95" s="70">
        <v>684980</v>
      </c>
      <c r="I95" s="70">
        <v>816746</v>
      </c>
      <c r="J95" s="70">
        <v>803770</v>
      </c>
      <c r="K95" s="70">
        <v>680149</v>
      </c>
      <c r="L95" s="70">
        <v>721588</v>
      </c>
      <c r="M95" s="70">
        <v>787879</v>
      </c>
      <c r="N95" s="70">
        <v>913777</v>
      </c>
    </row>
    <row r="96" spans="1:14">
      <c r="A96" s="10" t="s">
        <v>87</v>
      </c>
      <c r="B96" s="17">
        <f>SUM(C96:N96)</f>
        <v>9255306.75</v>
      </c>
      <c r="C96" s="70">
        <v>900518</v>
      </c>
      <c r="D96" s="70">
        <v>825882.78437500005</v>
      </c>
      <c r="E96" s="70">
        <v>795777.24062499998</v>
      </c>
      <c r="F96" s="70">
        <v>705163.64218750002</v>
      </c>
      <c r="G96" s="70">
        <v>707156.05390625005</v>
      </c>
      <c r="H96" s="70">
        <v>697601.52421874995</v>
      </c>
      <c r="I96" s="70">
        <v>749945.52109375002</v>
      </c>
      <c r="J96" s="70">
        <v>755833.56953125005</v>
      </c>
      <c r="K96" s="70">
        <v>672912.34375</v>
      </c>
      <c r="L96" s="70">
        <v>720778.48046875</v>
      </c>
      <c r="M96" s="70">
        <v>796576.19921875</v>
      </c>
      <c r="N96" s="70">
        <v>927161.39062499988</v>
      </c>
    </row>
    <row r="97" spans="1:14" ht="12.75" customHeight="1">
      <c r="A97" s="10"/>
      <c r="B97" s="11"/>
    </row>
    <row r="98" spans="1:14">
      <c r="A98" s="10" t="s">
        <v>4</v>
      </c>
      <c r="B98" s="17">
        <f>SUM(C98:N98)</f>
        <v>120801.25</v>
      </c>
      <c r="C98" s="2">
        <f>C95-C96</f>
        <v>80333</v>
      </c>
      <c r="D98" s="2">
        <f t="shared" ref="D98:N98" si="23">D95-D96</f>
        <v>-23869.784375000047</v>
      </c>
      <c r="E98" s="2">
        <f t="shared" si="23"/>
        <v>-2938.2406249999767</v>
      </c>
      <c r="F98" s="2">
        <f t="shared" si="23"/>
        <v>-8919.6421875000233</v>
      </c>
      <c r="G98" s="2">
        <f t="shared" si="23"/>
        <v>-11884.053906250047</v>
      </c>
      <c r="H98" s="2">
        <f t="shared" si="23"/>
        <v>-12621.524218749953</v>
      </c>
      <c r="I98" s="2">
        <f t="shared" si="23"/>
        <v>66800.478906249977</v>
      </c>
      <c r="J98" s="2">
        <f t="shared" si="23"/>
        <v>47936.430468749953</v>
      </c>
      <c r="K98" s="2">
        <f t="shared" si="23"/>
        <v>7236.65625</v>
      </c>
      <c r="L98" s="2">
        <f t="shared" si="23"/>
        <v>809.51953125</v>
      </c>
      <c r="M98" s="2">
        <f t="shared" si="23"/>
        <v>-8697.19921875</v>
      </c>
      <c r="N98" s="2">
        <f t="shared" si="23"/>
        <v>-13384.390624999884</v>
      </c>
    </row>
    <row r="99" spans="1:14" ht="12.75" customHeight="1">
      <c r="A99" s="10" t="s">
        <v>5</v>
      </c>
      <c r="B99" s="30">
        <f>B98/8760</f>
        <v>13.790097031963469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</row>
    <row r="100" spans="1:14">
      <c r="A100" s="10"/>
      <c r="B100" s="12">
        <f>B101/B98</f>
        <v>40.514323714997829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10" t="s">
        <v>6</v>
      </c>
      <c r="B101" s="13">
        <f>SUM(C101:N101)</f>
        <v>4894180.9476763811</v>
      </c>
      <c r="C101" s="4">
        <f>C$7*C98</f>
        <v>2397514.8396011102</v>
      </c>
      <c r="D101" s="4">
        <f t="shared" ref="D101:N101" si="24">D$7*D98</f>
        <v>-493230.52898155927</v>
      </c>
      <c r="E101" s="4">
        <f t="shared" si="24"/>
        <v>-30771.199174006892</v>
      </c>
      <c r="F101" s="4">
        <f t="shared" si="24"/>
        <v>-71814.351751389055</v>
      </c>
      <c r="G101" s="4">
        <f t="shared" si="24"/>
        <v>-122520.63854424962</v>
      </c>
      <c r="H101" s="4">
        <f t="shared" si="24"/>
        <v>-119187.76448804355</v>
      </c>
      <c r="I101" s="4">
        <f t="shared" si="24"/>
        <v>1730301.5481380611</v>
      </c>
      <c r="J101" s="4">
        <f t="shared" si="24"/>
        <v>1932461.3381139908</v>
      </c>
      <c r="K101" s="4">
        <f t="shared" si="24"/>
        <v>209242.82300694447</v>
      </c>
      <c r="L101" s="4">
        <f t="shared" si="24"/>
        <v>20451.950779624091</v>
      </c>
      <c r="M101" s="4">
        <f t="shared" si="24"/>
        <v>-214612.51011601186</v>
      </c>
      <c r="N101" s="4">
        <f t="shared" si="24"/>
        <v>-343654.5589080897</v>
      </c>
    </row>
    <row r="102" spans="1:14">
      <c r="A102" s="10" t="s">
        <v>13</v>
      </c>
      <c r="B102" s="13">
        <f>SUM(C102:N102)</f>
        <v>3167024.4912413862</v>
      </c>
      <c r="C102" s="4">
        <f>C101*C$8</f>
        <v>1551431.8527058784</v>
      </c>
      <c r="D102" s="4">
        <f t="shared" ref="D102:N102" si="25">D101*D$8</f>
        <v>-319169.47530396702</v>
      </c>
      <c r="E102" s="4">
        <f t="shared" si="25"/>
        <v>-19912.042985499858</v>
      </c>
      <c r="F102" s="4">
        <f t="shared" si="25"/>
        <v>-46471.067018323854</v>
      </c>
      <c r="G102" s="4">
        <f t="shared" si="25"/>
        <v>-79283.105201983926</v>
      </c>
      <c r="H102" s="4">
        <f t="shared" si="25"/>
        <v>-77126.402400212988</v>
      </c>
      <c r="I102" s="4">
        <f t="shared" si="25"/>
        <v>1119678.1318001393</v>
      </c>
      <c r="J102" s="4">
        <f t="shared" si="25"/>
        <v>1250495.7318935634</v>
      </c>
      <c r="K102" s="4">
        <f t="shared" si="25"/>
        <v>135401.03076779377</v>
      </c>
      <c r="L102" s="4">
        <f t="shared" si="25"/>
        <v>13234.457349494749</v>
      </c>
      <c r="M102" s="4">
        <f t="shared" si="25"/>
        <v>-138875.75529607129</v>
      </c>
      <c r="N102" s="4">
        <f t="shared" si="25"/>
        <v>-222378.86506942485</v>
      </c>
    </row>
    <row r="103" spans="1:14">
      <c r="A103" s="69" t="s">
        <v>92</v>
      </c>
      <c r="B103" s="13">
        <f>SUM(C103:N103)</f>
        <v>-2560676</v>
      </c>
      <c r="C103" s="90">
        <v>-899103</v>
      </c>
      <c r="D103" s="90">
        <v>-134989</v>
      </c>
      <c r="E103" s="90">
        <v>66915</v>
      </c>
      <c r="F103" s="90">
        <v>59414</v>
      </c>
      <c r="G103" s="90">
        <v>223625</v>
      </c>
      <c r="H103" s="90">
        <v>-16866</v>
      </c>
      <c r="I103" s="90">
        <v>-830278</v>
      </c>
      <c r="J103" s="90">
        <v>-758570</v>
      </c>
      <c r="K103" s="90">
        <v>-202249</v>
      </c>
      <c r="L103" s="90">
        <v>292748</v>
      </c>
      <c r="M103" s="90">
        <v>-175063</v>
      </c>
      <c r="N103" s="90">
        <v>-186260</v>
      </c>
    </row>
    <row r="104" spans="1:14" ht="9" customHeight="1">
      <c r="A104" s="10"/>
      <c r="B104" s="13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13">
      <c r="A105" s="14" t="s">
        <v>7</v>
      </c>
      <c r="B105" s="15">
        <f>SUM(C105:N105)</f>
        <v>606348.49124138604</v>
      </c>
      <c r="C105" s="4">
        <f t="shared" ref="C105:N105" si="26">C102+C103</f>
        <v>652328.85270587844</v>
      </c>
      <c r="D105" s="4">
        <f t="shared" si="26"/>
        <v>-454158.47530396702</v>
      </c>
      <c r="E105" s="4">
        <f t="shared" si="26"/>
        <v>47002.957014500142</v>
      </c>
      <c r="F105" s="4">
        <f t="shared" si="26"/>
        <v>12942.932981676146</v>
      </c>
      <c r="G105" s="4">
        <f t="shared" si="26"/>
        <v>144341.89479801606</v>
      </c>
      <c r="H105" s="4">
        <f t="shared" si="26"/>
        <v>-93992.402400212988</v>
      </c>
      <c r="I105" s="4">
        <f t="shared" si="26"/>
        <v>289400.13180013932</v>
      </c>
      <c r="J105" s="4">
        <f t="shared" si="26"/>
        <v>491925.73189356341</v>
      </c>
      <c r="K105" s="4">
        <f t="shared" si="26"/>
        <v>-66847.969232206233</v>
      </c>
      <c r="L105" s="4">
        <f t="shared" si="26"/>
        <v>305982.45734949474</v>
      </c>
      <c r="M105" s="4">
        <f t="shared" si="26"/>
        <v>-313938.75529607129</v>
      </c>
      <c r="N105" s="4">
        <f t="shared" si="26"/>
        <v>-408638.86506942485</v>
      </c>
    </row>
    <row r="106" spans="1:14" ht="12.75" customHeight="1">
      <c r="A106" s="10"/>
      <c r="B106" s="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>
      <c r="A107" s="65" t="s">
        <v>62</v>
      </c>
      <c r="B107" s="66">
        <f>SUM(C107:N107)</f>
        <v>17569671</v>
      </c>
      <c r="C107" s="82">
        <v>1463312</v>
      </c>
      <c r="D107" s="82">
        <v>1494869</v>
      </c>
      <c r="E107" s="82">
        <v>1439098</v>
      </c>
      <c r="F107" s="82">
        <v>1417627</v>
      </c>
      <c r="G107" s="82">
        <v>1487109</v>
      </c>
      <c r="H107" s="82">
        <v>1422611</v>
      </c>
      <c r="I107" s="82">
        <v>1434301</v>
      </c>
      <c r="J107" s="82">
        <v>1491858</v>
      </c>
      <c r="K107" s="82">
        <v>1478942</v>
      </c>
      <c r="L107" s="82">
        <v>1454078</v>
      </c>
      <c r="M107" s="82">
        <v>1475183</v>
      </c>
      <c r="N107" s="82">
        <v>1510683</v>
      </c>
    </row>
    <row r="108" spans="1:14" ht="12.75" customHeight="1">
      <c r="A108" s="64" t="s">
        <v>63</v>
      </c>
      <c r="B108" s="13">
        <f>SUM(C108:N108)</f>
        <v>-20599612</v>
      </c>
      <c r="C108" s="82">
        <v>-1601614</v>
      </c>
      <c r="D108" s="82">
        <v>-1536835</v>
      </c>
      <c r="E108" s="82">
        <v>-1582047</v>
      </c>
      <c r="F108" s="82">
        <v>-1818694</v>
      </c>
      <c r="G108" s="82">
        <v>-2240043</v>
      </c>
      <c r="H108" s="82">
        <v>-2290921</v>
      </c>
      <c r="I108" s="82">
        <v>-1821024</v>
      </c>
      <c r="J108" s="82">
        <v>-1835393</v>
      </c>
      <c r="K108" s="82">
        <v>-1530445</v>
      </c>
      <c r="L108" s="82">
        <v>-1417619</v>
      </c>
      <c r="M108" s="82">
        <v>-1330901</v>
      </c>
      <c r="N108" s="82">
        <v>-1594076</v>
      </c>
    </row>
    <row r="109" spans="1:14" ht="12.75" customHeight="1">
      <c r="A109" s="64" t="s">
        <v>66</v>
      </c>
      <c r="B109" s="13">
        <f>SUM(C109:N109)</f>
        <v>-3029941</v>
      </c>
      <c r="C109" s="4">
        <f>C107+C108</f>
        <v>-138302</v>
      </c>
      <c r="D109" s="4">
        <f t="shared" ref="D109:N109" si="27">D107+D108</f>
        <v>-41966</v>
      </c>
      <c r="E109" s="4">
        <f t="shared" si="27"/>
        <v>-142949</v>
      </c>
      <c r="F109" s="4">
        <f t="shared" si="27"/>
        <v>-401067</v>
      </c>
      <c r="G109" s="4">
        <f t="shared" si="27"/>
        <v>-752934</v>
      </c>
      <c r="H109" s="4">
        <f t="shared" si="27"/>
        <v>-868310</v>
      </c>
      <c r="I109" s="4">
        <f t="shared" si="27"/>
        <v>-386723</v>
      </c>
      <c r="J109" s="4">
        <f t="shared" si="27"/>
        <v>-343535</v>
      </c>
      <c r="K109" s="4">
        <f t="shared" si="27"/>
        <v>-51503</v>
      </c>
      <c r="L109" s="4">
        <f t="shared" si="27"/>
        <v>36459</v>
      </c>
      <c r="M109" s="4">
        <f t="shared" si="27"/>
        <v>144282</v>
      </c>
      <c r="N109" s="4">
        <f t="shared" si="27"/>
        <v>-83393</v>
      </c>
    </row>
    <row r="110" spans="1:14" ht="12.75" customHeight="1">
      <c r="A110" s="64"/>
      <c r="B110" s="1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>
      <c r="A111" s="64" t="s">
        <v>64</v>
      </c>
      <c r="B111" s="13">
        <f>SUM(C111:N111)</f>
        <v>17237232</v>
      </c>
      <c r="C111" s="82">
        <v>1503379</v>
      </c>
      <c r="D111" s="82">
        <v>1417562</v>
      </c>
      <c r="E111" s="82">
        <v>1557827</v>
      </c>
      <c r="F111" s="82">
        <v>1347286</v>
      </c>
      <c r="G111" s="82">
        <v>1410951</v>
      </c>
      <c r="H111" s="82">
        <v>1401574</v>
      </c>
      <c r="I111" s="82">
        <v>1411206</v>
      </c>
      <c r="J111" s="82">
        <v>1443939</v>
      </c>
      <c r="K111" s="82">
        <v>1441121</v>
      </c>
      <c r="L111" s="82">
        <v>1400226</v>
      </c>
      <c r="M111" s="82">
        <v>1464406</v>
      </c>
      <c r="N111" s="82">
        <v>1437755</v>
      </c>
    </row>
    <row r="112" spans="1:14" ht="12.75" customHeight="1">
      <c r="A112" s="64" t="s">
        <v>65</v>
      </c>
      <c r="B112" s="13">
        <f>SUM(C112:N112)</f>
        <v>-15802274</v>
      </c>
      <c r="C112" s="82">
        <v>-1306342</v>
      </c>
      <c r="D112" s="82">
        <v>-1061936</v>
      </c>
      <c r="E112" s="82">
        <v>-1137644</v>
      </c>
      <c r="F112" s="82">
        <v>-1166933</v>
      </c>
      <c r="G112" s="82">
        <v>-1506921</v>
      </c>
      <c r="H112" s="82">
        <v>-1586833</v>
      </c>
      <c r="I112" s="82">
        <v>-1599620</v>
      </c>
      <c r="J112" s="82">
        <v>-1447883</v>
      </c>
      <c r="K112" s="82">
        <v>-1304804</v>
      </c>
      <c r="L112" s="82">
        <v>-1285929</v>
      </c>
      <c r="M112" s="82">
        <v>-1197858</v>
      </c>
      <c r="N112" s="82">
        <v>-1199571</v>
      </c>
    </row>
    <row r="113" spans="1:14" ht="12.75" customHeight="1">
      <c r="A113" s="64" t="s">
        <v>67</v>
      </c>
      <c r="B113" s="13">
        <f>SUM(C113:N113)</f>
        <v>1434958</v>
      </c>
      <c r="C113" s="4">
        <f>C111+C112</f>
        <v>197037</v>
      </c>
      <c r="D113" s="4">
        <f t="shared" ref="D113:N113" si="28">D111+D112</f>
        <v>355626</v>
      </c>
      <c r="E113" s="4">
        <f t="shared" si="28"/>
        <v>420183</v>
      </c>
      <c r="F113" s="4">
        <f t="shared" si="28"/>
        <v>180353</v>
      </c>
      <c r="G113" s="4">
        <f t="shared" si="28"/>
        <v>-95970</v>
      </c>
      <c r="H113" s="4">
        <f t="shared" si="28"/>
        <v>-185259</v>
      </c>
      <c r="I113" s="4">
        <f t="shared" si="28"/>
        <v>-188414</v>
      </c>
      <c r="J113" s="4">
        <f t="shared" si="28"/>
        <v>-3944</v>
      </c>
      <c r="K113" s="4">
        <f t="shared" si="28"/>
        <v>136317</v>
      </c>
      <c r="L113" s="4">
        <f t="shared" si="28"/>
        <v>114297</v>
      </c>
      <c r="M113" s="4">
        <f t="shared" si="28"/>
        <v>266548</v>
      </c>
      <c r="N113" s="4">
        <f t="shared" si="28"/>
        <v>238184</v>
      </c>
    </row>
    <row r="114" spans="1:14" ht="12.75" customHeight="1">
      <c r="A114" s="64"/>
      <c r="B114" s="1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>
      <c r="A115" s="64" t="s">
        <v>68</v>
      </c>
      <c r="B115" s="13">
        <f>SUM(C115:N115)</f>
        <v>-4464899</v>
      </c>
      <c r="C115" s="4">
        <f>C109-C113</f>
        <v>-335339</v>
      </c>
      <c r="D115" s="4">
        <f t="shared" ref="D115:N115" si="29">D109-D113</f>
        <v>-397592</v>
      </c>
      <c r="E115" s="4">
        <f t="shared" si="29"/>
        <v>-563132</v>
      </c>
      <c r="F115" s="4">
        <f t="shared" si="29"/>
        <v>-581420</v>
      </c>
      <c r="G115" s="4">
        <f t="shared" si="29"/>
        <v>-656964</v>
      </c>
      <c r="H115" s="4">
        <f t="shared" si="29"/>
        <v>-683051</v>
      </c>
      <c r="I115" s="4">
        <f t="shared" si="29"/>
        <v>-198309</v>
      </c>
      <c r="J115" s="4">
        <f t="shared" si="29"/>
        <v>-339591</v>
      </c>
      <c r="K115" s="4">
        <f t="shared" si="29"/>
        <v>-187820</v>
      </c>
      <c r="L115" s="4">
        <f t="shared" si="29"/>
        <v>-77838</v>
      </c>
      <c r="M115" s="4">
        <f t="shared" si="29"/>
        <v>-122266</v>
      </c>
      <c r="N115" s="4">
        <f t="shared" si="29"/>
        <v>-321577</v>
      </c>
    </row>
    <row r="116" spans="1:14" ht="12.75" customHeight="1">
      <c r="A116" s="67" t="s">
        <v>69</v>
      </c>
      <c r="B116" s="15">
        <f>SUM(C116:N116)</f>
        <v>-2889236.1429000003</v>
      </c>
      <c r="C116" s="4">
        <f>C115*C$8</f>
        <v>-216997.86689999999</v>
      </c>
      <c r="D116" s="4">
        <f>D115*D$8</f>
        <v>-257281.78320000001</v>
      </c>
      <c r="E116" s="4">
        <f t="shared" ref="E116:N116" si="30">E115*E$8</f>
        <v>-364402.71720000001</v>
      </c>
      <c r="F116" s="4">
        <f t="shared" si="30"/>
        <v>-376236.88199999998</v>
      </c>
      <c r="G116" s="4">
        <f t="shared" si="30"/>
        <v>-425121.4044</v>
      </c>
      <c r="H116" s="4">
        <f t="shared" si="30"/>
        <v>-442002.30210000003</v>
      </c>
      <c r="I116" s="4">
        <f t="shared" si="30"/>
        <v>-128325.7539</v>
      </c>
      <c r="J116" s="4">
        <f t="shared" si="30"/>
        <v>-219749.33610000001</v>
      </c>
      <c r="K116" s="4">
        <f t="shared" si="30"/>
        <v>-121538.322</v>
      </c>
      <c r="L116" s="4">
        <f t="shared" si="30"/>
        <v>-50368.969799999999</v>
      </c>
      <c r="M116" s="4">
        <f t="shared" si="30"/>
        <v>-79118.328600000008</v>
      </c>
      <c r="N116" s="4">
        <f t="shared" si="30"/>
        <v>-208092.4767</v>
      </c>
    </row>
    <row r="117" spans="1:14" ht="12.75" customHeight="1">
      <c r="A117" s="33"/>
    </row>
    <row r="118" spans="1:14">
      <c r="A118" s="19" t="s">
        <v>14</v>
      </c>
      <c r="B118" s="80">
        <f>SUM(C118:N118)</f>
        <v>-11418637.199107664</v>
      </c>
      <c r="C118" s="81">
        <f>C19+C51+C67+C85+C105+C116</f>
        <v>-350608.8261438359</v>
      </c>
      <c r="D118" s="81">
        <f t="shared" ref="D118:N118" si="31">D19+D51+D67+D85+D105+D116</f>
        <v>-2274501.9614573545</v>
      </c>
      <c r="E118" s="81">
        <f t="shared" si="31"/>
        <v>-3213136.9027073462</v>
      </c>
      <c r="F118" s="81">
        <f t="shared" si="31"/>
        <v>-2294188.9595038011</v>
      </c>
      <c r="G118" s="81">
        <f t="shared" si="31"/>
        <v>-633187.80386835616</v>
      </c>
      <c r="H118" s="81">
        <f t="shared" si="31"/>
        <v>-429893.10161593906</v>
      </c>
      <c r="I118" s="81">
        <f t="shared" si="31"/>
        <v>1192892.3040538852</v>
      </c>
      <c r="J118" s="81">
        <f t="shared" si="31"/>
        <v>734881.74710058561</v>
      </c>
      <c r="K118" s="81">
        <f t="shared" si="31"/>
        <v>-243815.078642231</v>
      </c>
      <c r="L118" s="81">
        <f t="shared" si="31"/>
        <v>362805.50538585021</v>
      </c>
      <c r="M118" s="81">
        <f t="shared" si="31"/>
        <v>-1583318.4091066197</v>
      </c>
      <c r="N118" s="81">
        <f t="shared" si="31"/>
        <v>-2686565.7126024994</v>
      </c>
    </row>
    <row r="119" spans="1:14">
      <c r="A119" s="69" t="s">
        <v>77</v>
      </c>
      <c r="B119" s="11"/>
    </row>
    <row r="120" spans="1:14">
      <c r="A120" s="69"/>
      <c r="B120" s="11"/>
    </row>
    <row r="121" spans="1:14">
      <c r="A121" s="69" t="s">
        <v>93</v>
      </c>
      <c r="B121" s="13">
        <f>-1776322*0.6471</f>
        <v>-1149457.9661999999</v>
      </c>
    </row>
    <row r="122" spans="1:14">
      <c r="A122" s="69"/>
      <c r="B122" s="11"/>
    </row>
    <row r="123" spans="1:14">
      <c r="A123" s="69" t="s">
        <v>83</v>
      </c>
      <c r="B123" s="13">
        <v>-6219740</v>
      </c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</row>
    <row r="124" spans="1:14">
      <c r="A124" s="10"/>
      <c r="B124" s="11"/>
    </row>
    <row r="125" spans="1:14">
      <c r="A125" s="14" t="s">
        <v>100</v>
      </c>
      <c r="B125" s="20">
        <f>B123-B121-B118</f>
        <v>6348355.1653076634</v>
      </c>
    </row>
    <row r="127" spans="1:14">
      <c r="B127" s="4">
        <f>B118+B125</f>
        <v>-5070282.0338000003</v>
      </c>
    </row>
  </sheetData>
  <phoneticPr fontId="0" type="noConversion"/>
  <pageMargins left="0" right="0" top="0" bottom="0" header="0.5" footer="0.5"/>
  <pageSetup scale="74" orientation="landscape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6"/>
  <sheetViews>
    <sheetView workbookViewId="0">
      <selection activeCell="D6" sqref="D6"/>
    </sheetView>
  </sheetViews>
  <sheetFormatPr defaultRowHeight="12.5"/>
  <cols>
    <col min="2" max="2" width="20.81640625" customWidth="1"/>
  </cols>
  <sheetData>
    <row r="3" spans="2:15">
      <c r="D3" t="s">
        <v>49</v>
      </c>
      <c r="E3" t="s">
        <v>50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  <c r="L3" t="s">
        <v>57</v>
      </c>
      <c r="M3" t="s">
        <v>58</v>
      </c>
      <c r="N3" t="s">
        <v>59</v>
      </c>
      <c r="O3" t="s">
        <v>60</v>
      </c>
    </row>
    <row r="6" spans="2:15">
      <c r="B6" t="s">
        <v>90</v>
      </c>
      <c r="C6" s="56"/>
      <c r="D6" s="3">
        <v>29.844706902532085</v>
      </c>
      <c r="E6" s="3">
        <v>20.663384353741499</v>
      </c>
      <c r="F6" s="3">
        <v>10.472661398862503</v>
      </c>
      <c r="G6" s="3">
        <v>8.0512592592592576</v>
      </c>
      <c r="H6" s="3">
        <v>10.309667013527575</v>
      </c>
      <c r="I6" s="3">
        <v>9.4432148148148158</v>
      </c>
      <c r="J6" s="3">
        <v>25.902532084634064</v>
      </c>
      <c r="K6" s="3">
        <v>40.31300034686091</v>
      </c>
      <c r="L6" s="3">
        <v>28.9142962962963</v>
      </c>
      <c r="M6" s="3">
        <v>25.264308012486993</v>
      </c>
      <c r="N6" s="3">
        <v>24.676048543689323</v>
      </c>
      <c r="O6" s="3">
        <v>25.675771765522025</v>
      </c>
    </row>
  </sheetData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0BFDCE3B89E8B49878EABD252DCB125" ma:contentTypeVersion="76" ma:contentTypeDescription="" ma:contentTypeScope="" ma:versionID="c3df504fa1cee6f7f631e1f31c4669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2018-03-28T07:00:00+00:00</OpenedDate>
    <SignificantOrder xmlns="dc463f71-b30c-4ab2-9473-d307f9d35888">false</SignificantOrder>
    <Date1 xmlns="dc463f71-b30c-4ab2-9473-d307f9d35888">2018-03-28T07:00:00+00:00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180261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D823A1-B264-484C-A1B6-AFCF017D0E1D}"/>
</file>

<file path=customXml/itemProps2.xml><?xml version="1.0" encoding="utf-8"?>
<ds:datastoreItem xmlns:ds="http://schemas.openxmlformats.org/officeDocument/2006/customXml" ds:itemID="{5F521091-F182-4C02-9628-8CFC34A4029D}"/>
</file>

<file path=customXml/itemProps3.xml><?xml version="1.0" encoding="utf-8"?>
<ds:datastoreItem xmlns:ds="http://schemas.openxmlformats.org/officeDocument/2006/customXml" ds:itemID="{17388C31-AE29-4C2B-BFBC-352E9DB3D82E}"/>
</file>

<file path=customXml/itemProps4.xml><?xml version="1.0" encoding="utf-8"?>
<ds:datastoreItem xmlns:ds="http://schemas.openxmlformats.org/officeDocument/2006/customXml" ds:itemID="{9CF5B407-2EE7-426D-966B-098DCF1FA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</vt:lpstr>
      <vt:lpstr>Calculation</vt:lpstr>
      <vt:lpstr>Mid C Index</vt:lpstr>
      <vt:lpstr>Calculation!Print_Area</vt:lpstr>
      <vt:lpstr>Table!Print_Area</vt:lpstr>
      <vt:lpstr>Calculation!Print_Titles</vt:lpstr>
    </vt:vector>
  </TitlesOfParts>
  <Company>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bj4046</cp:lastModifiedBy>
  <cp:lastPrinted>2017-08-02T20:28:15Z</cp:lastPrinted>
  <dcterms:created xsi:type="dcterms:W3CDTF">2006-03-02T19:40:17Z</dcterms:created>
  <dcterms:modified xsi:type="dcterms:W3CDTF">2018-03-20T21:32:19Z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0x0101006E56B4D1795A2E4DB2F0B01679ED314A0080BFDCE3B89E8B49878EABD252DCB125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