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\"/>
    </mc:Choice>
  </mc:AlternateContent>
  <bookViews>
    <workbookView xWindow="0" yWindow="0" windowWidth="25200" windowHeight="10950" activeTab="1"/>
  </bookViews>
  <sheets>
    <sheet name="SEF-19E (BR-01) p1" sheetId="1" r:id="rId1"/>
    <sheet name="SEF-19E (BR-01) p2-7" sheetId="2" r:id="rId2"/>
    <sheet name="SEF-19G (BR-01) p1" sheetId="3" r:id="rId3"/>
    <sheet name="SEF-19G (BR-02) p2-5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'[1]Named Ranges'!$C$4</definedName>
    <definedName name="CASE_E">'[2]Named Ranges E'!$C$4</definedName>
    <definedName name="CASE_GAS">'[3]Named Ranges G'!$C$4</definedName>
    <definedName name="CBWorkbookPriority">-2060790043</definedName>
    <definedName name="Comp">'[1]Named Ranges'!$C$8</definedName>
    <definedName name="Comp_E">'[2]Named Ranges E'!$C$8</definedName>
    <definedName name="Comp_GAS">'[3]Named Ranges G'!$C$8</definedName>
    <definedName name="DOCKETNUMBER">'[1]Named Ranges'!$C$6</definedName>
    <definedName name="DOCKETNUMBER_E">'[2]Named Ranges E'!$C$6</definedName>
    <definedName name="DOCKETNUMBER_GAS">'[3]Named Ranges G'!$C$6</definedName>
    <definedName name="FIT">'[1]Named Ranges'!$C$3</definedName>
    <definedName name="FIT_E">'[2]Named Ranges E'!$C$3</definedName>
    <definedName name="FIT_GAS">'[3]Named Ranges G'!$C$3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'SEF-19E (BR-01) p1'!$A$1:$I$64</definedName>
    <definedName name="_xlnm.Print_Area" localSheetId="1">'SEF-19E (BR-01) p2-7'!$BD$1:$BL$64</definedName>
    <definedName name="_xlnm.Print_Area" localSheetId="2">'SEF-19G (BR-01) p1'!$A$1:$I$62</definedName>
    <definedName name="_xlnm.Print_Area" localSheetId="3">'SEF-19G (BR-02) p2-5'!$AM$1:$AW$62</definedName>
    <definedName name="_xlnm.Print_Titles" localSheetId="0">'SEF-19E (BR-01) p1'!$A:$B,'SEF-19E (BR-01) p1'!$1:$12</definedName>
    <definedName name="_xlnm.Print_Titles" localSheetId="1">'SEF-19E (BR-01) p2-7'!$A:$B,'SEF-19E (BR-01) p2-7'!$1:$12</definedName>
    <definedName name="_xlnm.Print_Titles" localSheetId="2">'SEF-19G (BR-01) p1'!$A:$B,'SEF-19G (BR-01) p1'!$1:$12</definedName>
    <definedName name="_xlnm.Print_Titles" localSheetId="3">'SEF-19G (BR-02) p2-5'!$A:$B,'SEF-19G (BR-02) p2-5'!$1:$12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'[2]Named Ranges E'!$C$5</definedName>
    <definedName name="TESTYEAR_GAS">'[3]Named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0" i="4" l="1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R57" i="4"/>
  <c r="AO57" i="4"/>
  <c r="AN57" i="4"/>
  <c r="AK57" i="4"/>
  <c r="AJ57" i="4"/>
  <c r="AI57" i="4"/>
  <c r="AH57" i="4"/>
  <c r="AG57" i="4"/>
  <c r="AF57" i="4"/>
  <c r="AE57" i="4"/>
  <c r="AD57" i="4"/>
  <c r="AC57" i="4"/>
  <c r="AB57" i="4"/>
  <c r="AA57" i="4"/>
  <c r="W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V56" i="4"/>
  <c r="AN56" i="4"/>
  <c r="AL56" i="4"/>
  <c r="Y56" i="4"/>
  <c r="AV55" i="4"/>
  <c r="U55" i="4"/>
  <c r="C55" i="4"/>
  <c r="AQ54" i="4"/>
  <c r="U54" i="4"/>
  <c r="C54" i="4"/>
  <c r="AU53" i="4"/>
  <c r="AT53" i="4"/>
  <c r="AS53" i="4"/>
  <c r="AP53" i="4"/>
  <c r="AN53" i="4"/>
  <c r="AM53" i="4"/>
  <c r="AL53" i="4"/>
  <c r="X53" i="4"/>
  <c r="V53" i="4"/>
  <c r="U53" i="4"/>
  <c r="C53" i="4"/>
  <c r="AU52" i="4"/>
  <c r="AT52" i="4"/>
  <c r="AS52" i="4"/>
  <c r="AQ52" i="4"/>
  <c r="AN52" i="4"/>
  <c r="AM52" i="4"/>
  <c r="AL52" i="4"/>
  <c r="V52" i="4"/>
  <c r="U52" i="4"/>
  <c r="C52" i="4"/>
  <c r="AU51" i="4"/>
  <c r="AT51" i="4"/>
  <c r="AS51" i="4"/>
  <c r="AQ51" i="4"/>
  <c r="AN51" i="4"/>
  <c r="AM51" i="4"/>
  <c r="AL51" i="4"/>
  <c r="X51" i="4"/>
  <c r="U51" i="4"/>
  <c r="C51" i="4"/>
  <c r="AO46" i="4"/>
  <c r="AK46" i="4"/>
  <c r="AI46" i="4"/>
  <c r="AH46" i="4"/>
  <c r="AG46" i="4"/>
  <c r="AE46" i="4"/>
  <c r="AD46" i="4"/>
  <c r="AC46" i="4"/>
  <c r="AA46" i="4"/>
  <c r="W46" i="4"/>
  <c r="S46" i="4"/>
  <c r="R46" i="4"/>
  <c r="Q46" i="4"/>
  <c r="O46" i="4"/>
  <c r="N46" i="4"/>
  <c r="M46" i="4"/>
  <c r="K46" i="4"/>
  <c r="J46" i="4"/>
  <c r="I46" i="4"/>
  <c r="G46" i="4"/>
  <c r="F46" i="4"/>
  <c r="E46" i="4"/>
  <c r="AC44" i="4"/>
  <c r="U44" i="4"/>
  <c r="M44" i="4"/>
  <c r="AE43" i="4"/>
  <c r="AD43" i="4"/>
  <c r="AV41" i="4"/>
  <c r="AP41" i="4"/>
  <c r="G41" i="4"/>
  <c r="F41" i="4"/>
  <c r="C41" i="4"/>
  <c r="AU40" i="4"/>
  <c r="AT40" i="4"/>
  <c r="AS40" i="4"/>
  <c r="AR40" i="4"/>
  <c r="AQ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W40" i="4"/>
  <c r="V40" i="4"/>
  <c r="T40" i="4"/>
  <c r="S40" i="4"/>
  <c r="R40" i="4"/>
  <c r="Q40" i="4"/>
  <c r="P40" i="4"/>
  <c r="O40" i="4"/>
  <c r="M40" i="4"/>
  <c r="L40" i="4"/>
  <c r="K40" i="4"/>
  <c r="J40" i="4"/>
  <c r="I40" i="4"/>
  <c r="H40" i="4"/>
  <c r="G40" i="4"/>
  <c r="F40" i="4"/>
  <c r="E40" i="4"/>
  <c r="D40" i="4"/>
  <c r="C40" i="4"/>
  <c r="AU39" i="4"/>
  <c r="AG39" i="4"/>
  <c r="AD39" i="4"/>
  <c r="AB39" i="4"/>
  <c r="AA39" i="4"/>
  <c r="R39" i="4"/>
  <c r="L39" i="4"/>
  <c r="K39" i="4"/>
  <c r="H39" i="4"/>
  <c r="E39" i="4"/>
  <c r="D39" i="4"/>
  <c r="C39" i="4"/>
  <c r="AV38" i="4"/>
  <c r="Y38" i="4"/>
  <c r="AN37" i="4"/>
  <c r="AL37" i="4"/>
  <c r="AK37" i="4"/>
  <c r="AJ37" i="4"/>
  <c r="Y37" i="4"/>
  <c r="C37" i="4"/>
  <c r="AV36" i="4"/>
  <c r="Z36" i="4"/>
  <c r="Y36" i="4"/>
  <c r="AV35" i="4"/>
  <c r="AS35" i="4"/>
  <c r="AN35" i="4"/>
  <c r="Y35" i="4"/>
  <c r="V35" i="4"/>
  <c r="C35" i="4"/>
  <c r="AU34" i="4"/>
  <c r="AT34" i="4"/>
  <c r="AQ34" i="4"/>
  <c r="AL34" i="4"/>
  <c r="V34" i="4"/>
  <c r="C34" i="4"/>
  <c r="AU33" i="4"/>
  <c r="AR33" i="4"/>
  <c r="AM33" i="4"/>
  <c r="AI33" i="4"/>
  <c r="AH33" i="4"/>
  <c r="AG33" i="4"/>
  <c r="AF33" i="4"/>
  <c r="AE33" i="4"/>
  <c r="AD33" i="4"/>
  <c r="AB33" i="4"/>
  <c r="AA33" i="4"/>
  <c r="W33" i="4"/>
  <c r="T33" i="4"/>
  <c r="S33" i="4"/>
  <c r="R33" i="4"/>
  <c r="Q33" i="4"/>
  <c r="P33" i="4"/>
  <c r="O33" i="4"/>
  <c r="M33" i="4"/>
  <c r="L33" i="4"/>
  <c r="K33" i="4"/>
  <c r="I33" i="4"/>
  <c r="H33" i="4"/>
  <c r="E33" i="4"/>
  <c r="D33" i="4"/>
  <c r="C33" i="4"/>
  <c r="AV32" i="4"/>
  <c r="H32" i="4"/>
  <c r="C32" i="4"/>
  <c r="AV31" i="4"/>
  <c r="AG31" i="4"/>
  <c r="R31" i="4"/>
  <c r="K31" i="4"/>
  <c r="H31" i="4"/>
  <c r="C31" i="4"/>
  <c r="AU30" i="4"/>
  <c r="AR30" i="4"/>
  <c r="AO30" i="4"/>
  <c r="AG30" i="4"/>
  <c r="AE30" i="4"/>
  <c r="AB30" i="4"/>
  <c r="AA30" i="4"/>
  <c r="R30" i="4"/>
  <c r="N30" i="4"/>
  <c r="K30" i="4"/>
  <c r="J30" i="4"/>
  <c r="H30" i="4"/>
  <c r="E30" i="4"/>
  <c r="D30" i="4"/>
  <c r="C30" i="4"/>
  <c r="AV29" i="4"/>
  <c r="AR29" i="4"/>
  <c r="AG29" i="4"/>
  <c r="Y29" i="4"/>
  <c r="R29" i="4"/>
  <c r="K29" i="4"/>
  <c r="C29" i="4"/>
  <c r="AV28" i="4"/>
  <c r="AR28" i="4"/>
  <c r="K28" i="4"/>
  <c r="C28" i="4"/>
  <c r="AR27" i="4"/>
  <c r="AG27" i="4"/>
  <c r="R27" i="4"/>
  <c r="K27" i="4"/>
  <c r="C27" i="4"/>
  <c r="AU25" i="4"/>
  <c r="AS25" i="4"/>
  <c r="AS42" i="4" s="1"/>
  <c r="AR25" i="4"/>
  <c r="AQ25" i="4"/>
  <c r="AP25" i="4"/>
  <c r="AO25" i="4"/>
  <c r="AO42" i="4" s="1"/>
  <c r="AN25" i="4"/>
  <c r="AM25" i="4"/>
  <c r="AL25" i="4"/>
  <c r="AK25" i="4"/>
  <c r="AJ25" i="4"/>
  <c r="AI25" i="4"/>
  <c r="AH25" i="4"/>
  <c r="AG25" i="4"/>
  <c r="AF25" i="4"/>
  <c r="AE25" i="4"/>
  <c r="AD25" i="4"/>
  <c r="AC25" i="4"/>
  <c r="AC42" i="4" s="1"/>
  <c r="AB25" i="4"/>
  <c r="AA25" i="4"/>
  <c r="X25" i="4"/>
  <c r="W25" i="4"/>
  <c r="V25" i="4"/>
  <c r="U25" i="4"/>
  <c r="U42" i="4" s="1"/>
  <c r="T25" i="4"/>
  <c r="S25" i="4"/>
  <c r="R25" i="4"/>
  <c r="Q25" i="4"/>
  <c r="Q42" i="4" s="1"/>
  <c r="P25" i="4"/>
  <c r="O25" i="4"/>
  <c r="N25" i="4"/>
  <c r="M25" i="4"/>
  <c r="M42" i="4" s="1"/>
  <c r="L25" i="4"/>
  <c r="K25" i="4"/>
  <c r="J25" i="4"/>
  <c r="I25" i="4"/>
  <c r="H25" i="4"/>
  <c r="G25" i="4"/>
  <c r="F25" i="4"/>
  <c r="E25" i="4"/>
  <c r="E42" i="4" s="1"/>
  <c r="D25" i="4"/>
  <c r="AV24" i="4"/>
  <c r="Y24" i="4"/>
  <c r="Z24" i="4" s="1"/>
  <c r="AB23" i="4"/>
  <c r="Y23" i="4"/>
  <c r="H23" i="4"/>
  <c r="D23" i="4"/>
  <c r="C23" i="4"/>
  <c r="AV22" i="4"/>
  <c r="Y22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G17" i="4"/>
  <c r="F17" i="4"/>
  <c r="C17" i="4"/>
  <c r="AA16" i="4"/>
  <c r="H16" i="4"/>
  <c r="D16" i="4"/>
  <c r="C16" i="4"/>
  <c r="AV15" i="4"/>
  <c r="Y15" i="4"/>
  <c r="Z15" i="4" s="1"/>
  <c r="AU14" i="4"/>
  <c r="AB14" i="4"/>
  <c r="AB17" i="4" s="1"/>
  <c r="AA14" i="4"/>
  <c r="H14" i="4"/>
  <c r="E14" i="4"/>
  <c r="D14" i="4"/>
  <c r="C14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K9" i="4"/>
  <c r="AL9" i="4" s="1"/>
  <c r="AM9" i="4" s="1"/>
  <c r="AN9" i="4" s="1"/>
  <c r="AO9" i="4" s="1"/>
  <c r="AP9" i="4" s="1"/>
  <c r="AQ9" i="4" s="1"/>
  <c r="AR9" i="4" s="1"/>
  <c r="AS9" i="4" s="1"/>
  <c r="AG9" i="4"/>
  <c r="AH9" i="4" s="1"/>
  <c r="AI9" i="4" s="1"/>
  <c r="AA9" i="4"/>
  <c r="E9" i="4"/>
  <c r="A5" i="4"/>
  <c r="A4" i="4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G56" i="3"/>
  <c r="I56" i="3" s="1"/>
  <c r="F56" i="3"/>
  <c r="D56" i="3"/>
  <c r="C56" i="3"/>
  <c r="E56" i="3" s="1"/>
  <c r="F55" i="3"/>
  <c r="C55" i="3"/>
  <c r="C54" i="3"/>
  <c r="C53" i="3"/>
  <c r="C52" i="3"/>
  <c r="C51" i="3"/>
  <c r="F41" i="3"/>
  <c r="H40" i="3"/>
  <c r="H39" i="3"/>
  <c r="C39" i="3"/>
  <c r="E38" i="3"/>
  <c r="D38" i="3"/>
  <c r="C38" i="3"/>
  <c r="D37" i="3"/>
  <c r="F36" i="3"/>
  <c r="D36" i="3"/>
  <c r="C36" i="3"/>
  <c r="E36" i="3" s="1"/>
  <c r="G36" i="3" s="1"/>
  <c r="I36" i="3" s="1"/>
  <c r="F35" i="3"/>
  <c r="C35" i="3"/>
  <c r="C34" i="3"/>
  <c r="H33" i="3"/>
  <c r="F32" i="3"/>
  <c r="C32" i="3"/>
  <c r="F31" i="3"/>
  <c r="C31" i="3"/>
  <c r="H30" i="3"/>
  <c r="C30" i="3"/>
  <c r="F29" i="3"/>
  <c r="C29" i="3"/>
  <c r="F28" i="3"/>
  <c r="C28" i="3"/>
  <c r="C27" i="3"/>
  <c r="H25" i="3"/>
  <c r="H42" i="3" s="1"/>
  <c r="D24" i="3"/>
  <c r="C24" i="3"/>
  <c r="C23" i="3"/>
  <c r="F22" i="3"/>
  <c r="C22" i="3"/>
  <c r="C16" i="3"/>
  <c r="D15" i="3"/>
  <c r="C15" i="3"/>
  <c r="E15" i="3" s="1"/>
  <c r="H14" i="3"/>
  <c r="H17" i="3" s="1"/>
  <c r="C14" i="3"/>
  <c r="C17" i="3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5" i="3"/>
  <c r="A4" i="3"/>
  <c r="D22" i="3" l="1"/>
  <c r="Y25" i="4"/>
  <c r="Z22" i="4"/>
  <c r="Y16" i="4"/>
  <c r="D17" i="4"/>
  <c r="AB42" i="4"/>
  <c r="AF42" i="4"/>
  <c r="AJ42" i="4"/>
  <c r="AN42" i="4"/>
  <c r="AR42" i="4"/>
  <c r="AB9" i="4"/>
  <c r="F9" i="4"/>
  <c r="G9" i="4" s="1"/>
  <c r="H44" i="3"/>
  <c r="H61" i="3" s="1"/>
  <c r="H62" i="3" s="1"/>
  <c r="I11" i="3"/>
  <c r="AV14" i="4"/>
  <c r="AM44" i="4"/>
  <c r="Z23" i="4"/>
  <c r="D23" i="3"/>
  <c r="F24" i="3"/>
  <c r="AW24" i="4"/>
  <c r="E17" i="4"/>
  <c r="Y14" i="4"/>
  <c r="E23" i="3"/>
  <c r="G44" i="4"/>
  <c r="C25" i="3"/>
  <c r="E24" i="3"/>
  <c r="G24" i="3" s="1"/>
  <c r="I24" i="3" s="1"/>
  <c r="C57" i="3"/>
  <c r="C46" i="3" s="1"/>
  <c r="AB44" i="4"/>
  <c r="F15" i="3"/>
  <c r="G15" i="3" s="1"/>
  <c r="I15" i="3" s="1"/>
  <c r="AW15" i="4"/>
  <c r="AV16" i="4"/>
  <c r="AA17" i="4"/>
  <c r="D42" i="4"/>
  <c r="H42" i="4"/>
  <c r="L42" i="4"/>
  <c r="P42" i="4"/>
  <c r="T42" i="4"/>
  <c r="X42" i="4"/>
  <c r="F38" i="3"/>
  <c r="G38" i="3" s="1"/>
  <c r="I38" i="3" s="1"/>
  <c r="C40" i="3"/>
  <c r="C41" i="3"/>
  <c r="H17" i="4"/>
  <c r="I42" i="4"/>
  <c r="AG42" i="4"/>
  <c r="AK42" i="4"/>
  <c r="Z29" i="4"/>
  <c r="AW29" i="4"/>
  <c r="Y34" i="4"/>
  <c r="AT42" i="4"/>
  <c r="Z35" i="4"/>
  <c r="AW38" i="4"/>
  <c r="AV39" i="4"/>
  <c r="AV40" i="4"/>
  <c r="Y41" i="4"/>
  <c r="K42" i="4"/>
  <c r="S42" i="4"/>
  <c r="AA42" i="4"/>
  <c r="AI42" i="4"/>
  <c r="AQ42" i="4"/>
  <c r="AF44" i="4"/>
  <c r="AN44" i="4"/>
  <c r="Y51" i="4"/>
  <c r="U57" i="4"/>
  <c r="V57" i="4"/>
  <c r="Y52" i="4"/>
  <c r="Y53" i="4"/>
  <c r="X57" i="4"/>
  <c r="AN46" i="4"/>
  <c r="AV30" i="4"/>
  <c r="M61" i="4"/>
  <c r="AC61" i="4"/>
  <c r="D29" i="3"/>
  <c r="E29" i="3" s="1"/>
  <c r="G29" i="3" s="1"/>
  <c r="I29" i="3" s="1"/>
  <c r="C33" i="3"/>
  <c r="D35" i="3"/>
  <c r="E35" i="3" s="1"/>
  <c r="G35" i="3" s="1"/>
  <c r="I35" i="3" s="1"/>
  <c r="AO44" i="4"/>
  <c r="AS44" i="4"/>
  <c r="F42" i="4"/>
  <c r="J42" i="4"/>
  <c r="N42" i="4"/>
  <c r="R42" i="4"/>
  <c r="V42" i="4"/>
  <c r="AD42" i="4"/>
  <c r="AH42" i="4"/>
  <c r="AL42" i="4"/>
  <c r="AP42" i="4"/>
  <c r="Y27" i="4"/>
  <c r="AV27" i="4"/>
  <c r="AW36" i="4"/>
  <c r="Z37" i="4"/>
  <c r="Y39" i="4"/>
  <c r="I44" i="4"/>
  <c r="Q44" i="4"/>
  <c r="AG44" i="4"/>
  <c r="AR44" i="4"/>
  <c r="AV33" i="4"/>
  <c r="U61" i="4"/>
  <c r="C37" i="3"/>
  <c r="E37" i="3" s="1"/>
  <c r="F44" i="4"/>
  <c r="J44" i="4"/>
  <c r="N44" i="4"/>
  <c r="R44" i="4"/>
  <c r="V44" i="4"/>
  <c r="AD44" i="4"/>
  <c r="AH44" i="4"/>
  <c r="AL44" i="4"/>
  <c r="AP44" i="4"/>
  <c r="AW22" i="4"/>
  <c r="AV23" i="4"/>
  <c r="AV25" i="4" s="1"/>
  <c r="C25" i="4"/>
  <c r="Y28" i="4"/>
  <c r="Y30" i="4"/>
  <c r="Y31" i="4"/>
  <c r="Y32" i="4"/>
  <c r="Y33" i="4"/>
  <c r="AV34" i="4"/>
  <c r="AV37" i="4"/>
  <c r="Z38" i="4"/>
  <c r="Y40" i="4"/>
  <c r="G42" i="4"/>
  <c r="O42" i="4"/>
  <c r="W42" i="4"/>
  <c r="AE42" i="4"/>
  <c r="AM42" i="4"/>
  <c r="AU42" i="4"/>
  <c r="L44" i="4"/>
  <c r="T44" i="4"/>
  <c r="AJ44" i="4"/>
  <c r="AV51" i="4"/>
  <c r="AL57" i="4"/>
  <c r="AS57" i="4"/>
  <c r="Z56" i="4"/>
  <c r="D46" i="4"/>
  <c r="H46" i="4"/>
  <c r="L46" i="4"/>
  <c r="P46" i="4"/>
  <c r="T46" i="4"/>
  <c r="AB46" i="4"/>
  <c r="AF46" i="4"/>
  <c r="AJ46" i="4"/>
  <c r="AR46" i="4"/>
  <c r="AV52" i="4"/>
  <c r="AV53" i="4"/>
  <c r="AV54" i="4"/>
  <c r="AP57" i="4"/>
  <c r="AT57" i="4"/>
  <c r="Y54" i="4"/>
  <c r="Y55" i="4"/>
  <c r="C57" i="4"/>
  <c r="AM57" i="4"/>
  <c r="AQ57" i="4"/>
  <c r="AU57" i="4"/>
  <c r="AV42" i="4" l="1"/>
  <c r="AP46" i="4"/>
  <c r="AS46" i="4"/>
  <c r="T61" i="4"/>
  <c r="D40" i="3"/>
  <c r="Z40" i="4"/>
  <c r="Z30" i="4"/>
  <c r="D30" i="3"/>
  <c r="E30" i="3" s="1"/>
  <c r="AD61" i="4"/>
  <c r="F27" i="3"/>
  <c r="AS61" i="4"/>
  <c r="X46" i="4"/>
  <c r="AF61" i="4"/>
  <c r="E41" i="3"/>
  <c r="G41" i="3" s="1"/>
  <c r="I41" i="3" s="1"/>
  <c r="AM61" i="4"/>
  <c r="Y42" i="4"/>
  <c r="AM46" i="4"/>
  <c r="L61" i="4"/>
  <c r="Z32" i="4"/>
  <c r="D32" i="3"/>
  <c r="E32" i="3" s="1"/>
  <c r="G32" i="3" s="1"/>
  <c r="I32" i="3" s="1"/>
  <c r="U62" i="4"/>
  <c r="AR61" i="4"/>
  <c r="Z39" i="4"/>
  <c r="D39" i="3"/>
  <c r="E39" i="3" s="1"/>
  <c r="Z27" i="4"/>
  <c r="D27" i="3"/>
  <c r="E27" i="3" s="1"/>
  <c r="G27" i="3" s="1"/>
  <c r="I27" i="3" s="1"/>
  <c r="Z53" i="4"/>
  <c r="D53" i="3"/>
  <c r="E53" i="3" s="1"/>
  <c r="X44" i="4"/>
  <c r="AW35" i="4"/>
  <c r="D34" i="3"/>
  <c r="E34" i="3" s="1"/>
  <c r="Z34" i="4"/>
  <c r="E40" i="3"/>
  <c r="G40" i="3" s="1"/>
  <c r="I40" i="3" s="1"/>
  <c r="F16" i="3"/>
  <c r="F14" i="3"/>
  <c r="AV17" i="4"/>
  <c r="S44" i="4"/>
  <c r="K44" i="4"/>
  <c r="D25" i="3"/>
  <c r="E22" i="3"/>
  <c r="C58" i="4"/>
  <c r="C46" i="4"/>
  <c r="AW54" i="4"/>
  <c r="F54" i="3"/>
  <c r="AL46" i="4"/>
  <c r="AW37" i="4"/>
  <c r="F37" i="3"/>
  <c r="G37" i="3" s="1"/>
  <c r="I37" i="3" s="1"/>
  <c r="D28" i="3"/>
  <c r="E28" i="3" s="1"/>
  <c r="G28" i="3" s="1"/>
  <c r="I28" i="3" s="1"/>
  <c r="Z28" i="4"/>
  <c r="AP61" i="4"/>
  <c r="AH61" i="4"/>
  <c r="V61" i="4"/>
  <c r="N61" i="4"/>
  <c r="F61" i="4"/>
  <c r="AW33" i="4"/>
  <c r="F33" i="3"/>
  <c r="AG61" i="4"/>
  <c r="AO61" i="4"/>
  <c r="U46" i="4"/>
  <c r="P44" i="4"/>
  <c r="AW40" i="4"/>
  <c r="F40" i="3"/>
  <c r="AB61" i="4"/>
  <c r="AQ44" i="4"/>
  <c r="G23" i="3"/>
  <c r="I23" i="3" s="1"/>
  <c r="AU44" i="4"/>
  <c r="AI44" i="4"/>
  <c r="D44" i="4"/>
  <c r="AQ46" i="4"/>
  <c r="D54" i="3"/>
  <c r="E54" i="3" s="1"/>
  <c r="G54" i="3" s="1"/>
  <c r="I54" i="3" s="1"/>
  <c r="Z54" i="4"/>
  <c r="F52" i="3"/>
  <c r="D33" i="3"/>
  <c r="E33" i="3" s="1"/>
  <c r="G33" i="3" s="1"/>
  <c r="I33" i="3" s="1"/>
  <c r="Z33" i="4"/>
  <c r="F23" i="3"/>
  <c r="F25" i="3" s="1"/>
  <c r="AW23" i="4"/>
  <c r="AL61" i="4"/>
  <c r="R61" i="4"/>
  <c r="J61" i="4"/>
  <c r="I61" i="4"/>
  <c r="AC62" i="4"/>
  <c r="V46" i="4"/>
  <c r="Z41" i="4"/>
  <c r="D41" i="3"/>
  <c r="AK44" i="4"/>
  <c r="AA44" i="4"/>
  <c r="G61" i="4"/>
  <c r="E44" i="4"/>
  <c r="AE44" i="4"/>
  <c r="H9" i="4"/>
  <c r="I9" i="4" s="1"/>
  <c r="J9" i="4" s="1"/>
  <c r="K9" i="4" s="1"/>
  <c r="L9" i="4" s="1"/>
  <c r="AC9" i="4"/>
  <c r="AU46" i="4"/>
  <c r="D55" i="3"/>
  <c r="E55" i="3" s="1"/>
  <c r="G55" i="3" s="1"/>
  <c r="I55" i="3" s="1"/>
  <c r="Z55" i="4"/>
  <c r="AT46" i="4"/>
  <c r="AW53" i="4"/>
  <c r="F53" i="3"/>
  <c r="AV57" i="4"/>
  <c r="F51" i="3"/>
  <c r="AJ61" i="4"/>
  <c r="F34" i="3"/>
  <c r="AW34" i="4"/>
  <c r="Z31" i="4"/>
  <c r="D31" i="3"/>
  <c r="E31" i="3" s="1"/>
  <c r="G31" i="3" s="1"/>
  <c r="I31" i="3" s="1"/>
  <c r="C42" i="4"/>
  <c r="AW56" i="4"/>
  <c r="Q61" i="4"/>
  <c r="M62" i="4"/>
  <c r="F30" i="3"/>
  <c r="Z52" i="4"/>
  <c r="D52" i="3"/>
  <c r="E52" i="3" s="1"/>
  <c r="G52" i="3" s="1"/>
  <c r="I52" i="3" s="1"/>
  <c r="Z51" i="4"/>
  <c r="AW51" i="4" s="1"/>
  <c r="Y57" i="4"/>
  <c r="D51" i="3"/>
  <c r="AN61" i="4"/>
  <c r="AW39" i="4"/>
  <c r="F39" i="3"/>
  <c r="AT44" i="4"/>
  <c r="H44" i="4"/>
  <c r="C42" i="3"/>
  <c r="C44" i="3" s="1"/>
  <c r="Z14" i="4"/>
  <c r="AW14" i="4" s="1"/>
  <c r="Y17" i="4"/>
  <c r="D14" i="3"/>
  <c r="W44" i="4"/>
  <c r="O44" i="4"/>
  <c r="Z16" i="4"/>
  <c r="D16" i="3"/>
  <c r="E16" i="3" s="1"/>
  <c r="G16" i="3" s="1"/>
  <c r="I16" i="3" s="1"/>
  <c r="Z25" i="4"/>
  <c r="AW57" i="4" l="1"/>
  <c r="C44" i="4"/>
  <c r="E61" i="4"/>
  <c r="AO62" i="4"/>
  <c r="S61" i="4"/>
  <c r="AW32" i="4"/>
  <c r="AD62" i="4"/>
  <c r="D17" i="3"/>
  <c r="E14" i="3"/>
  <c r="C61" i="3"/>
  <c r="C62" i="3" s="1"/>
  <c r="C48" i="3"/>
  <c r="AT61" i="4"/>
  <c r="Y46" i="4"/>
  <c r="Q62" i="4"/>
  <c r="AJ62" i="4"/>
  <c r="I62" i="4"/>
  <c r="AL62" i="4"/>
  <c r="F42" i="3"/>
  <c r="AU61" i="4"/>
  <c r="AB62" i="4"/>
  <c r="AH62" i="4"/>
  <c r="AP62" i="4"/>
  <c r="G22" i="3"/>
  <c r="E25" i="3"/>
  <c r="E42" i="3" s="1"/>
  <c r="X61" i="4"/>
  <c r="G39" i="3"/>
  <c r="I39" i="3" s="1"/>
  <c r="AR62" i="4"/>
  <c r="AW55" i="4"/>
  <c r="AI61" i="4"/>
  <c r="F62" i="4"/>
  <c r="Y44" i="4"/>
  <c r="Z57" i="4"/>
  <c r="AA61" i="4"/>
  <c r="AW41" i="4"/>
  <c r="R62" i="4"/>
  <c r="D61" i="4"/>
  <c r="P61" i="4"/>
  <c r="V62" i="4"/>
  <c r="D42" i="3"/>
  <c r="AV44" i="4"/>
  <c r="AW16" i="4"/>
  <c r="G34" i="3"/>
  <c r="I34" i="3" s="1"/>
  <c r="G53" i="3"/>
  <c r="I53" i="3" s="1"/>
  <c r="AW25" i="4"/>
  <c r="AM62" i="4"/>
  <c r="AF62" i="4"/>
  <c r="AW27" i="4"/>
  <c r="T62" i="4"/>
  <c r="W61" i="4"/>
  <c r="D57" i="3"/>
  <c r="D46" i="3" s="1"/>
  <c r="E51" i="3"/>
  <c r="AW31" i="4"/>
  <c r="AV46" i="4"/>
  <c r="H61" i="4"/>
  <c r="AN62" i="4"/>
  <c r="AD9" i="4"/>
  <c r="M9" i="4"/>
  <c r="Z42" i="4"/>
  <c r="O61" i="4"/>
  <c r="Z17" i="4"/>
  <c r="AW30" i="4"/>
  <c r="F57" i="3"/>
  <c r="F46" i="3" s="1"/>
  <c r="AE61" i="4"/>
  <c r="G62" i="4"/>
  <c r="AK61" i="4"/>
  <c r="J62" i="4"/>
  <c r="AW52" i="4"/>
  <c r="AQ61" i="4"/>
  <c r="AG62" i="4"/>
  <c r="N62" i="4"/>
  <c r="AW28" i="4"/>
  <c r="K61" i="4"/>
  <c r="F17" i="3"/>
  <c r="L62" i="4"/>
  <c r="AS62" i="4"/>
  <c r="G30" i="3"/>
  <c r="I30" i="3" s="1"/>
  <c r="AQ62" i="4" l="1"/>
  <c r="E17" i="3"/>
  <c r="E44" i="3" s="1"/>
  <c r="G14" i="3"/>
  <c r="H62" i="4"/>
  <c r="E57" i="3"/>
  <c r="E46" i="3" s="1"/>
  <c r="G51" i="3"/>
  <c r="AW42" i="4"/>
  <c r="AV61" i="4"/>
  <c r="D62" i="4"/>
  <c r="X62" i="4"/>
  <c r="D44" i="3"/>
  <c r="D61" i="3" s="1"/>
  <c r="D62" i="3" s="1"/>
  <c r="S62" i="4"/>
  <c r="E62" i="4"/>
  <c r="N9" i="4"/>
  <c r="O9" i="4" s="1"/>
  <c r="P9" i="4" s="1"/>
  <c r="AE9" i="4"/>
  <c r="Z46" i="4"/>
  <c r="G25" i="3"/>
  <c r="G42" i="3" s="1"/>
  <c r="I22" i="3"/>
  <c r="I25" i="3" s="1"/>
  <c r="I42" i="3" s="1"/>
  <c r="AW46" i="4"/>
  <c r="K62" i="4"/>
  <c r="Z44" i="4"/>
  <c r="AK62" i="4"/>
  <c r="P62" i="4"/>
  <c r="Y61" i="4"/>
  <c r="AU62" i="4"/>
  <c r="C61" i="4"/>
  <c r="C48" i="4"/>
  <c r="AW17" i="4"/>
  <c r="O62" i="4"/>
  <c r="W62" i="4"/>
  <c r="AA62" i="4"/>
  <c r="F44" i="3"/>
  <c r="F61" i="3" s="1"/>
  <c r="F62" i="3" s="1"/>
  <c r="AE62" i="4"/>
  <c r="AI62" i="4"/>
  <c r="AT62" i="4"/>
  <c r="G17" i="3" l="1"/>
  <c r="G44" i="3" s="1"/>
  <c r="I14" i="3"/>
  <c r="I17" i="3" s="1"/>
  <c r="I44" i="3" s="1"/>
  <c r="Y62" i="4"/>
  <c r="E48" i="3"/>
  <c r="E61" i="3"/>
  <c r="E62" i="3" s="1"/>
  <c r="G57" i="3"/>
  <c r="G46" i="3" s="1"/>
  <c r="I51" i="3"/>
  <c r="I57" i="3" s="1"/>
  <c r="I46" i="3" s="1"/>
  <c r="Z48" i="4"/>
  <c r="Z61" i="4"/>
  <c r="AV62" i="4"/>
  <c r="AW44" i="4"/>
  <c r="C62" i="4"/>
  <c r="AW61" i="4" l="1"/>
  <c r="AW48" i="4"/>
  <c r="Z62" i="4"/>
  <c r="I61" i="3"/>
  <c r="I62" i="3" s="1"/>
  <c r="I48" i="3"/>
  <c r="G61" i="3"/>
  <c r="G62" i="3" s="1"/>
  <c r="G48" i="3"/>
  <c r="AW62" i="4" l="1"/>
  <c r="BJ59" i="2" l="1"/>
  <c r="BD59" i="2"/>
  <c r="BC59" i="2"/>
  <c r="BB59" i="2"/>
  <c r="AZ59" i="2"/>
  <c r="AW59" i="2"/>
  <c r="AS59" i="2"/>
  <c r="AR59" i="2"/>
  <c r="AQ59" i="2"/>
  <c r="AP59" i="2"/>
  <c r="AP48" i="2" s="1"/>
  <c r="AO59" i="2"/>
  <c r="AN59" i="2"/>
  <c r="AM59" i="2"/>
  <c r="AL59" i="2"/>
  <c r="AL48" i="2" s="1"/>
  <c r="AK59" i="2"/>
  <c r="AJ59" i="2"/>
  <c r="AI59" i="2"/>
  <c r="AF59" i="2"/>
  <c r="AE59" i="2"/>
  <c r="AC59" i="2"/>
  <c r="AB59" i="2"/>
  <c r="Z59" i="2"/>
  <c r="Y59" i="2"/>
  <c r="W59" i="2"/>
  <c r="T59" i="2"/>
  <c r="S59" i="2"/>
  <c r="S48" i="2" s="1"/>
  <c r="R59" i="2"/>
  <c r="Q59" i="2"/>
  <c r="P59" i="2"/>
  <c r="O59" i="2"/>
  <c r="O48" i="2" s="1"/>
  <c r="N59" i="2"/>
  <c r="M59" i="2"/>
  <c r="L59" i="2"/>
  <c r="K59" i="2"/>
  <c r="K48" i="2" s="1"/>
  <c r="J59" i="2"/>
  <c r="I59" i="2"/>
  <c r="H59" i="2"/>
  <c r="G59" i="2"/>
  <c r="G48" i="2" s="1"/>
  <c r="F59" i="2"/>
  <c r="E59" i="2"/>
  <c r="D59" i="2"/>
  <c r="BK58" i="2"/>
  <c r="U58" i="2"/>
  <c r="AG58" i="2" s="1"/>
  <c r="C58" i="2"/>
  <c r="C58" i="1" s="1"/>
  <c r="BK57" i="2"/>
  <c r="U57" i="2"/>
  <c r="AG57" i="2" s="1"/>
  <c r="C57" i="2"/>
  <c r="BH56" i="2"/>
  <c r="BG56" i="2"/>
  <c r="BF56" i="2"/>
  <c r="BE56" i="2"/>
  <c r="AY56" i="2"/>
  <c r="AX56" i="2"/>
  <c r="AX59" i="2" s="1"/>
  <c r="AX48" i="2" s="1"/>
  <c r="AV56" i="2"/>
  <c r="AU56" i="2"/>
  <c r="BK56" i="2" s="1"/>
  <c r="F56" i="1" s="1"/>
  <c r="AT56" i="2"/>
  <c r="AD56" i="2"/>
  <c r="AA56" i="2"/>
  <c r="X56" i="2"/>
  <c r="V56" i="2"/>
  <c r="U56" i="2"/>
  <c r="C56" i="2"/>
  <c r="C56" i="1" s="1"/>
  <c r="BE55" i="2"/>
  <c r="BA55" i="2"/>
  <c r="AV55" i="2"/>
  <c r="AT55" i="2"/>
  <c r="U55" i="2"/>
  <c r="AG55" i="2" s="1"/>
  <c r="D55" i="1" s="1"/>
  <c r="C55" i="2"/>
  <c r="C55" i="1" s="1"/>
  <c r="BI54" i="2"/>
  <c r="BH54" i="2"/>
  <c r="BG54" i="2"/>
  <c r="BF54" i="2"/>
  <c r="BA54" i="2"/>
  <c r="AY54" i="2"/>
  <c r="AV54" i="2"/>
  <c r="AU54" i="2"/>
  <c r="AT54" i="2"/>
  <c r="AD54" i="2"/>
  <c r="AA54" i="2"/>
  <c r="AA59" i="2" s="1"/>
  <c r="AA48" i="2" s="1"/>
  <c r="V54" i="2"/>
  <c r="U54" i="2"/>
  <c r="C54" i="2"/>
  <c r="C54" i="1" s="1"/>
  <c r="BI53" i="2"/>
  <c r="BH53" i="2"/>
  <c r="BH59" i="2" s="1"/>
  <c r="BH48" i="2" s="1"/>
  <c r="BG53" i="2"/>
  <c r="BG59" i="2" s="1"/>
  <c r="BG48" i="2" s="1"/>
  <c r="BF53" i="2"/>
  <c r="BA53" i="2"/>
  <c r="AY53" i="2"/>
  <c r="AY59" i="2" s="1"/>
  <c r="AY48" i="2" s="1"/>
  <c r="AV53" i="2"/>
  <c r="AU53" i="2"/>
  <c r="AT53" i="2"/>
  <c r="AT59" i="2" s="1"/>
  <c r="AT48" i="2" s="1"/>
  <c r="AA53" i="2"/>
  <c r="X53" i="2"/>
  <c r="U53" i="2"/>
  <c r="C53" i="2"/>
  <c r="BJ48" i="2"/>
  <c r="BD48" i="2"/>
  <c r="BC48" i="2"/>
  <c r="BB48" i="2"/>
  <c r="AZ48" i="2"/>
  <c r="AW48" i="2"/>
  <c r="AS48" i="2"/>
  <c r="AR48" i="2"/>
  <c r="AQ48" i="2"/>
  <c r="AO48" i="2"/>
  <c r="AN48" i="2"/>
  <c r="AM48" i="2"/>
  <c r="AK48" i="2"/>
  <c r="AJ48" i="2"/>
  <c r="AI48" i="2"/>
  <c r="AF48" i="2"/>
  <c r="AE48" i="2"/>
  <c r="AC48" i="2"/>
  <c r="AB48" i="2"/>
  <c r="Z48" i="2"/>
  <c r="Y48" i="2"/>
  <c r="W48" i="2"/>
  <c r="T48" i="2"/>
  <c r="R48" i="2"/>
  <c r="Q48" i="2"/>
  <c r="P48" i="2"/>
  <c r="N48" i="2"/>
  <c r="M48" i="2"/>
  <c r="L48" i="2"/>
  <c r="J48" i="2"/>
  <c r="I48" i="2"/>
  <c r="H48" i="2"/>
  <c r="F48" i="2"/>
  <c r="E48" i="2"/>
  <c r="D48" i="2"/>
  <c r="AM45" i="2"/>
  <c r="AL45" i="2"/>
  <c r="AX43" i="2"/>
  <c r="BK43" i="2" s="1"/>
  <c r="F43" i="1" s="1"/>
  <c r="AB43" i="2"/>
  <c r="F43" i="2"/>
  <c r="AG43" i="2" s="1"/>
  <c r="C43" i="2"/>
  <c r="C43" i="1" s="1"/>
  <c r="BI42" i="2"/>
  <c r="BH42" i="2"/>
  <c r="BG42" i="2"/>
  <c r="BF42" i="2"/>
  <c r="BF44" i="2" s="1"/>
  <c r="BE42" i="2"/>
  <c r="BD42" i="2"/>
  <c r="BC42" i="2"/>
  <c r="BB42" i="2"/>
  <c r="BA42" i="2"/>
  <c r="AZ42" i="2"/>
  <c r="AY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D42" i="2"/>
  <c r="AC42" i="2"/>
  <c r="AA42" i="2"/>
  <c r="Z42" i="2"/>
  <c r="Y42" i="2"/>
  <c r="W42" i="2"/>
  <c r="V42" i="2"/>
  <c r="T42" i="2"/>
  <c r="S42" i="2"/>
  <c r="R42" i="2"/>
  <c r="Q42" i="2"/>
  <c r="P42" i="2"/>
  <c r="O42" i="2"/>
  <c r="M42" i="2"/>
  <c r="L42" i="2"/>
  <c r="K42" i="2"/>
  <c r="J42" i="2"/>
  <c r="I42" i="2"/>
  <c r="H42" i="2"/>
  <c r="G42" i="2"/>
  <c r="F42" i="2"/>
  <c r="F44" i="2" s="1"/>
  <c r="E42" i="2"/>
  <c r="AG42" i="2" s="1"/>
  <c r="D42" i="2"/>
  <c r="C42" i="2"/>
  <c r="C42" i="1" s="1"/>
  <c r="BC41" i="2"/>
  <c r="BB41" i="2"/>
  <c r="AO41" i="2"/>
  <c r="AL41" i="2"/>
  <c r="AJ41" i="2"/>
  <c r="AI41" i="2"/>
  <c r="Z41" i="2"/>
  <c r="Y41" i="2"/>
  <c r="R41" i="2"/>
  <c r="L41" i="2"/>
  <c r="K41" i="2"/>
  <c r="H41" i="2"/>
  <c r="E41" i="2"/>
  <c r="D41" i="2"/>
  <c r="AG41" i="2" s="1"/>
  <c r="D41" i="1" s="1"/>
  <c r="C41" i="2"/>
  <c r="BK40" i="2"/>
  <c r="AB40" i="2"/>
  <c r="AG40" i="2" s="1"/>
  <c r="C40" i="2"/>
  <c r="C40" i="1" s="1"/>
  <c r="AV39" i="2"/>
  <c r="AT39" i="2"/>
  <c r="AS39" i="2"/>
  <c r="AR39" i="2"/>
  <c r="BK39" i="2" s="1"/>
  <c r="H39" i="2"/>
  <c r="D39" i="2"/>
  <c r="C39" i="2"/>
  <c r="C39" i="1" s="1"/>
  <c r="BE38" i="2"/>
  <c r="BE39" i="2" s="1"/>
  <c r="BD38" i="2"/>
  <c r="BK38" i="2" s="1"/>
  <c r="AG38" i="2"/>
  <c r="C38" i="2"/>
  <c r="AH38" i="2" s="1"/>
  <c r="BL38" i="2" s="1"/>
  <c r="BH37" i="2"/>
  <c r="BF37" i="2"/>
  <c r="BA37" i="2"/>
  <c r="AV37" i="2"/>
  <c r="V37" i="2"/>
  <c r="AG37" i="2" s="1"/>
  <c r="C37" i="2"/>
  <c r="BI36" i="2"/>
  <c r="BG36" i="2"/>
  <c r="AY36" i="2"/>
  <c r="AU36" i="2"/>
  <c r="AT36" i="2"/>
  <c r="AD36" i="2"/>
  <c r="AA36" i="2"/>
  <c r="V36" i="2"/>
  <c r="C36" i="2"/>
  <c r="C36" i="1" s="1"/>
  <c r="AZ35" i="2"/>
  <c r="AU35" i="2"/>
  <c r="AQ35" i="2"/>
  <c r="AP35" i="2"/>
  <c r="AP44" i="2" s="1"/>
  <c r="AO35" i="2"/>
  <c r="AN35" i="2"/>
  <c r="AM35" i="2"/>
  <c r="AL35" i="2"/>
  <c r="AJ35" i="2"/>
  <c r="AI35" i="2"/>
  <c r="W35" i="2"/>
  <c r="T35" i="2"/>
  <c r="S35" i="2"/>
  <c r="R35" i="2"/>
  <c r="Q35" i="2"/>
  <c r="P35" i="2"/>
  <c r="P44" i="2" s="1"/>
  <c r="O35" i="2"/>
  <c r="M35" i="2"/>
  <c r="L35" i="2"/>
  <c r="K35" i="2"/>
  <c r="I35" i="2"/>
  <c r="H35" i="2"/>
  <c r="E35" i="2"/>
  <c r="D35" i="2"/>
  <c r="AG35" i="2" s="1"/>
  <c r="C35" i="2"/>
  <c r="BK34" i="2"/>
  <c r="H34" i="2"/>
  <c r="AG34" i="2" s="1"/>
  <c r="C34" i="2"/>
  <c r="AO33" i="2"/>
  <c r="BK33" i="2" s="1"/>
  <c r="R33" i="2"/>
  <c r="K33" i="2"/>
  <c r="H33" i="2"/>
  <c r="C33" i="2"/>
  <c r="C33" i="1" s="1"/>
  <c r="AZ32" i="2"/>
  <c r="AW32" i="2"/>
  <c r="AO32" i="2"/>
  <c r="AJ32" i="2"/>
  <c r="AI32" i="2"/>
  <c r="R32" i="2"/>
  <c r="N32" i="2"/>
  <c r="K32" i="2"/>
  <c r="J32" i="2"/>
  <c r="H32" i="2"/>
  <c r="E32" i="2"/>
  <c r="D32" i="2"/>
  <c r="C32" i="2"/>
  <c r="C32" i="1" s="1"/>
  <c r="AZ31" i="2"/>
  <c r="AO31" i="2"/>
  <c r="AC31" i="2"/>
  <c r="R31" i="2"/>
  <c r="K31" i="2"/>
  <c r="C31" i="2"/>
  <c r="AZ30" i="2"/>
  <c r="AO30" i="2"/>
  <c r="BK30" i="2" s="1"/>
  <c r="AC30" i="2"/>
  <c r="R30" i="2"/>
  <c r="AG30" i="2" s="1"/>
  <c r="D30" i="1" s="1"/>
  <c r="K30" i="2"/>
  <c r="C30" i="2"/>
  <c r="C30" i="1" s="1"/>
  <c r="BB29" i="2"/>
  <c r="AO29" i="2"/>
  <c r="BK29" i="2" s="1"/>
  <c r="F29" i="1" s="1"/>
  <c r="R29" i="2"/>
  <c r="K29" i="2"/>
  <c r="AG29" i="2" s="1"/>
  <c r="C29" i="2"/>
  <c r="AH29" i="2" s="1"/>
  <c r="BJ27" i="2"/>
  <c r="BJ44" i="2" s="1"/>
  <c r="BI27" i="2"/>
  <c r="BH27" i="2"/>
  <c r="BG27" i="2"/>
  <c r="BG44" i="2" s="1"/>
  <c r="BF27" i="2"/>
  <c r="BE27" i="2"/>
  <c r="BD27" i="2"/>
  <c r="BC27" i="2"/>
  <c r="BC44" i="2" s="1"/>
  <c r="BA27" i="2"/>
  <c r="AZ27" i="2"/>
  <c r="AY27" i="2"/>
  <c r="AY44" i="2" s="1"/>
  <c r="AX27" i="2"/>
  <c r="AW27" i="2"/>
  <c r="AV27" i="2"/>
  <c r="AV44" i="2" s="1"/>
  <c r="AU27" i="2"/>
  <c r="AU44" i="2" s="1"/>
  <c r="AT27" i="2"/>
  <c r="AS27" i="2"/>
  <c r="AR27" i="2"/>
  <c r="AR44" i="2" s="1"/>
  <c r="AQ27" i="2"/>
  <c r="AQ44" i="2" s="1"/>
  <c r="AP27" i="2"/>
  <c r="AN27" i="2"/>
  <c r="AM27" i="2"/>
  <c r="AM44" i="2" s="1"/>
  <c r="AL27" i="2"/>
  <c r="AK27" i="2"/>
  <c r="AJ27" i="2"/>
  <c r="AJ44" i="2" s="1"/>
  <c r="AI27" i="2"/>
  <c r="AF27" i="2"/>
  <c r="AF44" i="2" s="1"/>
  <c r="AE27" i="2"/>
  <c r="AE44" i="2" s="1"/>
  <c r="AD27" i="2"/>
  <c r="AC27" i="2"/>
  <c r="AB27" i="2"/>
  <c r="AB44" i="2" s="1"/>
  <c r="AA27" i="2"/>
  <c r="AA44" i="2" s="1"/>
  <c r="Z27" i="2"/>
  <c r="Z44" i="2" s="1"/>
  <c r="X27" i="2"/>
  <c r="X44" i="2" s="1"/>
  <c r="W27" i="2"/>
  <c r="V27" i="2"/>
  <c r="U27" i="2"/>
  <c r="U44" i="2" s="1"/>
  <c r="T27" i="2"/>
  <c r="S27" i="2"/>
  <c r="S44" i="2" s="1"/>
  <c r="Q27" i="2"/>
  <c r="P27" i="2"/>
  <c r="O27" i="2"/>
  <c r="O44" i="2" s="1"/>
  <c r="N27" i="2"/>
  <c r="M27" i="2"/>
  <c r="L27" i="2"/>
  <c r="L44" i="2" s="1"/>
  <c r="J27" i="2"/>
  <c r="J44" i="2" s="1"/>
  <c r="I27" i="2"/>
  <c r="G27" i="2"/>
  <c r="G44" i="2" s="1"/>
  <c r="F27" i="2"/>
  <c r="E27" i="2"/>
  <c r="D27" i="2"/>
  <c r="BK26" i="2"/>
  <c r="H26" i="2"/>
  <c r="AG26" i="2" s="1"/>
  <c r="C26" i="2"/>
  <c r="BB25" i="2"/>
  <c r="BK25" i="2" s="1"/>
  <c r="AG25" i="2"/>
  <c r="C25" i="2"/>
  <c r="AH25" i="2" s="1"/>
  <c r="BB24" i="2"/>
  <c r="AO24" i="2"/>
  <c r="Y24" i="2"/>
  <c r="Y27" i="2" s="1"/>
  <c r="Y44" i="2" s="1"/>
  <c r="R24" i="2"/>
  <c r="R27" i="2" s="1"/>
  <c r="K24" i="2"/>
  <c r="K27" i="2" s="1"/>
  <c r="H24" i="2"/>
  <c r="C24" i="2"/>
  <c r="C24" i="1" s="1"/>
  <c r="BB23" i="2"/>
  <c r="Y23" i="2"/>
  <c r="AG23" i="2" s="1"/>
  <c r="D23" i="1" s="1"/>
  <c r="C23" i="2"/>
  <c r="BJ18" i="2"/>
  <c r="BI18" i="2"/>
  <c r="BH18" i="2"/>
  <c r="BG18" i="2"/>
  <c r="BF18" i="2"/>
  <c r="BE18" i="2"/>
  <c r="BD18" i="2"/>
  <c r="BC18" i="2"/>
  <c r="BA18" i="2"/>
  <c r="AZ18" i="2"/>
  <c r="AY18" i="2"/>
  <c r="AX18" i="2"/>
  <c r="AW18" i="2"/>
  <c r="AV18" i="2"/>
  <c r="AV46" i="2" s="1"/>
  <c r="AU18" i="2"/>
  <c r="AT18" i="2"/>
  <c r="AS18" i="2"/>
  <c r="AR18" i="2"/>
  <c r="AR46" i="2" s="1"/>
  <c r="AQ18" i="2"/>
  <c r="AP18" i="2"/>
  <c r="AO18" i="2"/>
  <c r="AN18" i="2"/>
  <c r="AM18" i="2"/>
  <c r="AL18" i="2"/>
  <c r="AK18" i="2"/>
  <c r="AF18" i="2"/>
  <c r="AF46" i="2" s="1"/>
  <c r="AE18" i="2"/>
  <c r="AD18" i="2"/>
  <c r="AC18" i="2"/>
  <c r="AB18" i="2"/>
  <c r="AA18" i="2"/>
  <c r="Z18" i="2"/>
  <c r="Y18" i="2"/>
  <c r="X18" i="2"/>
  <c r="X46" i="2" s="1"/>
  <c r="V18" i="2"/>
  <c r="U18" i="2"/>
  <c r="U46" i="2" s="1"/>
  <c r="T18" i="2"/>
  <c r="S18" i="2"/>
  <c r="R18" i="2"/>
  <c r="Q18" i="2"/>
  <c r="P18" i="2"/>
  <c r="O18" i="2"/>
  <c r="N18" i="2"/>
  <c r="M18" i="2"/>
  <c r="L18" i="2"/>
  <c r="K18" i="2"/>
  <c r="J18" i="2"/>
  <c r="J46" i="2" s="1"/>
  <c r="I18" i="2"/>
  <c r="G18" i="2"/>
  <c r="F18" i="2"/>
  <c r="BB17" i="2"/>
  <c r="AI17" i="2"/>
  <c r="BK17" i="2" s="1"/>
  <c r="F17" i="1" s="1"/>
  <c r="X17" i="2"/>
  <c r="W17" i="2"/>
  <c r="W18" i="2" s="1"/>
  <c r="H17" i="2"/>
  <c r="D17" i="2"/>
  <c r="AG17" i="2" s="1"/>
  <c r="C17" i="2"/>
  <c r="C17" i="1" s="1"/>
  <c r="BB16" i="2"/>
  <c r="BB18" i="2" s="1"/>
  <c r="AG16" i="2"/>
  <c r="C16" i="2"/>
  <c r="C16" i="1" s="1"/>
  <c r="E16" i="1" s="1"/>
  <c r="AJ15" i="2"/>
  <c r="BK15" i="2" s="1"/>
  <c r="H15" i="2"/>
  <c r="H18" i="2" s="1"/>
  <c r="E15" i="2"/>
  <c r="E18" i="2" s="1"/>
  <c r="D15" i="2"/>
  <c r="C15" i="2"/>
  <c r="A15" i="2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J14" i="2"/>
  <c r="AJ18" i="2" s="1"/>
  <c r="AJ46" i="2" s="1"/>
  <c r="AI14" i="2"/>
  <c r="H14" i="2"/>
  <c r="E14" i="2"/>
  <c r="D14" i="2"/>
  <c r="AG14" i="2" s="1"/>
  <c r="D14" i="1" s="1"/>
  <c r="C14" i="2"/>
  <c r="C18" i="2" s="1"/>
  <c r="A14" i="2"/>
  <c r="BB9" i="2"/>
  <c r="AS9" i="2"/>
  <c r="AT9" i="2" s="1"/>
  <c r="AU9" i="2" s="1"/>
  <c r="AV9" i="2" s="1"/>
  <c r="AW9" i="2" s="1"/>
  <c r="AX9" i="2" s="1"/>
  <c r="AY9" i="2" s="1"/>
  <c r="AZ9" i="2" s="1"/>
  <c r="BA9" i="2" s="1"/>
  <c r="AQ9" i="2"/>
  <c r="AP9" i="2"/>
  <c r="AI9" i="2"/>
  <c r="AA9" i="2"/>
  <c r="AB9" i="2" s="1"/>
  <c r="AC9" i="2" s="1"/>
  <c r="Z9" i="2"/>
  <c r="BC9" i="2" s="1"/>
  <c r="F9" i="2"/>
  <c r="G9" i="2" s="1"/>
  <c r="E9" i="2"/>
  <c r="AJ9" i="2" s="1"/>
  <c r="A5" i="2"/>
  <c r="A4" i="2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F58" i="1"/>
  <c r="F57" i="1"/>
  <c r="D57" i="1"/>
  <c r="C57" i="1"/>
  <c r="E57" i="1" s="1"/>
  <c r="G57" i="1" s="1"/>
  <c r="I57" i="1" s="1"/>
  <c r="H42" i="1"/>
  <c r="H41" i="1"/>
  <c r="C41" i="1"/>
  <c r="F40" i="1"/>
  <c r="D40" i="1"/>
  <c r="F38" i="1"/>
  <c r="D38" i="1"/>
  <c r="C38" i="1"/>
  <c r="E38" i="1" s="1"/>
  <c r="G38" i="1" s="1"/>
  <c r="I38" i="1" s="1"/>
  <c r="D37" i="1"/>
  <c r="C37" i="1"/>
  <c r="E37" i="1" s="1"/>
  <c r="H35" i="1"/>
  <c r="C35" i="1"/>
  <c r="F34" i="1"/>
  <c r="D34" i="1"/>
  <c r="C34" i="1"/>
  <c r="E34" i="1" s="1"/>
  <c r="G34" i="1" s="1"/>
  <c r="I34" i="1" s="1"/>
  <c r="F33" i="1"/>
  <c r="H32" i="1"/>
  <c r="C31" i="1"/>
  <c r="D29" i="1"/>
  <c r="H27" i="1"/>
  <c r="F26" i="1"/>
  <c r="D26" i="1"/>
  <c r="F25" i="1"/>
  <c r="D25" i="1"/>
  <c r="D16" i="1"/>
  <c r="H14" i="1"/>
  <c r="H18" i="1" s="1"/>
  <c r="C1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5" i="1"/>
  <c r="A4" i="1"/>
  <c r="AD59" i="2" l="1"/>
  <c r="AD48" i="2" s="1"/>
  <c r="AH35" i="2"/>
  <c r="C59" i="2"/>
  <c r="C48" i="2" s="1"/>
  <c r="AH58" i="2"/>
  <c r="D35" i="1"/>
  <c r="E35" i="1" s="1"/>
  <c r="H46" i="2"/>
  <c r="H63" i="2" s="1"/>
  <c r="H64" i="2" s="1"/>
  <c r="F46" i="2"/>
  <c r="AG24" i="2"/>
  <c r="D24" i="1" s="1"/>
  <c r="H27" i="2"/>
  <c r="H44" i="2" s="1"/>
  <c r="AK44" i="2"/>
  <c r="AK46" i="2" s="1"/>
  <c r="AK63" i="2" s="1"/>
  <c r="AK64" i="2" s="1"/>
  <c r="AT44" i="2"/>
  <c r="BK31" i="2"/>
  <c r="AG33" i="2"/>
  <c r="BK36" i="2"/>
  <c r="F36" i="1" s="1"/>
  <c r="BK55" i="2"/>
  <c r="E41" i="1"/>
  <c r="BK16" i="2"/>
  <c r="F16" i="1" s="1"/>
  <c r="L46" i="2"/>
  <c r="P46" i="2"/>
  <c r="P63" i="2" s="1"/>
  <c r="P64" i="2" s="1"/>
  <c r="Y46" i="2"/>
  <c r="BI46" i="2"/>
  <c r="K44" i="2"/>
  <c r="AH26" i="2"/>
  <c r="N44" i="2"/>
  <c r="AL44" i="2"/>
  <c r="AG32" i="2"/>
  <c r="BK35" i="2"/>
  <c r="F35" i="1" s="1"/>
  <c r="AG39" i="2"/>
  <c r="D39" i="1" s="1"/>
  <c r="E39" i="1" s="1"/>
  <c r="BK42" i="2"/>
  <c r="F42" i="1" s="1"/>
  <c r="X59" i="2"/>
  <c r="X48" i="2" s="1"/>
  <c r="AG54" i="2"/>
  <c r="D54" i="1" s="1"/>
  <c r="E54" i="1" s="1"/>
  <c r="G54" i="1" s="1"/>
  <c r="I54" i="1" s="1"/>
  <c r="BK54" i="2"/>
  <c r="F54" i="1" s="1"/>
  <c r="H44" i="1"/>
  <c r="H46" i="1" s="1"/>
  <c r="H63" i="1" s="1"/>
  <c r="H64" i="1" s="1"/>
  <c r="G16" i="1"/>
  <c r="I16" i="1" s="1"/>
  <c r="D18" i="2"/>
  <c r="BB27" i="2"/>
  <c r="BB44" i="2" s="1"/>
  <c r="T44" i="2"/>
  <c r="T46" i="2" s="1"/>
  <c r="T63" i="2" s="1"/>
  <c r="T64" i="2" s="1"/>
  <c r="AI44" i="2"/>
  <c r="BI44" i="2"/>
  <c r="AG31" i="2"/>
  <c r="D31" i="1" s="1"/>
  <c r="E31" i="1" s="1"/>
  <c r="AG36" i="2"/>
  <c r="D36" i="1" s="1"/>
  <c r="BK37" i="2"/>
  <c r="F37" i="1" s="1"/>
  <c r="G37" i="1" s="1"/>
  <c r="I37" i="1" s="1"/>
  <c r="AX44" i="2"/>
  <c r="AU59" i="2"/>
  <c r="AU48" i="2" s="1"/>
  <c r="BF59" i="2"/>
  <c r="BF48" i="2" s="1"/>
  <c r="E55" i="1"/>
  <c r="V59" i="2"/>
  <c r="V48" i="2" s="1"/>
  <c r="C26" i="1"/>
  <c r="E26" i="1" s="1"/>
  <c r="G26" i="1" s="1"/>
  <c r="I26" i="1" s="1"/>
  <c r="C53" i="1"/>
  <c r="C59" i="1" s="1"/>
  <c r="C48" i="1" s="1"/>
  <c r="C14" i="1"/>
  <c r="C18" i="1" s="1"/>
  <c r="C25" i="1"/>
  <c r="E25" i="1" s="1"/>
  <c r="G25" i="1" s="1"/>
  <c r="I25" i="1" s="1"/>
  <c r="AH54" i="2"/>
  <c r="BL54" i="2" s="1"/>
  <c r="E30" i="1"/>
  <c r="AH16" i="2"/>
  <c r="BL16" i="2" s="1"/>
  <c r="C27" i="2"/>
  <c r="C44" i="2" s="1"/>
  <c r="AH30" i="2"/>
  <c r="AH43" i="2"/>
  <c r="BL29" i="2"/>
  <c r="C23" i="1"/>
  <c r="E24" i="1"/>
  <c r="C46" i="2"/>
  <c r="C63" i="2" s="1"/>
  <c r="C64" i="2" s="1"/>
  <c r="AH14" i="2"/>
  <c r="BL25" i="2"/>
  <c r="BL30" i="2"/>
  <c r="AH37" i="2"/>
  <c r="BL37" i="2" s="1"/>
  <c r="AH40" i="2"/>
  <c r="BL40" i="2" s="1"/>
  <c r="AH41" i="2"/>
  <c r="AH42" i="2"/>
  <c r="BL42" i="2" s="1"/>
  <c r="BL43" i="2"/>
  <c r="E36" i="1"/>
  <c r="C29" i="1"/>
  <c r="E29" i="1" s="1"/>
  <c r="G29" i="1" s="1"/>
  <c r="I29" i="1" s="1"/>
  <c r="E40" i="1"/>
  <c r="G40" i="1" s="1"/>
  <c r="I40" i="1" s="1"/>
  <c r="AH36" i="2"/>
  <c r="AH39" i="2"/>
  <c r="BL39" i="2" s="1"/>
  <c r="AH57" i="2"/>
  <c r="BL57" i="2" s="1"/>
  <c r="AD9" i="2"/>
  <c r="BD9" i="2"/>
  <c r="BE9" i="2" s="1"/>
  <c r="F55" i="1"/>
  <c r="G55" i="1" s="1"/>
  <c r="I55" i="1" s="1"/>
  <c r="AJ63" i="2"/>
  <c r="AJ64" i="2" s="1"/>
  <c r="AH17" i="2"/>
  <c r="BL17" i="2" s="1"/>
  <c r="D17" i="1"/>
  <c r="AF47" i="2"/>
  <c r="AF63" i="2"/>
  <c r="AF64" i="2" s="1"/>
  <c r="AN46" i="2"/>
  <c r="AK9" i="2"/>
  <c r="H9" i="2"/>
  <c r="I9" i="2" s="1"/>
  <c r="J9" i="2" s="1"/>
  <c r="K9" i="2" s="1"/>
  <c r="L9" i="2" s="1"/>
  <c r="E17" i="1"/>
  <c r="G17" i="1" s="1"/>
  <c r="I17" i="1" s="1"/>
  <c r="F15" i="1"/>
  <c r="AH32" i="2"/>
  <c r="D32" i="1"/>
  <c r="E32" i="1" s="1"/>
  <c r="AH24" i="2"/>
  <c r="F31" i="1"/>
  <c r="AI18" i="2"/>
  <c r="AI46" i="2" s="1"/>
  <c r="BK14" i="2"/>
  <c r="AG15" i="2"/>
  <c r="E46" i="2"/>
  <c r="E63" i="2" s="1"/>
  <c r="AR63" i="2"/>
  <c r="AR64" i="2" s="1"/>
  <c r="BK24" i="2"/>
  <c r="AO27" i="2"/>
  <c r="AO44" i="2" s="1"/>
  <c r="BL26" i="2"/>
  <c r="W44" i="2"/>
  <c r="X63" i="2"/>
  <c r="X64" i="2" s="1"/>
  <c r="D27" i="1"/>
  <c r="AG56" i="2"/>
  <c r="F30" i="1"/>
  <c r="D58" i="1"/>
  <c r="E58" i="1" s="1"/>
  <c r="G58" i="1" s="1"/>
  <c r="I58" i="1" s="1"/>
  <c r="F63" i="2"/>
  <c r="F64" i="2" s="1"/>
  <c r="J63" i="2"/>
  <c r="J64" i="2" s="1"/>
  <c r="AO46" i="2"/>
  <c r="AG27" i="2"/>
  <c r="R44" i="2"/>
  <c r="R46" i="2" s="1"/>
  <c r="BK32" i="2"/>
  <c r="AH34" i="2"/>
  <c r="V44" i="2"/>
  <c r="V46" i="2" s="1"/>
  <c r="V63" i="2" s="1"/>
  <c r="L63" i="2"/>
  <c r="L64" i="2" s="1"/>
  <c r="Y63" i="2"/>
  <c r="Y64" i="2" s="1"/>
  <c r="I11" i="1"/>
  <c r="E14" i="1"/>
  <c r="F39" i="1"/>
  <c r="D42" i="1"/>
  <c r="E42" i="1" s="1"/>
  <c r="D43" i="1"/>
  <c r="E43" i="1" s="1"/>
  <c r="G43" i="1" s="1"/>
  <c r="I43" i="1" s="1"/>
  <c r="W46" i="2"/>
  <c r="AB46" i="2"/>
  <c r="AH23" i="2"/>
  <c r="D44" i="2"/>
  <c r="D46" i="2" s="1"/>
  <c r="D63" i="2" s="1"/>
  <c r="AD44" i="2"/>
  <c r="BL34" i="2"/>
  <c r="BL35" i="2"/>
  <c r="BK41" i="2"/>
  <c r="AN44" i="2"/>
  <c r="AZ44" i="2"/>
  <c r="AZ46" i="2" s="1"/>
  <c r="BD44" i="2"/>
  <c r="BD46" i="2" s="1"/>
  <c r="BH44" i="2"/>
  <c r="BH46" i="2" s="1"/>
  <c r="U59" i="2"/>
  <c r="AG53" i="2"/>
  <c r="BK53" i="2"/>
  <c r="BA59" i="2"/>
  <c r="BA48" i="2" s="1"/>
  <c r="BI59" i="2"/>
  <c r="BI48" i="2" s="1"/>
  <c r="N46" i="2"/>
  <c r="Z46" i="2"/>
  <c r="AD46" i="2"/>
  <c r="AL46" i="2"/>
  <c r="AP46" i="2"/>
  <c r="AT46" i="2"/>
  <c r="AX46" i="2"/>
  <c r="BB46" i="2"/>
  <c r="BF46" i="2"/>
  <c r="BJ46" i="2"/>
  <c r="E44" i="2"/>
  <c r="I44" i="2"/>
  <c r="I46" i="2" s="1"/>
  <c r="M44" i="2"/>
  <c r="M46" i="2" s="1"/>
  <c r="Q44" i="2"/>
  <c r="Q46" i="2" s="1"/>
  <c r="AC44" i="2"/>
  <c r="AC46" i="2" s="1"/>
  <c r="AS44" i="2"/>
  <c r="AS46" i="2" s="1"/>
  <c r="AW44" i="2"/>
  <c r="AW46" i="2" s="1"/>
  <c r="BA44" i="2"/>
  <c r="BA46" i="2" s="1"/>
  <c r="BE44" i="2"/>
  <c r="BE46" i="2" s="1"/>
  <c r="BL58" i="2"/>
  <c r="G46" i="2"/>
  <c r="K46" i="2"/>
  <c r="O46" i="2"/>
  <c r="S46" i="2"/>
  <c r="AA46" i="2"/>
  <c r="AE46" i="2"/>
  <c r="AM46" i="2"/>
  <c r="AQ46" i="2"/>
  <c r="AU46" i="2"/>
  <c r="AY46" i="2"/>
  <c r="BC46" i="2"/>
  <c r="BG46" i="2"/>
  <c r="BK23" i="2"/>
  <c r="AV59" i="2"/>
  <c r="AV48" i="2" s="1"/>
  <c r="AH55" i="2"/>
  <c r="BL55" i="2" s="1"/>
  <c r="BE59" i="2"/>
  <c r="BE48" i="2" s="1"/>
  <c r="C27" i="1" l="1"/>
  <c r="C44" i="1" s="1"/>
  <c r="G30" i="1"/>
  <c r="I30" i="1" s="1"/>
  <c r="G36" i="1"/>
  <c r="I36" i="1" s="1"/>
  <c r="U48" i="2"/>
  <c r="U63" i="2"/>
  <c r="U64" i="2" s="1"/>
  <c r="BL36" i="2"/>
  <c r="AH33" i="2"/>
  <c r="BL33" i="2" s="1"/>
  <c r="D33" i="1"/>
  <c r="E33" i="1" s="1"/>
  <c r="G33" i="1" s="1"/>
  <c r="I33" i="1" s="1"/>
  <c r="G35" i="1"/>
  <c r="I35" i="1" s="1"/>
  <c r="G31" i="1"/>
  <c r="I31" i="1" s="1"/>
  <c r="AG44" i="2"/>
  <c r="G39" i="1"/>
  <c r="I39" i="1" s="1"/>
  <c r="G42" i="1"/>
  <c r="I42" i="1" s="1"/>
  <c r="AH31" i="2"/>
  <c r="BL31" i="2" s="1"/>
  <c r="C46" i="1"/>
  <c r="C50" i="1" s="1"/>
  <c r="E23" i="1"/>
  <c r="E27" i="1" s="1"/>
  <c r="E44" i="1" s="1"/>
  <c r="AH27" i="2"/>
  <c r="C50" i="2"/>
  <c r="BH63" i="2"/>
  <c r="BH64" i="2" s="1"/>
  <c r="BE63" i="2"/>
  <c r="BE64" i="2" s="1"/>
  <c r="AW63" i="2"/>
  <c r="AW64" i="2" s="1"/>
  <c r="M63" i="2"/>
  <c r="M64" i="2" s="1"/>
  <c r="V64" i="2"/>
  <c r="AC63" i="2"/>
  <c r="AC64" i="2" s="1"/>
  <c r="BA63" i="2"/>
  <c r="BA64" i="2" s="1"/>
  <c r="AS63" i="2"/>
  <c r="AS64" i="2" s="1"/>
  <c r="I63" i="2"/>
  <c r="I64" i="2" s="1"/>
  <c r="BG63" i="2"/>
  <c r="BG64" i="2" s="1"/>
  <c r="AQ63" i="2"/>
  <c r="AQ64" i="2" s="1"/>
  <c r="S63" i="2"/>
  <c r="S64" i="2" s="1"/>
  <c r="BB63" i="2"/>
  <c r="BB64" i="2" s="1"/>
  <c r="AL63" i="2"/>
  <c r="AL64" i="2" s="1"/>
  <c r="R63" i="2"/>
  <c r="R64" i="2" s="1"/>
  <c r="BK59" i="2"/>
  <c r="BK48" i="2" s="1"/>
  <c r="F53" i="1"/>
  <c r="F59" i="1" s="1"/>
  <c r="F48" i="1" s="1"/>
  <c r="BD63" i="2"/>
  <c r="BD64" i="2" s="1"/>
  <c r="BL32" i="2"/>
  <c r="F32" i="1"/>
  <c r="G32" i="1" s="1"/>
  <c r="I32" i="1" s="1"/>
  <c r="AZ63" i="2"/>
  <c r="AZ64" i="2" s="1"/>
  <c r="E64" i="2"/>
  <c r="C63" i="1"/>
  <c r="C64" i="1" s="1"/>
  <c r="AM63" i="2"/>
  <c r="AM64" i="2" s="1"/>
  <c r="AX63" i="2"/>
  <c r="AX64" i="2" s="1"/>
  <c r="N63" i="2"/>
  <c r="N64" i="2" s="1"/>
  <c r="AB63" i="2"/>
  <c r="AB64" i="2" s="1"/>
  <c r="Q63" i="2"/>
  <c r="Q64" i="2" s="1"/>
  <c r="AN63" i="2"/>
  <c r="AN64" i="2" s="1"/>
  <c r="AY63" i="2"/>
  <c r="AY64" i="2" s="1"/>
  <c r="AE63" i="2"/>
  <c r="AE64" i="2" s="1"/>
  <c r="AE47" i="2"/>
  <c r="K63" i="2"/>
  <c r="K64" i="2" s="1"/>
  <c r="BJ63" i="2"/>
  <c r="BJ64" i="2" s="1"/>
  <c r="AT63" i="2"/>
  <c r="AT64" i="2" s="1"/>
  <c r="Z63" i="2"/>
  <c r="Z64" i="2" s="1"/>
  <c r="W63" i="2"/>
  <c r="W64" i="2" s="1"/>
  <c r="G14" i="1"/>
  <c r="AH56" i="2"/>
  <c r="BL56" i="2" s="1"/>
  <c r="D56" i="1"/>
  <c r="E56" i="1" s="1"/>
  <c r="G56" i="1" s="1"/>
  <c r="I56" i="1" s="1"/>
  <c r="BL24" i="2"/>
  <c r="F24" i="1"/>
  <c r="G24" i="1" s="1"/>
  <c r="I24" i="1" s="1"/>
  <c r="BK18" i="2"/>
  <c r="BL14" i="2"/>
  <c r="F14" i="1"/>
  <c r="F18" i="1" s="1"/>
  <c r="BC63" i="2"/>
  <c r="BC64" i="2" s="1"/>
  <c r="O63" i="2"/>
  <c r="O64" i="2" s="1"/>
  <c r="AD63" i="2"/>
  <c r="AD64" i="2" s="1"/>
  <c r="AG59" i="2"/>
  <c r="AG48" i="2" s="1"/>
  <c r="AH53" i="2"/>
  <c r="D53" i="1"/>
  <c r="AO63" i="2"/>
  <c r="AO64" i="2" s="1"/>
  <c r="D44" i="1"/>
  <c r="AH15" i="2"/>
  <c r="AG18" i="2"/>
  <c r="D15" i="1"/>
  <c r="M9" i="2"/>
  <c r="AL9" i="2"/>
  <c r="F23" i="1"/>
  <c r="BL23" i="2"/>
  <c r="BK27" i="2"/>
  <c r="BK44" i="2" s="1"/>
  <c r="AU63" i="2"/>
  <c r="AU64" i="2" s="1"/>
  <c r="AA63" i="2"/>
  <c r="AA64" i="2" s="1"/>
  <c r="G63" i="2"/>
  <c r="G64" i="2" s="1"/>
  <c r="BF63" i="2"/>
  <c r="BF64" i="2" s="1"/>
  <c r="AP63" i="2"/>
  <c r="AP64" i="2" s="1"/>
  <c r="BL41" i="2"/>
  <c r="F41" i="1"/>
  <c r="G41" i="1" s="1"/>
  <c r="I41" i="1" s="1"/>
  <c r="BI63" i="2"/>
  <c r="BI64" i="2" s="1"/>
  <c r="AI63" i="2"/>
  <c r="AV63" i="2"/>
  <c r="AV64" i="2" s="1"/>
  <c r="AH44" i="2" l="1"/>
  <c r="AG46" i="2"/>
  <c r="AH59" i="2"/>
  <c r="AH48" i="2" s="1"/>
  <c r="BL53" i="2"/>
  <c r="BL59" i="2" s="1"/>
  <c r="BL48" i="2" s="1"/>
  <c r="BL27" i="2"/>
  <c r="D64" i="2"/>
  <c r="AG63" i="2"/>
  <c r="AM9" i="2"/>
  <c r="N9" i="2"/>
  <c r="O9" i="2" s="1"/>
  <c r="P9" i="2" s="1"/>
  <c r="Q9" i="2" s="1"/>
  <c r="R9" i="2" s="1"/>
  <c r="S9" i="2" s="1"/>
  <c r="T9" i="2" s="1"/>
  <c r="U9" i="2" s="1"/>
  <c r="V9" i="2" s="1"/>
  <c r="BL15" i="2"/>
  <c r="BL18" i="2" s="1"/>
  <c r="AH18" i="2"/>
  <c r="I14" i="1"/>
  <c r="BL44" i="2"/>
  <c r="D18" i="1"/>
  <c r="D46" i="1" s="1"/>
  <c r="E15" i="1"/>
  <c r="E53" i="1"/>
  <c r="D59" i="1"/>
  <c r="D48" i="1" s="1"/>
  <c r="BK63" i="2"/>
  <c r="AI64" i="2"/>
  <c r="BK64" i="2" s="1"/>
  <c r="F27" i="1"/>
  <c r="F44" i="1" s="1"/>
  <c r="F46" i="1" s="1"/>
  <c r="F63" i="1" s="1"/>
  <c r="F64" i="1" s="1"/>
  <c r="G23" i="1"/>
  <c r="BK46" i="2"/>
  <c r="D63" i="1" l="1"/>
  <c r="D64" i="1" s="1"/>
  <c r="AH46" i="2"/>
  <c r="BL46" i="2"/>
  <c r="BL50" i="2"/>
  <c r="AH50" i="2"/>
  <c r="E59" i="1"/>
  <c r="E48" i="1" s="1"/>
  <c r="G53" i="1"/>
  <c r="AG64" i="2"/>
  <c r="AH63" i="2"/>
  <c r="AH64" i="2" s="1"/>
  <c r="G15" i="1"/>
  <c r="E18" i="1"/>
  <c r="E46" i="1" s="1"/>
  <c r="G27" i="1"/>
  <c r="G44" i="1" s="1"/>
  <c r="I23" i="1"/>
  <c r="I27" i="1" s="1"/>
  <c r="I44" i="1" s="1"/>
  <c r="BL63" i="2" l="1"/>
  <c r="BL64" i="2" s="1"/>
  <c r="I53" i="1"/>
  <c r="I59" i="1" s="1"/>
  <c r="I48" i="1" s="1"/>
  <c r="G59" i="1"/>
  <c r="G48" i="1" s="1"/>
  <c r="I15" i="1"/>
  <c r="I18" i="1" s="1"/>
  <c r="I46" i="1" s="1"/>
  <c r="G18" i="1"/>
  <c r="G46" i="1" s="1"/>
  <c r="E50" i="1"/>
  <c r="E63" i="1"/>
  <c r="E64" i="1" s="1"/>
  <c r="G63" i="1" l="1"/>
  <c r="G64" i="1" s="1"/>
  <c r="G50" i="1"/>
  <c r="I63" i="1"/>
  <c r="I64" i="1" s="1"/>
  <c r="I50" i="1"/>
</calcChain>
</file>

<file path=xl/sharedStrings.xml><?xml version="1.0" encoding="utf-8"?>
<sst xmlns="http://schemas.openxmlformats.org/spreadsheetml/2006/main" count="799" uniqueCount="265">
  <si>
    <t xml:space="preserve">PUGET SOUND ENERGY </t>
  </si>
  <si>
    <t>ELECTRIC STATEMENT OF OPERATING INCOME</t>
  </si>
  <si>
    <t>AND ADJUSTMENTS</t>
  </si>
  <si>
    <t>ACTUAL</t>
  </si>
  <si>
    <t>RESTATED</t>
  </si>
  <si>
    <t>ADJUSTED</t>
  </si>
  <si>
    <t>NET REVENUE</t>
  </si>
  <si>
    <t>AFTER</t>
  </si>
  <si>
    <t>LINE</t>
  </si>
  <si>
    <t>DESCRIPTION</t>
  </si>
  <si>
    <t>RESULTS OF</t>
  </si>
  <si>
    <t xml:space="preserve">RESTATING </t>
  </si>
  <si>
    <t>PROFORMA</t>
  </si>
  <si>
    <t>CHANGE TO</t>
  </si>
  <si>
    <t>RATE</t>
  </si>
  <si>
    <t>NO.</t>
  </si>
  <si>
    <t xml:space="preserve">OPERATIONS </t>
  </si>
  <si>
    <t>ADJUSTMENTS</t>
  </si>
  <si>
    <t>OPERATIONS</t>
  </si>
  <si>
    <t>BASE RATES</t>
  </si>
  <si>
    <t>a</t>
  </si>
  <si>
    <t>b</t>
  </si>
  <si>
    <t>c = a + b</t>
  </si>
  <si>
    <t>d</t>
  </si>
  <si>
    <t>e = c + d</t>
  </si>
  <si>
    <t>f</t>
  </si>
  <si>
    <t>g = e + f</t>
  </si>
  <si>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</si>
  <si>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</si>
  <si>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</si>
  <si>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</si>
  <si>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</si>
  <si>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</si>
  <si>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</si>
  <si>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</si>
  <si>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</si>
  <si>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</si>
  <si>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</si>
  <si>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</si>
  <si>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</si>
  <si>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</si>
  <si>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</si>
  <si>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</si>
  <si>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</si>
  <si>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</si>
  <si>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</si>
  <si>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</si>
  <si>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</si>
  <si>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</si>
  <si>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</si>
  <si>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</si>
  <si>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</si>
  <si>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</si>
  <si>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</si>
  <si>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</si>
  <si>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</si>
  <si>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</si>
  <si>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</si>
  <si>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</si>
  <si>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`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</si>
  <si>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</si>
  <si>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</si>
  <si>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</si>
  <si>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</si>
  <si>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</si>
  <si>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</si>
  <si>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</si>
  <si>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</si>
  <si>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ROR</t>
  </si>
  <si>
    <t>CF</t>
  </si>
  <si>
    <t>Surplus / (Deficiency)</t>
  </si>
  <si>
    <t>Revenue Requirement or (Surplus)</t>
  </si>
  <si>
    <t>COMMON</t>
  </si>
  <si>
    <t>ELECTRIC</t>
  </si>
  <si>
    <t>RESTATING</t>
  </si>
  <si>
    <t>reversing</t>
  </si>
  <si>
    <t>TOTAL</t>
  </si>
  <si>
    <t>REVENUES</t>
  </si>
  <si>
    <t>TEMPERATURE</t>
  </si>
  <si>
    <t>FEDERAL</t>
  </si>
  <si>
    <t>TAX BENEFIT OF</t>
  </si>
  <si>
    <t>PASS-THROUGH</t>
  </si>
  <si>
    <t>INJURIES &amp;</t>
  </si>
  <si>
    <t>BAD</t>
  </si>
  <si>
    <t>INCENTIVE</t>
  </si>
  <si>
    <t xml:space="preserve">EXCISE TAX </t>
  </si>
  <si>
    <t>D&amp;O</t>
  </si>
  <si>
    <t xml:space="preserve">INTEREST ON </t>
  </si>
  <si>
    <t>RATE CASE</t>
  </si>
  <si>
    <t>PENSION</t>
  </si>
  <si>
    <t>PROPERTY AND</t>
  </si>
  <si>
    <t>WAGE &amp;</t>
  </si>
  <si>
    <t>INVESTMENT</t>
  </si>
  <si>
    <t>EMPLOYEE</t>
  </si>
  <si>
    <t>AMA TO EOP</t>
  </si>
  <si>
    <t>ANNUALIZE</t>
  </si>
  <si>
    <t>REMOVE GREEN</t>
  </si>
  <si>
    <t>POWER</t>
  </si>
  <si>
    <t>MONTANA</t>
  </si>
  <si>
    <t>WILD HORSE</t>
  </si>
  <si>
    <t>ASC</t>
  </si>
  <si>
    <t xml:space="preserve">STORM </t>
  </si>
  <si>
    <t>COLSTRIP</t>
  </si>
  <si>
    <t>OPEN</t>
  </si>
  <si>
    <t>PROPERTY &amp;</t>
  </si>
  <si>
    <t>WAGE</t>
  </si>
  <si>
    <t>DEFERRED G/L ON</t>
  </si>
  <si>
    <t>ENVIRON</t>
  </si>
  <si>
    <t>AMI</t>
  </si>
  <si>
    <t>GTZ PLANT</t>
  </si>
  <si>
    <t>CREDIT  CARD</t>
  </si>
  <si>
    <t>REMOVE UNPRO-</t>
  </si>
  <si>
    <t>PUBLIC</t>
  </si>
  <si>
    <t>CONTRACT</t>
  </si>
  <si>
    <t xml:space="preserve">REGULATORY </t>
  </si>
  <si>
    <t>REMOVE</t>
  </si>
  <si>
    <t>HIGH MOLECULAR</t>
  </si>
  <si>
    <t>ENERGY MGMT</t>
  </si>
  <si>
    <t>REMOVE RB-</t>
  </si>
  <si>
    <t>PROFORMING</t>
  </si>
  <si>
    <t>&amp; EXPENSES</t>
  </si>
  <si>
    <t>NORMALIZATION</t>
  </si>
  <si>
    <t>INCOME TAX</t>
  </si>
  <si>
    <t>INTEREST</t>
  </si>
  <si>
    <t>REV &amp; EXP</t>
  </si>
  <si>
    <t>DAMAGES</t>
  </si>
  <si>
    <t>DEBTS</t>
  </si>
  <si>
    <t>PAY</t>
  </si>
  <si>
    <t>&amp; FILING FEE</t>
  </si>
  <si>
    <t>INSURANCE</t>
  </si>
  <si>
    <t>CUST DEPOSITS</t>
  </si>
  <si>
    <t>EXPENSE</t>
  </si>
  <si>
    <t>PLAN</t>
  </si>
  <si>
    <t>LIAB INSURANCE</t>
  </si>
  <si>
    <t>PAYROLL TAX</t>
  </si>
  <si>
    <t xml:space="preserve"> INSURANCE</t>
  </si>
  <si>
    <t>RATE BASE</t>
  </si>
  <si>
    <t>RENT EXP</t>
  </si>
  <si>
    <t>DIRECT RB</t>
  </si>
  <si>
    <t>COSTS</t>
  </si>
  <si>
    <t>TAX</t>
  </si>
  <si>
    <t>SOLAR</t>
  </si>
  <si>
    <t>815</t>
  </si>
  <si>
    <t>DAMAGE</t>
  </si>
  <si>
    <t/>
  </si>
  <si>
    <t>LIABILITY INS</t>
  </si>
  <si>
    <t>INCREASE</t>
  </si>
  <si>
    <t>PROPERTY SALES</t>
  </si>
  <si>
    <t>REMEDIATION</t>
  </si>
  <si>
    <t>&amp; DFRL</t>
  </si>
  <si>
    <t>AMORT</t>
  </si>
  <si>
    <t>TECTED DFIT</t>
  </si>
  <si>
    <t>IMPROVEMENT</t>
  </si>
  <si>
    <t>ESCALATIONS</t>
  </si>
  <si>
    <t>HR TOPS</t>
  </si>
  <si>
    <t>COST</t>
  </si>
  <si>
    <t>ASSETS &amp; LIAB</t>
  </si>
  <si>
    <t>EIM</t>
  </si>
  <si>
    <t>WEIGHT CABLE</t>
  </si>
  <si>
    <t>SYSTEM (EMS)</t>
  </si>
  <si>
    <t>SHUFFLETON</t>
  </si>
  <si>
    <t xml:space="preserve">c 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</si>
  <si>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</si>
  <si>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</si>
  <si>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</si>
  <si>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</si>
  <si>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</si>
  <si>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</si>
  <si>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</si>
  <si>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</si>
  <si>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</si>
  <si>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</si>
  <si>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p </t>
  </si>
  <si>
    <t xml:space="preserve">q </t>
  </si>
  <si>
    <t>r</t>
  </si>
  <si>
    <t>s</t>
  </si>
  <si>
    <t>t</t>
  </si>
  <si>
    <t>u</t>
  </si>
  <si>
    <t>v</t>
  </si>
  <si>
    <t xml:space="preserve">w </t>
  </si>
  <si>
    <t>x</t>
  </si>
  <si>
    <t>y</t>
  </si>
  <si>
    <t>z</t>
  </si>
  <si>
    <t>aa</t>
  </si>
  <si>
    <t>ab</t>
  </si>
  <si>
    <t>ac</t>
  </si>
  <si>
    <t>ab = ∑ b thru aa</t>
  </si>
  <si>
    <t>ac = a + ab</t>
  </si>
  <si>
    <t>ad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</si>
  <si>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</si>
  <si>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</si>
  <si>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</si>
  <si>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</si>
  <si>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</si>
  <si>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</si>
  <si>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</si>
  <si>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</si>
  <si>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</si>
  <si>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</si>
  <si>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</si>
  <si>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</si>
  <si>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</si>
  <si>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</si>
  <si>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</si>
  <si>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</si>
  <si>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</si>
  <si>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</si>
  <si>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</si>
  <si>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</si>
  <si>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</si>
  <si>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</si>
  <si>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</si>
  <si>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</si>
  <si>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</si>
  <si>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bf</t>
  </si>
  <si>
    <t>bg</t>
  </si>
  <si>
    <t>be = ∑ ad thru bd</t>
  </si>
  <si>
    <t>bf = ac + be</t>
  </si>
  <si>
    <t>restating ROR</t>
  </si>
  <si>
    <t>NATURAL GAS STATEMENT OF OPERATING INCOME</t>
  </si>
  <si>
    <t>MUNICIPAL ADDITIONS</t>
  </si>
  <si>
    <t>GAS COSTS:</t>
  </si>
  <si>
    <t>PURCHASED GAS</t>
  </si>
  <si>
    <t xml:space="preserve">  ACCUMULATED DEPRECIATION</t>
  </si>
  <si>
    <t xml:space="preserve">  ACCUMULATED DEFERRED FIT - LIBERALIZED</t>
  </si>
  <si>
    <t xml:space="preserve">  DEPRECIATION AND OTHER LIABILITIES</t>
  </si>
  <si>
    <t>GAS</t>
  </si>
  <si>
    <t>8.01 GP</t>
  </si>
  <si>
    <t>8.02 GP</t>
  </si>
  <si>
    <t>PROFORMA'D</t>
  </si>
  <si>
    <t>CUST</t>
  </si>
  <si>
    <t>PROP &amp; LIAB</t>
  </si>
  <si>
    <t xml:space="preserve">EMPLOYEE </t>
  </si>
  <si>
    <t>TAX BENEFIT</t>
  </si>
  <si>
    <t>DEFERRED G/L</t>
  </si>
  <si>
    <t>SCH. 149</t>
  </si>
  <si>
    <t>DEP INT</t>
  </si>
  <si>
    <t>INS</t>
  </si>
  <si>
    <t>OF INTEREST</t>
  </si>
  <si>
    <t>GTZ</t>
  </si>
  <si>
    <t>HR TOP</t>
  </si>
  <si>
    <t>2018 CRM</t>
  </si>
  <si>
    <t>CRM</t>
  </si>
  <si>
    <t xml:space="preserve">r </t>
  </si>
  <si>
    <t xml:space="preserve">s </t>
  </si>
  <si>
    <t xml:space="preserve">t </t>
  </si>
  <si>
    <t>v = ∑ b through u</t>
  </si>
  <si>
    <t>w = a + v</t>
  </si>
  <si>
    <t>ae</t>
  </si>
  <si>
    <t>as ∑ x thru ar</t>
  </si>
  <si>
    <t>at = w + as</t>
  </si>
  <si>
    <t>moved deferral</t>
  </si>
  <si>
    <t>to other</t>
  </si>
  <si>
    <t>EXH. SEF-19E (BR-01) page 2 of 7</t>
  </si>
  <si>
    <t>EXH. SEF-19E (BR-01) page 3 of 7</t>
  </si>
  <si>
    <t>EXH. SEF-19E (BR-01) page 4 of 7</t>
  </si>
  <si>
    <t>EXH. SEF-19E (BR-01) page 5 of 7</t>
  </si>
  <si>
    <t>EXH. SEF-19E (BR-01) page 6 of 7</t>
  </si>
  <si>
    <t>EXH. SEF-19E (BR-01) page 7 of 7</t>
  </si>
  <si>
    <t>EXH. SEF-19G (BR-01) page 1 of 5</t>
  </si>
  <si>
    <t>EXH. SEF-19E (BR-01) page 1 of 7</t>
  </si>
  <si>
    <t>EXH. SEF-19G (BR-01) page 2 of 5</t>
  </si>
  <si>
    <t>EXH. SEF-19G (BR-01) page 3 of 5</t>
  </si>
  <si>
    <t>EXH. SEF-19G (BR-01) page 5 of 5</t>
  </si>
  <si>
    <t>EXH. SEF-19G (BR-01) page 4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</si>
</sst>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_(&quot;$&quot;* #,##0_);[Red]_(&quot;$&quot;* \(#,##0\);_(&quot;$&quot;* &quot;-&quot;_);_(@_)"/>
    <numFmt numFmtId="168" formatCode="0.00\ &quot;ER&quot;"/>
    <numFmt numFmtId="169" formatCode="0.00\ &quot;EP&quot;"/>
    <numFmt numFmtId="170" formatCode="&quot;$&quot;#,##0.00"/>
    <numFmt numFmtId="171" formatCode="0.00\ &quot;GR&quot;"/>
    <numFmt numFmtId="172" formatCode="0.00\ &quot;GP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FF66CC"/>
      <name val="Times New Roman"/>
      <family val="1"/>
    </font>
    <font>
      <sz val="10"/>
      <color rgb="FF008000"/>
      <name val="Times New Roman"/>
      <family val="1"/>
    </font>
    <font>
      <sz val="10"/>
      <color rgb="FF0000FF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indexed="8"/>
      <name val="Times New Roman"/>
      <family val="1"/>
    </font>
    <font>
      <sz val="11"/>
      <color rgb="FF0000FF"/>
      <name val="Times New Roman"/>
      <family val="1"/>
    </font>
    <font>
      <b/>
      <sz val="11"/>
      <name val="Times New Roman"/>
      <family val="1"/>
    </font>
    <font>
      <b/>
      <i/>
      <sz val="10"/>
      <color rgb="FF0000FF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b/>
      <sz val="11"/>
      <color rgb="FFFF0000"/>
      <name val="Times New Roman"/>
      <family val="1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 applyProtection="1">
      <protection locked="0"/>
    </xf>
    <xf numFmtId="164" fontId="2" fillId="0" borderId="3" xfId="0" applyNumberFormat="1" applyFont="1" applyFill="1" applyBorder="1"/>
    <xf numFmtId="165" fontId="4" fillId="0" borderId="0" xfId="0" applyNumberFormat="1" applyFont="1" applyFill="1" applyAlignment="1"/>
    <xf numFmtId="165" fontId="2" fillId="0" borderId="0" xfId="0" applyNumberFormat="1" applyFont="1" applyBorder="1"/>
    <xf numFmtId="0" fontId="4" fillId="0" borderId="0" xfId="0" applyNumberFormat="1" applyFont="1" applyFill="1" applyAlignment="1"/>
    <xf numFmtId="42" fontId="2" fillId="0" borderId="0" xfId="0" applyNumberFormat="1" applyFont="1" applyFill="1"/>
    <xf numFmtId="164" fontId="2" fillId="0" borderId="0" xfId="0" applyNumberFormat="1" applyFont="1" applyFill="1"/>
    <xf numFmtId="164" fontId="4" fillId="0" borderId="0" xfId="0" applyNumberFormat="1" applyFont="1" applyFill="1" applyAlignment="1" applyProtection="1">
      <protection locked="0"/>
    </xf>
    <xf numFmtId="166" fontId="2" fillId="0" borderId="3" xfId="0" applyNumberFormat="1" applyFont="1" applyFill="1" applyBorder="1"/>
    <xf numFmtId="0" fontId="4" fillId="0" borderId="0" xfId="0" quotePrefix="1" applyNumberFormat="1" applyFont="1" applyFill="1" applyAlignment="1">
      <alignment horizontal="left"/>
    </xf>
    <xf numFmtId="0" fontId="2" fillId="0" borderId="3" xfId="0" applyFont="1" applyFill="1" applyBorder="1"/>
    <xf numFmtId="42" fontId="4" fillId="0" borderId="4" xfId="0" applyNumberFormat="1" applyFont="1" applyFill="1" applyBorder="1" applyAlignment="1" applyProtection="1">
      <protection locked="0"/>
    </xf>
    <xf numFmtId="164" fontId="2" fillId="0" borderId="0" xfId="0" applyNumberFormat="1" applyFont="1"/>
    <xf numFmtId="10" fontId="4" fillId="0" borderId="0" xfId="0" applyNumberFormat="1" applyFont="1" applyFill="1" applyAlignment="1" applyProtection="1">
      <protection locked="0"/>
    </xf>
    <xf numFmtId="167" fontId="4" fillId="0" borderId="0" xfId="0" applyNumberFormat="1" applyFont="1" applyFill="1" applyAlignment="1" applyProtection="1">
      <alignment horizontal="left"/>
    </xf>
    <xf numFmtId="165" fontId="2" fillId="0" borderId="5" xfId="0" applyNumberFormat="1" applyFont="1" applyFill="1" applyBorder="1"/>
    <xf numFmtId="0" fontId="3" fillId="0" borderId="0" xfId="0" applyFont="1"/>
    <xf numFmtId="0" fontId="5" fillId="0" borderId="0" xfId="0" applyFont="1"/>
    <xf numFmtId="41" fontId="4" fillId="0" borderId="0" xfId="0" applyNumberFormat="1" applyFont="1" applyFill="1" applyBorder="1" applyAlignme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41" fontId="7" fillId="0" borderId="0" xfId="0" applyNumberFormat="1" applyFont="1"/>
    <xf numFmtId="0" fontId="7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/>
    <xf numFmtId="0" fontId="12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8" fontId="13" fillId="0" borderId="0" xfId="0" applyNumberFormat="1" applyFont="1" applyFill="1" applyAlignment="1" applyProtection="1">
      <alignment horizontal="center"/>
      <protection locked="0"/>
    </xf>
    <xf numFmtId="0" fontId="13" fillId="2" borderId="6" xfId="0" applyNumberFormat="1" applyFont="1" applyFill="1" applyBorder="1" applyAlignment="1">
      <alignment horizontal="center"/>
    </xf>
    <xf numFmtId="169" fontId="13" fillId="0" borderId="0" xfId="0" applyNumberFormat="1" applyFont="1" applyFill="1" applyAlignment="1" applyProtection="1">
      <alignment horizontal="center"/>
      <protection locked="0"/>
    </xf>
    <xf numFmtId="0" fontId="12" fillId="2" borderId="6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center"/>
      <protection locked="0"/>
    </xf>
    <xf numFmtId="0" fontId="12" fillId="2" borderId="7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 wrapText="1"/>
    </xf>
    <xf numFmtId="0" fontId="12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4" fillId="2" borderId="7" xfId="0" applyFont="1" applyFill="1" applyBorder="1"/>
    <xf numFmtId="42" fontId="4" fillId="2" borderId="7" xfId="0" applyNumberFormat="1" applyFont="1" applyFill="1" applyBorder="1" applyAlignment="1" applyProtection="1">
      <protection locked="0"/>
    </xf>
    <xf numFmtId="41" fontId="4" fillId="2" borderId="7" xfId="0" applyNumberFormat="1" applyFont="1" applyFill="1" applyBorder="1" applyAlignment="1" applyProtection="1">
      <protection locked="0"/>
    </xf>
    <xf numFmtId="164" fontId="4" fillId="0" borderId="3" xfId="0" applyNumberFormat="1" applyFont="1" applyFill="1" applyBorder="1"/>
    <xf numFmtId="164" fontId="4" fillId="2" borderId="6" xfId="0" applyNumberFormat="1" applyFont="1" applyFill="1" applyBorder="1"/>
    <xf numFmtId="165" fontId="4" fillId="0" borderId="0" xfId="0" applyNumberFormat="1" applyFont="1" applyBorder="1"/>
    <xf numFmtId="42" fontId="4" fillId="0" borderId="0" xfId="0" applyNumberFormat="1" applyFont="1" applyFill="1"/>
    <xf numFmtId="42" fontId="4" fillId="2" borderId="7" xfId="0" applyNumberFormat="1" applyFont="1" applyFill="1" applyBorder="1"/>
    <xf numFmtId="166" fontId="4" fillId="0" borderId="3" xfId="0" applyNumberFormat="1" applyFont="1" applyFill="1" applyBorder="1"/>
    <xf numFmtId="166" fontId="4" fillId="2" borderId="6" xfId="0" applyNumberFormat="1" applyFont="1" applyFill="1" applyBorder="1"/>
    <xf numFmtId="41" fontId="4" fillId="0" borderId="0" xfId="0" applyNumberFormat="1" applyFont="1" applyFill="1"/>
    <xf numFmtId="164" fontId="4" fillId="0" borderId="0" xfId="0" applyNumberFormat="1" applyFont="1"/>
    <xf numFmtId="42" fontId="4" fillId="0" borderId="0" xfId="0" applyNumberFormat="1" applyFont="1"/>
    <xf numFmtId="41" fontId="4" fillId="0" borderId="0" xfId="0" applyNumberFormat="1" applyFont="1"/>
    <xf numFmtId="0" fontId="4" fillId="0" borderId="3" xfId="0" applyFont="1" applyFill="1" applyBorder="1"/>
    <xf numFmtId="0" fontId="4" fillId="2" borderId="6" xfId="0" applyFont="1" applyFill="1" applyBorder="1"/>
    <xf numFmtId="42" fontId="4" fillId="2" borderId="8" xfId="0" applyNumberFormat="1" applyFont="1" applyFill="1" applyBorder="1" applyAlignment="1" applyProtection="1">
      <protection locked="0"/>
    </xf>
    <xf numFmtId="10" fontId="4" fillId="2" borderId="7" xfId="0" applyNumberFormat="1" applyFont="1" applyFill="1" applyBorder="1" applyAlignment="1" applyProtection="1">
      <protection locked="0"/>
    </xf>
    <xf numFmtId="43" fontId="4" fillId="0" borderId="0" xfId="0" applyNumberFormat="1" applyFont="1" applyFill="1"/>
    <xf numFmtId="170" fontId="4" fillId="2" borderId="7" xfId="0" applyNumberFormat="1" applyFont="1" applyFill="1" applyBorder="1" applyAlignment="1" applyProtection="1">
      <protection locked="0"/>
    </xf>
    <xf numFmtId="42" fontId="4" fillId="0" borderId="5" xfId="0" applyNumberFormat="1" applyFont="1" applyFill="1" applyBorder="1"/>
    <xf numFmtId="42" fontId="4" fillId="2" borderId="9" xfId="0" applyNumberFormat="1" applyFont="1" applyFill="1" applyBorder="1"/>
    <xf numFmtId="0" fontId="7" fillId="2" borderId="7" xfId="0" applyFont="1" applyFill="1" applyBorder="1"/>
    <xf numFmtId="0" fontId="14" fillId="0" borderId="0" xfId="0" applyFont="1"/>
    <xf numFmtId="0" fontId="14" fillId="2" borderId="7" xfId="0" applyFont="1" applyFill="1" applyBorder="1"/>
    <xf numFmtId="164" fontId="7" fillId="0" borderId="0" xfId="0" applyNumberFormat="1" applyFont="1"/>
    <xf numFmtId="164" fontId="7" fillId="0" borderId="0" xfId="0" applyNumberFormat="1" applyFont="1" applyFill="1"/>
    <xf numFmtId="167" fontId="15" fillId="0" borderId="0" xfId="0" applyNumberFormat="1" applyFont="1" applyFill="1" applyBorder="1" applyAlignment="1" applyProtection="1">
      <alignment horizontal="left"/>
    </xf>
    <xf numFmtId="42" fontId="7" fillId="0" borderId="0" xfId="0" applyNumberFormat="1" applyFont="1" applyFill="1" applyBorder="1"/>
    <xf numFmtId="0" fontId="7" fillId="0" borderId="0" xfId="0" applyFont="1" applyBorder="1"/>
    <xf numFmtId="0" fontId="7" fillId="0" borderId="0" xfId="0" applyFont="1" applyFill="1" applyBorder="1"/>
    <xf numFmtId="41" fontId="7" fillId="0" borderId="0" xfId="0" applyNumberFormat="1" applyFont="1" applyFill="1" applyBorder="1"/>
    <xf numFmtId="0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 applyProtection="1">
      <protection locked="0"/>
    </xf>
    <xf numFmtId="0" fontId="18" fillId="0" borderId="0" xfId="0" applyFont="1"/>
    <xf numFmtId="170" fontId="4" fillId="0" borderId="0" xfId="1" applyNumberFormat="1" applyFont="1" applyFill="1"/>
    <xf numFmtId="10" fontId="14" fillId="0" borderId="10" xfId="0" applyNumberFormat="1" applyFont="1" applyFill="1" applyBorder="1"/>
    <xf numFmtId="0" fontId="8" fillId="0" borderId="0" xfId="0" applyFont="1"/>
    <xf numFmtId="0" fontId="19" fillId="0" borderId="0" xfId="0" applyFont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42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165" fontId="2" fillId="0" borderId="0" xfId="0" applyNumberFormat="1" applyFont="1" applyFill="1" applyAlignment="1"/>
    <xf numFmtId="0" fontId="2" fillId="0" borderId="0" xfId="0" applyNumberFormat="1" applyFont="1" applyFill="1" applyAlignment="1"/>
    <xf numFmtId="164" fontId="2" fillId="0" borderId="0" xfId="0" applyNumberFormat="1" applyFont="1" applyFill="1" applyAlignment="1" applyProtection="1">
      <protection locked="0"/>
    </xf>
    <xf numFmtId="0" fontId="2" fillId="0" borderId="0" xfId="0" quotePrefix="1" applyNumberFormat="1" applyFont="1" applyFill="1" applyAlignment="1">
      <alignment horizontal="left"/>
    </xf>
    <xf numFmtId="42" fontId="2" fillId="0" borderId="4" xfId="0" applyNumberFormat="1" applyFont="1" applyFill="1" applyBorder="1" applyAlignment="1" applyProtection="1">
      <protection locked="0"/>
    </xf>
    <xf numFmtId="10" fontId="2" fillId="0" borderId="0" xfId="0" applyNumberFormat="1" applyFont="1" applyFill="1" applyAlignment="1" applyProtection="1">
      <protection locked="0"/>
    </xf>
    <xf numFmtId="167" fontId="2" fillId="0" borderId="0" xfId="0" applyNumberFormat="1" applyFont="1" applyFill="1" applyAlignment="1" applyProtection="1">
      <alignment horizontal="left"/>
    </xf>
    <xf numFmtId="42" fontId="2" fillId="0" borderId="5" xfId="0" applyNumberFormat="1" applyFont="1" applyFill="1" applyBorder="1"/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 applyBorder="1"/>
    <xf numFmtId="0" fontId="8" fillId="0" borderId="0" xfId="0" applyFont="1" applyFill="1"/>
    <xf numFmtId="0" fontId="8" fillId="0" borderId="1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71" fontId="23" fillId="0" borderId="0" xfId="0" applyNumberFormat="1" applyFont="1" applyFill="1" applyAlignment="1" applyProtection="1">
      <alignment horizontal="center"/>
      <protection locked="0"/>
    </xf>
    <xf numFmtId="0" fontId="23" fillId="0" borderId="6" xfId="0" applyNumberFormat="1" applyFont="1" applyFill="1" applyBorder="1" applyAlignment="1">
      <alignment horizontal="center"/>
    </xf>
    <xf numFmtId="172" fontId="23" fillId="0" borderId="0" xfId="0" applyNumberFormat="1" applyFont="1" applyFill="1" applyAlignment="1" applyProtection="1">
      <alignment horizontal="center"/>
      <protection locked="0"/>
    </xf>
    <xf numFmtId="0" fontId="17" fillId="0" borderId="6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 applyProtection="1">
      <alignment horizontal="center"/>
      <protection locked="0"/>
    </xf>
    <xf numFmtId="0" fontId="17" fillId="0" borderId="7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 wrapText="1"/>
    </xf>
    <xf numFmtId="0" fontId="17" fillId="0" borderId="0" xfId="0" quotePrefix="1" applyNumberFormat="1" applyFont="1" applyFill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" fillId="0" borderId="7" xfId="0" applyFont="1" applyFill="1" applyBorder="1"/>
    <xf numFmtId="42" fontId="2" fillId="0" borderId="7" xfId="0" applyNumberFormat="1" applyFont="1" applyFill="1" applyBorder="1" applyAlignment="1" applyProtection="1">
      <protection locked="0"/>
    </xf>
    <xf numFmtId="41" fontId="2" fillId="0" borderId="7" xfId="0" applyNumberFormat="1" applyFont="1" applyFill="1" applyBorder="1" applyAlignment="1" applyProtection="1">
      <protection locked="0"/>
    </xf>
    <xf numFmtId="164" fontId="2" fillId="0" borderId="6" xfId="0" applyNumberFormat="1" applyFont="1" applyFill="1" applyBorder="1"/>
    <xf numFmtId="165" fontId="2" fillId="0" borderId="0" xfId="0" applyNumberFormat="1" applyFont="1" applyFill="1" applyBorder="1"/>
    <xf numFmtId="42" fontId="2" fillId="0" borderId="7" xfId="0" applyNumberFormat="1" applyFont="1" applyFill="1" applyBorder="1"/>
    <xf numFmtId="166" fontId="2" fillId="0" borderId="6" xfId="0" applyNumberFormat="1" applyFont="1" applyFill="1" applyBorder="1"/>
    <xf numFmtId="41" fontId="2" fillId="0" borderId="0" xfId="0" applyNumberFormat="1" applyFont="1" applyFill="1"/>
    <xf numFmtId="0" fontId="2" fillId="0" borderId="6" xfId="0" applyFont="1" applyFill="1" applyBorder="1"/>
    <xf numFmtId="9" fontId="2" fillId="0" borderId="3" xfId="0" applyNumberFormat="1" applyFont="1" applyFill="1" applyBorder="1"/>
    <xf numFmtId="42" fontId="2" fillId="0" borderId="8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0" fontId="2" fillId="0" borderId="7" xfId="0" applyNumberFormat="1" applyFont="1" applyFill="1" applyBorder="1" applyAlignment="1" applyProtection="1">
      <protection locked="0"/>
    </xf>
    <xf numFmtId="44" fontId="2" fillId="0" borderId="0" xfId="2" applyFont="1" applyFill="1"/>
    <xf numFmtId="44" fontId="2" fillId="0" borderId="7" xfId="2" applyFont="1" applyFill="1" applyBorder="1" applyAlignment="1" applyProtection="1">
      <protection locked="0"/>
    </xf>
    <xf numFmtId="42" fontId="2" fillId="0" borderId="5" xfId="0" applyNumberFormat="1" applyFont="1" applyFill="1" applyBorder="1" applyAlignment="1" applyProtection="1">
      <protection locked="0"/>
    </xf>
    <xf numFmtId="42" fontId="2" fillId="0" borderId="9" xfId="0" applyNumberFormat="1" applyFont="1" applyFill="1" applyBorder="1" applyAlignment="1" applyProtection="1">
      <protection locked="0"/>
    </xf>
    <xf numFmtId="165" fontId="19" fillId="0" borderId="0" xfId="0" applyNumberFormat="1" applyFont="1" applyFill="1"/>
    <xf numFmtId="0" fontId="19" fillId="0" borderId="12" xfId="0" applyFont="1" applyFill="1" applyBorder="1"/>
    <xf numFmtId="0" fontId="19" fillId="0" borderId="7" xfId="0" applyFont="1" applyFill="1" applyBorder="1"/>
    <xf numFmtId="0" fontId="20" fillId="0" borderId="0" xfId="0" applyFont="1" applyFill="1"/>
    <xf numFmtId="0" fontId="20" fillId="0" borderId="0" xfId="0" applyFont="1" applyFill="1" applyBorder="1"/>
    <xf numFmtId="0" fontId="20" fillId="0" borderId="12" xfId="0" applyFont="1" applyFill="1" applyBorder="1"/>
    <xf numFmtId="0" fontId="20" fillId="0" borderId="7" xfId="0" applyFont="1" applyFill="1" applyBorder="1"/>
    <xf numFmtId="164" fontId="19" fillId="0" borderId="0" xfId="0" applyNumberFormat="1" applyFont="1" applyFill="1"/>
    <xf numFmtId="10" fontId="2" fillId="0" borderId="0" xfId="0" applyNumberFormat="1" applyFont="1" applyFill="1"/>
    <xf numFmtId="41" fontId="2" fillId="0" borderId="0" xfId="0" applyNumberFormat="1" applyFont="1" applyFill="1" applyAlignment="1" applyProtection="1">
      <alignment horizontal="center"/>
      <protection locked="0"/>
    </xf>
    <xf numFmtId="10" fontId="3" fillId="0" borderId="0" xfId="0" applyNumberFormat="1" applyFont="1"/>
    <xf numFmtId="164" fontId="4" fillId="0" borderId="0" xfId="0" applyNumberFormat="1" applyFont="1" applyFill="1"/>
    <xf numFmtId="10" fontId="3" fillId="2" borderId="7" xfId="0" applyNumberFormat="1" applyFont="1" applyFill="1" applyBorder="1"/>
    <xf numFmtId="164" fontId="4" fillId="2" borderId="11" xfId="0" applyNumberFormat="1" applyFont="1" applyFill="1" applyBorder="1"/>
    <xf numFmtId="10" fontId="2" fillId="0" borderId="0" xfId="0" applyNumberFormat="1" applyFont="1"/>
    <xf numFmtId="10" fontId="2" fillId="0" borderId="10" xfId="0" applyNumberFormat="1" applyFont="1" applyFill="1" applyBorder="1"/>
    <xf numFmtId="10" fontId="2" fillId="0" borderId="0" xfId="0" applyNumberFormat="1" applyFont="1" applyFill="1" applyBorder="1"/>
    <xf numFmtId="10" fontId="2" fillId="0" borderId="12" xfId="0" applyNumberFormat="1" applyFont="1" applyFill="1" applyBorder="1"/>
    <xf numFmtId="10" fontId="2" fillId="0" borderId="7" xfId="0" applyNumberFormat="1" applyFont="1" applyFill="1" applyBorder="1"/>
    <xf numFmtId="41" fontId="2" fillId="0" borderId="0" xfId="0" applyNumberFormat="1" applyFont="1" applyFill="1" applyBorder="1" applyAlignment="1" applyProtection="1">
      <protection locked="0"/>
    </xf>
    <xf numFmtId="16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11" xfId="0" applyNumberFormat="1" applyFont="1" applyFill="1" applyBorder="1"/>
    <xf numFmtId="0" fontId="24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Exhibits%20and%20Workpapers/190529-30-PSE-WP-SEF-18.00E-ELECTRIC-MODEL-REBUTTAL-19GRC-01-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SEF-18.00G-GAS-MODE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NEW-PSE-WP-SJK-3.01E-3.01G-IncomeState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admin n tracking==&gt;"/>
      <sheetName val="Named Ranges E"/>
      <sheetName val="Track diff for Impacts"/>
    </sheetNames>
    <sheetDataSet>
      <sheetData sheetId="0" refreshError="1"/>
      <sheetData sheetId="1" refreshError="1"/>
      <sheetData sheetId="2" refreshError="1">
        <row r="12">
          <cell r="M12">
            <v>8.4790000000000004E-3</v>
          </cell>
        </row>
        <row r="13">
          <cell r="C13">
            <v>7.4800000000000005E-2</v>
          </cell>
          <cell r="M13">
            <v>2E-3</v>
          </cell>
        </row>
        <row r="14">
          <cell r="M14">
            <v>3.8406000000000003E-2</v>
          </cell>
        </row>
        <row r="19">
          <cell r="M19">
            <v>0.19973399999999999</v>
          </cell>
        </row>
        <row r="20">
          <cell r="M20">
            <v>0.75138099999999997</v>
          </cell>
        </row>
        <row r="21">
          <cell r="C21">
            <v>117638604</v>
          </cell>
        </row>
      </sheetData>
      <sheetData sheetId="3">
        <row r="46">
          <cell r="G46">
            <v>318222717.83972788</v>
          </cell>
        </row>
      </sheetData>
      <sheetData sheetId="4" refreshError="1"/>
      <sheetData sheetId="5" refreshError="1"/>
      <sheetData sheetId="6">
        <row r="14">
          <cell r="V14">
            <v>96903246.731522843</v>
          </cell>
          <cell r="BR14">
            <v>14061.997781991959</v>
          </cell>
          <cell r="BT14">
            <v>-14061.997781991959</v>
          </cell>
          <cell r="CH14">
            <v>803909.33835699933</v>
          </cell>
          <cell r="EL14">
            <v>326078876.75844002</v>
          </cell>
          <cell r="ET14">
            <v>4433557.5553027987</v>
          </cell>
          <cell r="HP14">
            <v>159208.47999999952</v>
          </cell>
        </row>
        <row r="15">
          <cell r="V15">
            <v>-81967593.284695342</v>
          </cell>
          <cell r="AL15">
            <v>-101866388.838</v>
          </cell>
          <cell r="BB15">
            <v>-383738.93548899889</v>
          </cell>
          <cell r="BJ15">
            <v>-12929.322150284017</v>
          </cell>
          <cell r="BR15">
            <v>-104992.07986000087</v>
          </cell>
          <cell r="BT15">
            <v>104992.07986000087</v>
          </cell>
          <cell r="CX15">
            <v>2184999.0024255933</v>
          </cell>
          <cell r="DN15">
            <v>6341.1377968182787</v>
          </cell>
          <cell r="DP15">
            <v>245950.53762489464</v>
          </cell>
          <cell r="EL15">
            <v>-143742277.5314436</v>
          </cell>
          <cell r="ET15">
            <v>1164685.5287284553</v>
          </cell>
          <cell r="FL15">
            <v>152047.66032121028</v>
          </cell>
          <cell r="GR15">
            <v>-604216.168725</v>
          </cell>
          <cell r="HH15">
            <v>13639436.15</v>
          </cell>
          <cell r="HP15">
            <v>1377954.2199999988</v>
          </cell>
        </row>
        <row r="16">
          <cell r="AL16">
            <v>-62179769</v>
          </cell>
          <cell r="AT16">
            <v>-84300.474512874614</v>
          </cell>
          <cell r="BJ16">
            <v>-43337.161375397118</v>
          </cell>
          <cell r="BZ16">
            <v>-6710.549906840708</v>
          </cell>
          <cell r="DF16">
            <v>-405001.75899837748</v>
          </cell>
          <cell r="DH16">
            <v>560237.97633404168</v>
          </cell>
          <cell r="DN16">
            <v>7381.9615589678288</v>
          </cell>
          <cell r="DP16">
            <v>691614.88958714157</v>
          </cell>
          <cell r="EL16">
            <v>-12697238.698333323</v>
          </cell>
          <cell r="ET16">
            <v>-3949.5400000102818</v>
          </cell>
          <cell r="FS16">
            <v>24644867.610000003</v>
          </cell>
          <cell r="GJ16">
            <v>21484686.755701002</v>
          </cell>
          <cell r="GZ16">
            <v>4503186.1200000085</v>
          </cell>
          <cell r="HH16">
            <v>-671553.6085628313</v>
          </cell>
          <cell r="HP16">
            <v>146042.08000000007</v>
          </cell>
          <cell r="HX16">
            <v>6817570</v>
          </cell>
          <cell r="ID16">
            <v>-227315.75601419382</v>
          </cell>
        </row>
        <row r="17">
          <cell r="AL17">
            <v>-85339739.170000002</v>
          </cell>
          <cell r="BJ17">
            <v>-18706.718945487402</v>
          </cell>
          <cell r="CX17">
            <v>-458849.79050937446</v>
          </cell>
          <cell r="DN17">
            <v>6417.9413588624448</v>
          </cell>
          <cell r="DP17">
            <v>329177.9771651458</v>
          </cell>
          <cell r="EL17">
            <v>22974386.588703156</v>
          </cell>
          <cell r="ET17">
            <v>15723192.257837974</v>
          </cell>
          <cell r="FD17">
            <v>-3533963.9933333327</v>
          </cell>
          <cell r="FS17">
            <v>-2140347.6892875</v>
          </cell>
          <cell r="FZ17">
            <v>690967.97</v>
          </cell>
          <cell r="GA17">
            <v>0</v>
          </cell>
          <cell r="GJ17">
            <v>-8848582.893215416</v>
          </cell>
          <cell r="HH17">
            <v>-112579.20210952556</v>
          </cell>
          <cell r="HP17">
            <v>1258.4533669999946</v>
          </cell>
          <cell r="HX17">
            <v>-965822.41666666651</v>
          </cell>
          <cell r="ID17">
            <v>15910.281133077566</v>
          </cell>
        </row>
        <row r="18">
          <cell r="AL18">
            <v>-16204.59</v>
          </cell>
          <cell r="BB18">
            <v>80585.176452689804</v>
          </cell>
          <cell r="BJ18">
            <v>-56877.492170206737</v>
          </cell>
          <cell r="CB18">
            <v>6710.549906840708</v>
          </cell>
          <cell r="DF18">
            <v>85050.369389659259</v>
          </cell>
          <cell r="DH18">
            <v>-117649.97503014863</v>
          </cell>
          <cell r="DN18">
            <v>5812.8265940360725</v>
          </cell>
          <cell r="DP18">
            <v>869408.50621556863</v>
          </cell>
          <cell r="EL18">
            <v>0</v>
          </cell>
          <cell r="FL18">
            <v>-31930.008667454156</v>
          </cell>
          <cell r="FS18">
            <v>-1701440.8697030814</v>
          </cell>
          <cell r="GJ18">
            <v>-71544.914168613555</v>
          </cell>
          <cell r="HX18">
            <v>-370698.04012167035</v>
          </cell>
        </row>
        <row r="19">
          <cell r="AL19">
            <v>-17990501.364999998</v>
          </cell>
          <cell r="AT19">
            <v>17703.099647703668</v>
          </cell>
          <cell r="BJ19">
            <v>-22040.633999859798</v>
          </cell>
          <cell r="BR19">
            <v>19095.317236382514</v>
          </cell>
          <cell r="BT19">
            <v>-19095.31723638187</v>
          </cell>
          <cell r="DN19">
            <v>3681.0816675275564</v>
          </cell>
          <cell r="DP19">
            <v>344111.48429154046</v>
          </cell>
          <cell r="EL19">
            <v>-1867515.9642250985</v>
          </cell>
          <cell r="ET19">
            <v>101174.50841197651</v>
          </cell>
          <cell r="FD19">
            <v>742132.43859999988</v>
          </cell>
          <cell r="GR19">
            <v>126885.39543224999</v>
          </cell>
          <cell r="GY19">
            <v>-9006372.2399999984</v>
          </cell>
        </row>
        <row r="20">
          <cell r="N20">
            <v>44745.039640000003</v>
          </cell>
          <cell r="P20">
            <v>77234.753134000115</v>
          </cell>
          <cell r="AL20">
            <v>81156080.872999996</v>
          </cell>
          <cell r="BJ20">
            <v>-2671.3619101948861</v>
          </cell>
          <cell r="BZ20">
            <v>1409.2154804365487</v>
          </cell>
          <cell r="CB20">
            <v>-1409.2154804365487</v>
          </cell>
          <cell r="CP20">
            <v>628553.90760300006</v>
          </cell>
          <cell r="DN20">
            <v>1148.8034008136019</v>
          </cell>
          <cell r="DP20">
            <v>49352.248514340259</v>
          </cell>
          <cell r="ET20">
            <v>-19985.020000000019</v>
          </cell>
          <cell r="HP20">
            <v>-353737.27900707163</v>
          </cell>
        </row>
        <row r="21">
          <cell r="F21">
            <v>114.23000000000138</v>
          </cell>
          <cell r="N21">
            <v>10554.32</v>
          </cell>
          <cell r="P21">
            <v>18217.891999999993</v>
          </cell>
          <cell r="AD21">
            <v>-33152988.38277762</v>
          </cell>
          <cell r="AF21">
            <v>390109.21111976978</v>
          </cell>
          <cell r="AL21">
            <v>657452.02800000005</v>
          </cell>
          <cell r="BJ21">
            <v>-937.00303102826001</v>
          </cell>
          <cell r="DN21">
            <v>482.71913067682181</v>
          </cell>
          <cell r="DP21">
            <v>18506.630847630557</v>
          </cell>
          <cell r="ED21">
            <v>30190.192556923255</v>
          </cell>
          <cell r="EF21">
            <v>874996.06141313724</v>
          </cell>
          <cell r="FS21">
            <v>11304151.202868855</v>
          </cell>
        </row>
        <row r="22">
          <cell r="N22">
            <v>202674.60696</v>
          </cell>
          <cell r="P22">
            <v>349838.18007599935</v>
          </cell>
          <cell r="AL22">
            <v>-544146.44999999995</v>
          </cell>
          <cell r="BJ22">
            <v>-56643.756348991301</v>
          </cell>
          <cell r="CP22">
            <v>-131996.32059662999</v>
          </cell>
          <cell r="DN22">
            <v>27562.31451934576</v>
          </cell>
          <cell r="DP22">
            <v>1071660.7177337781</v>
          </cell>
          <cell r="FS22">
            <v>-1884025.2004781428</v>
          </cell>
          <cell r="FZ22">
            <v>167598.16</v>
          </cell>
          <cell r="GA22">
            <v>0</v>
          </cell>
          <cell r="GB22">
            <v>0</v>
          </cell>
          <cell r="GJ22">
            <v>20222349.290381495</v>
          </cell>
        </row>
        <row r="23">
          <cell r="F23">
            <v>41300096.629803978</v>
          </cell>
          <cell r="H23">
            <v>-17806218.48</v>
          </cell>
          <cell r="AL23">
            <v>-16403352.696571918</v>
          </cell>
          <cell r="ED23">
            <v>-6339.9404369538834</v>
          </cell>
          <cell r="EF23">
            <v>-183749.17289675883</v>
          </cell>
          <cell r="FS23">
            <v>-1978226.4605020492</v>
          </cell>
          <cell r="GI23">
            <v>-3370391.5483969157</v>
          </cell>
        </row>
        <row r="24">
          <cell r="AL24">
            <v>15601474.800000001</v>
          </cell>
          <cell r="GJ24">
            <v>-3538911.1258167643</v>
          </cell>
          <cell r="HH24">
            <v>375013.99657122983</v>
          </cell>
          <cell r="HX24">
            <v>681757.00000000012</v>
          </cell>
        </row>
        <row r="25">
          <cell r="AL25">
            <v>-4470609.87</v>
          </cell>
          <cell r="BJ25">
            <v>-18951.694391689729</v>
          </cell>
          <cell r="DN25">
            <v>19412.258474519269</v>
          </cell>
          <cell r="DP25">
            <v>182188.09454757578</v>
          </cell>
          <cell r="ET25">
            <v>-4493721.8109590504</v>
          </cell>
        </row>
        <row r="26">
          <cell r="AL26">
            <v>684145.61</v>
          </cell>
          <cell r="HH26">
            <v>-78752.939279958257</v>
          </cell>
        </row>
        <row r="27">
          <cell r="N27">
            <v>1054029.0670139999</v>
          </cell>
          <cell r="P27">
            <v>1819367.5867059231</v>
          </cell>
          <cell r="AL27">
            <v>1234.01</v>
          </cell>
        </row>
        <row r="28">
          <cell r="BJ28">
            <v>48949.980307859136</v>
          </cell>
          <cell r="DV28">
            <v>16653.918911919929</v>
          </cell>
          <cell r="DX28">
            <v>263515.60003291816</v>
          </cell>
        </row>
        <row r="29">
          <cell r="DN29">
            <v>-16430.619345331426</v>
          </cell>
          <cell r="DP29">
            <v>-798413.9281708037</v>
          </cell>
          <cell r="FS29">
            <v>1355467.7185500001</v>
          </cell>
          <cell r="FZ29">
            <v>-431510.05374770041</v>
          </cell>
          <cell r="GB29">
            <v>-499429.07517434994</v>
          </cell>
          <cell r="HX29">
            <v>-143168.97000000003</v>
          </cell>
        </row>
        <row r="30">
          <cell r="N30">
            <v>3019</v>
          </cell>
          <cell r="P30">
            <v>0</v>
          </cell>
          <cell r="ET30">
            <v>-21398675.290281195</v>
          </cell>
          <cell r="FS30">
            <v>-66474.208822265355</v>
          </cell>
          <cell r="GJ30">
            <v>5248913.9956294717</v>
          </cell>
        </row>
        <row r="31">
          <cell r="F31">
            <v>2744403.99</v>
          </cell>
          <cell r="H31">
            <v>-16381468.550000004</v>
          </cell>
          <cell r="N31">
            <v>5274141</v>
          </cell>
          <cell r="P31">
            <v>9108946</v>
          </cell>
          <cell r="AL31">
            <v>-1605619.9023454485</v>
          </cell>
          <cell r="ET31">
            <v>4493721.8109590504</v>
          </cell>
          <cell r="FS31">
            <v>1100394.6870659131</v>
          </cell>
          <cell r="FZ31">
            <v>90617.111287017076</v>
          </cell>
          <cell r="GB31">
            <v>104880.10578661348</v>
          </cell>
          <cell r="GJ31">
            <v>6740783.0967938304</v>
          </cell>
        </row>
        <row r="32">
          <cell r="AL32">
            <v>-378728.60062400007</v>
          </cell>
          <cell r="DV32">
            <v>-3497.3229715031848</v>
          </cell>
          <cell r="DX32">
            <v>-55338.276006912813</v>
          </cell>
          <cell r="FS32">
            <v>3768050.4009562861</v>
          </cell>
          <cell r="GJ32">
            <v>293888.85166787688</v>
          </cell>
        </row>
        <row r="33">
          <cell r="AL33">
            <v>-7272725.317782674</v>
          </cell>
        </row>
        <row r="37">
          <cell r="AL37">
            <v>-97087902.950000003</v>
          </cell>
          <cell r="FS37">
            <v>-1293062.105527486</v>
          </cell>
          <cell r="GJ37">
            <v>-2579553.0482591474</v>
          </cell>
        </row>
        <row r="38">
          <cell r="AL38">
            <v>-59265943.382832997</v>
          </cell>
        </row>
        <row r="39">
          <cell r="F39">
            <v>31349866.02</v>
          </cell>
          <cell r="AL39">
            <v>-82000442.209999993</v>
          </cell>
        </row>
        <row r="40">
          <cell r="AL40">
            <v>-17158857.68</v>
          </cell>
        </row>
        <row r="41">
          <cell r="AL41">
            <v>77453659.510000005</v>
          </cell>
        </row>
        <row r="42">
          <cell r="F42">
            <v>373453.32075531798</v>
          </cell>
          <cell r="H42">
            <v>-289877.39832737</v>
          </cell>
          <cell r="AL42">
            <v>83311.960000000006</v>
          </cell>
        </row>
        <row r="43">
          <cell r="F43">
            <v>88089.001239607955</v>
          </cell>
          <cell r="H43">
            <v>-68375.374060000002</v>
          </cell>
          <cell r="AL43">
            <v>0</v>
          </cell>
        </row>
        <row r="44">
          <cell r="F44">
            <v>1691573.0908041918</v>
          </cell>
          <cell r="H44">
            <v>-1313012.30807418</v>
          </cell>
          <cell r="AL44">
            <v>-964405.32000000007</v>
          </cell>
        </row>
        <row r="45">
          <cell r="AL45">
            <v>-29354.23</v>
          </cell>
        </row>
        <row r="46">
          <cell r="AL46">
            <v>-7384.6</v>
          </cell>
        </row>
        <row r="49">
          <cell r="F49">
            <v>2213719.029271021</v>
          </cell>
          <cell r="H49">
            <v>-6828448.6094030747</v>
          </cell>
        </row>
        <row r="50">
          <cell r="AL50">
            <v>-519945.70634724048</v>
          </cell>
        </row>
      </sheetData>
      <sheetData sheetId="7" refreshError="1">
        <row r="15">
          <cell r="AD15">
            <v>41661500.859999999</v>
          </cell>
          <cell r="AL15">
            <v>121269.80000000075</v>
          </cell>
          <cell r="CJ15">
            <v>-57000</v>
          </cell>
        </row>
        <row r="16">
          <cell r="F16">
            <v>0</v>
          </cell>
          <cell r="H16">
            <v>-42303391.329747103</v>
          </cell>
          <cell r="V16">
            <v>-4539000</v>
          </cell>
          <cell r="CJ16">
            <v>11970</v>
          </cell>
        </row>
        <row r="17">
          <cell r="F17">
            <v>1063362.3599999994</v>
          </cell>
          <cell r="H17">
            <v>822120.77598778903</v>
          </cell>
          <cell r="V17">
            <v>2120000</v>
          </cell>
          <cell r="AL17">
            <v>-107344.6766666667</v>
          </cell>
          <cell r="BL17">
            <v>-16990239.199999999</v>
          </cell>
          <cell r="BT17">
            <v>12619474.160000008</v>
          </cell>
          <cell r="CB17">
            <v>9659116.8499999996</v>
          </cell>
        </row>
        <row r="18">
          <cell r="F18">
            <v>9744222.944462657</v>
          </cell>
          <cell r="H18">
            <v>-97589342.725932777</v>
          </cell>
          <cell r="V18">
            <v>803628.57</v>
          </cell>
          <cell r="BB18">
            <v>-18794237.945987001</v>
          </cell>
          <cell r="BL18">
            <v>12688074.934416663</v>
          </cell>
          <cell r="BT18">
            <v>-631650.07127077854</v>
          </cell>
          <cell r="CB18">
            <v>-5277574.0231666667</v>
          </cell>
        </row>
        <row r="19">
          <cell r="F19">
            <v>-6159535.8900000025</v>
          </cell>
          <cell r="H19">
            <v>-3240053.1099998998</v>
          </cell>
          <cell r="N19">
            <v>86860.814999999944</v>
          </cell>
          <cell r="P19">
            <v>-666966.23858081084</v>
          </cell>
          <cell r="BB19">
            <v>3946789.9686572701</v>
          </cell>
          <cell r="BL19">
            <v>980694.34861275041</v>
          </cell>
          <cell r="BT19">
            <v>-88064.535992719757</v>
          </cell>
          <cell r="CB19">
            <v>263117.82048999966</v>
          </cell>
        </row>
        <row r="20">
          <cell r="H20">
            <v>-20411.332488020009</v>
          </cell>
          <cell r="BB20">
            <v>2160614.81</v>
          </cell>
          <cell r="CJ20">
            <v>-3209000</v>
          </cell>
        </row>
        <row r="21">
          <cell r="H21">
            <v>-3499084.9908235967</v>
          </cell>
          <cell r="N21">
            <v>-18240.771149999986</v>
          </cell>
          <cell r="P21">
            <v>140062.91010197028</v>
          </cell>
          <cell r="AD21">
            <v>-8748915.1805999987</v>
          </cell>
          <cell r="AN21">
            <v>13521271.800000004</v>
          </cell>
          <cell r="CJ21">
            <v>2659000</v>
          </cell>
        </row>
        <row r="22">
          <cell r="H22">
            <v>146303769.6891872</v>
          </cell>
        </row>
        <row r="23">
          <cell r="H23">
            <v>41962087.412397325</v>
          </cell>
        </row>
        <row r="24">
          <cell r="V24">
            <v>-212064</v>
          </cell>
          <cell r="BT24">
            <v>370592.44987679686</v>
          </cell>
          <cell r="CB24">
            <v>3090056.355</v>
          </cell>
        </row>
        <row r="25">
          <cell r="AL25">
            <v>-2924.2759000001502</v>
          </cell>
          <cell r="AN25">
            <v>-2839467.0780000007</v>
          </cell>
          <cell r="BL25">
            <v>-5669283.3340000007</v>
          </cell>
        </row>
        <row r="26">
          <cell r="V26">
            <v>44533.439999999995</v>
          </cell>
          <cell r="BB26">
            <v>16445383.11765343</v>
          </cell>
        </row>
        <row r="27">
          <cell r="H27">
            <v>-18605360.411643222</v>
          </cell>
          <cell r="BB27">
            <v>-3453530.4547072193</v>
          </cell>
          <cell r="BI27">
            <v>1190549.5001400001</v>
          </cell>
        </row>
        <row r="28">
          <cell r="BB28">
            <v>-1973445.9741184125</v>
          </cell>
          <cell r="BT28">
            <v>-77824.414474127334</v>
          </cell>
          <cell r="CB28">
            <v>-648911.83455000003</v>
          </cell>
        </row>
        <row r="29">
          <cell r="H29">
            <v>-1465156.7585096518</v>
          </cell>
        </row>
        <row r="30">
          <cell r="F30">
            <v>4958988.8</v>
          </cell>
          <cell r="H30">
            <v>-1051668.3528822432</v>
          </cell>
        </row>
        <row r="32">
          <cell r="BB32">
            <v>-16445383.11765343</v>
          </cell>
        </row>
        <row r="33">
          <cell r="F33">
            <v>0</v>
          </cell>
          <cell r="H33">
            <v>56751.381884112845</v>
          </cell>
          <cell r="BB33">
            <v>3453530.4547072193</v>
          </cell>
        </row>
        <row r="34">
          <cell r="BB34">
            <v>1973445.9741184125</v>
          </cell>
        </row>
        <row r="36">
          <cell r="F36">
            <v>-2017478.0250371571</v>
          </cell>
          <cell r="H36">
            <v>-4487754.6519602817</v>
          </cell>
        </row>
        <row r="47">
          <cell r="AV47">
            <v>-2229725.5165937655</v>
          </cell>
        </row>
        <row r="48">
          <cell r="AV48">
            <v>-3786308</v>
          </cell>
        </row>
        <row r="51">
          <cell r="AV51">
            <v>-11519133.519036409</v>
          </cell>
        </row>
        <row r="53">
          <cell r="AV53">
            <v>2419018.0389976455</v>
          </cell>
        </row>
        <row r="61">
          <cell r="AR61">
            <v>-31039847.298310034</v>
          </cell>
        </row>
        <row r="62">
          <cell r="AR62">
            <v>7647955.3945128955</v>
          </cell>
        </row>
      </sheetData>
      <sheetData sheetId="8" refreshError="1"/>
      <sheetData sheetId="9" refreshError="1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Track diffs for impact"/>
    </sheetNames>
    <sheetDataSet>
      <sheetData sheetId="0" refreshError="1"/>
      <sheetData sheetId="1" refreshError="1"/>
      <sheetData sheetId="2">
        <row r="12">
          <cell r="M12">
            <v>5.1240000000000001E-3</v>
          </cell>
        </row>
        <row r="13">
          <cell r="C13">
            <v>7.4800000000000005E-2</v>
          </cell>
          <cell r="M13">
            <v>2E-3</v>
          </cell>
        </row>
        <row r="14">
          <cell r="M14">
            <v>3.8323000000000003E-2</v>
          </cell>
        </row>
        <row r="19">
          <cell r="M19">
            <v>0.200456</v>
          </cell>
        </row>
        <row r="20">
          <cell r="M20">
            <v>0.75409700000000002</v>
          </cell>
        </row>
        <row r="21">
          <cell r="C21">
            <v>81680762</v>
          </cell>
        </row>
      </sheetData>
      <sheetData sheetId="3">
        <row r="13">
          <cell r="E13">
            <v>7.5999999999999998E-2</v>
          </cell>
        </row>
      </sheetData>
      <sheetData sheetId="4"/>
      <sheetData sheetId="5"/>
      <sheetData sheetId="6">
        <row r="14">
          <cell r="V14">
            <v>-11297868.699383605</v>
          </cell>
          <cell r="AL14">
            <v>-5022860.7894830378</v>
          </cell>
          <cell r="BS14">
            <v>-142661.06778199971</v>
          </cell>
          <cell r="BU14">
            <v>142661.06778199971</v>
          </cell>
          <cell r="CI14">
            <v>204503.64267608413</v>
          </cell>
          <cell r="EM14">
            <v>200340092.80947351</v>
          </cell>
          <cell r="EU14">
            <v>3536702.6732781827</v>
          </cell>
          <cell r="HQ14">
            <v>44.329999999999927</v>
          </cell>
        </row>
        <row r="15">
          <cell r="V15">
            <v>10081450.108688122</v>
          </cell>
          <cell r="AL15">
            <v>-15312447.357404472</v>
          </cell>
          <cell r="BB15">
            <v>158770.57562207896</v>
          </cell>
          <cell r="BK15">
            <v>385.25627155914754</v>
          </cell>
          <cell r="BS15">
            <v>54197.611339999828</v>
          </cell>
          <cell r="BU15">
            <v>-54197.611339999828</v>
          </cell>
          <cell r="DO15">
            <v>986.0813888759003</v>
          </cell>
          <cell r="DQ15">
            <v>4259.7224257176858</v>
          </cell>
          <cell r="EM15">
            <v>-55515781.67730689</v>
          </cell>
          <cell r="EU15">
            <v>594923.97229655646</v>
          </cell>
          <cell r="FM15">
            <v>856890.67156689428</v>
          </cell>
          <cell r="GS15">
            <v>-435567.581275</v>
          </cell>
          <cell r="HI15">
            <v>6264183.9699999997</v>
          </cell>
          <cell r="HQ15">
            <v>57.75</v>
          </cell>
        </row>
        <row r="16">
          <cell r="AL16">
            <v>-22625480.126507826</v>
          </cell>
          <cell r="BK16">
            <v>6522.7502187259088</v>
          </cell>
          <cell r="DG16">
            <v>66640.65767213903</v>
          </cell>
          <cell r="DI16">
            <v>30987.620973575831</v>
          </cell>
          <cell r="DO16">
            <v>1821.4473193937447</v>
          </cell>
          <cell r="DQ16">
            <v>69831.193765119184</v>
          </cell>
          <cell r="EM16">
            <v>3758546.0358800888</v>
          </cell>
          <cell r="EU16">
            <v>149178.32999999914</v>
          </cell>
          <cell r="FU16">
            <v>12465833.289999997</v>
          </cell>
          <cell r="GK16">
            <v>10974426.034299001</v>
          </cell>
          <cell r="HA16">
            <v>361315.18883649912</v>
          </cell>
          <cell r="HI16">
            <v>-259802.34853480852</v>
          </cell>
          <cell r="HQ16">
            <v>278617.51000000164</v>
          </cell>
          <cell r="HY16">
            <v>3482430</v>
          </cell>
          <cell r="IE16">
            <v>-113323.24398580618</v>
          </cell>
        </row>
        <row r="17">
          <cell r="AL17">
            <v>24621258.285291649</v>
          </cell>
          <cell r="BK17">
            <v>5387.3342157304432</v>
          </cell>
          <cell r="CQ17">
            <v>554529.46239700005</v>
          </cell>
          <cell r="CY17">
            <v>975254.11071527051</v>
          </cell>
          <cell r="DO17">
            <v>3480.8619843791239</v>
          </cell>
          <cell r="DQ17">
            <v>36640.765848712064</v>
          </cell>
          <cell r="EM17">
            <v>2958805.4567250796</v>
          </cell>
          <cell r="EU17">
            <v>8031441.762161985</v>
          </cell>
          <cell r="FE17">
            <v>-91958.276666666628</v>
          </cell>
          <cell r="FU17">
            <v>-1019306.0138624996</v>
          </cell>
          <cell r="GK17">
            <v>-4519875.9271734888</v>
          </cell>
          <cell r="HI17">
            <v>-57733.95656081185</v>
          </cell>
          <cell r="HQ17">
            <v>105258.47999999952</v>
          </cell>
          <cell r="HY17">
            <v>-493344.24999999988</v>
          </cell>
          <cell r="IE17">
            <v>7931.7188669224333</v>
          </cell>
        </row>
        <row r="18">
          <cell r="AL18">
            <v>-154860.41999999998</v>
          </cell>
          <cell r="AT18">
            <v>1590277.3748527463</v>
          </cell>
          <cell r="BB18">
            <v>-33341.820880636573</v>
          </cell>
          <cell r="BL18">
            <v>0</v>
          </cell>
          <cell r="CA18">
            <v>-4849.3982530915964</v>
          </cell>
          <cell r="CC18">
            <v>4849.3982530915964</v>
          </cell>
          <cell r="CY18">
            <v>-204803.36325020681</v>
          </cell>
          <cell r="DG18">
            <v>-13994.538111149195</v>
          </cell>
          <cell r="DI18">
            <v>-6507.4004044509247</v>
          </cell>
          <cell r="EM18">
            <v>0</v>
          </cell>
          <cell r="FM18">
            <v>-179947.0410290478</v>
          </cell>
          <cell r="FU18">
            <v>-872688.03016393958</v>
          </cell>
          <cell r="GK18">
            <v>-36545.302130847929</v>
          </cell>
          <cell r="HQ18">
            <v>600.87663299999986</v>
          </cell>
          <cell r="HY18">
            <v>-189353.38777026249</v>
          </cell>
        </row>
        <row r="19">
          <cell r="N19">
            <v>42375.32993</v>
          </cell>
          <cell r="P19">
            <v>35122048.636059888</v>
          </cell>
          <cell r="AL19">
            <v>52671.83</v>
          </cell>
          <cell r="AT19">
            <v>-333958.24871907668</v>
          </cell>
          <cell r="BK19">
            <v>120834.00614718534</v>
          </cell>
          <cell r="BS19">
            <v>18577.325852819718</v>
          </cell>
          <cell r="BU19">
            <v>-18577.325852819973</v>
          </cell>
          <cell r="CQ19">
            <v>-116451.18710337</v>
          </cell>
          <cell r="DO19">
            <v>402623.26229435951</v>
          </cell>
          <cell r="DQ19">
            <v>1350205.8821382411</v>
          </cell>
          <cell r="EG19">
            <v>390546.4051953943</v>
          </cell>
          <cell r="EU19">
            <v>5328.9763979999989</v>
          </cell>
          <cell r="FE19">
            <v>19311.238099999991</v>
          </cell>
          <cell r="GS19">
            <v>91469.192067750002</v>
          </cell>
        </row>
        <row r="20">
          <cell r="F20">
            <v>-45678173.786802821</v>
          </cell>
          <cell r="H20">
            <v>50971.28</v>
          </cell>
          <cell r="AL20">
            <v>-46012584.141477734</v>
          </cell>
          <cell r="BK20">
            <v>29475.590301084216</v>
          </cell>
          <cell r="CA20">
            <v>1018.3736331492352</v>
          </cell>
          <cell r="CC20">
            <v>-1018.3736331492352</v>
          </cell>
          <cell r="DO20">
            <v>12956.20307548251</v>
          </cell>
          <cell r="DQ20">
            <v>274377.34146429319</v>
          </cell>
          <cell r="EU20">
            <v>9395.9399999999732</v>
          </cell>
          <cell r="HA20">
            <v>-722630.37767299998</v>
          </cell>
        </row>
        <row r="21">
          <cell r="P21">
            <v>16597941.863749802</v>
          </cell>
          <cell r="AD21">
            <v>-12921873.95908682</v>
          </cell>
          <cell r="AF21">
            <v>184151.4996562647</v>
          </cell>
          <cell r="AL21">
            <v>43921450.229999997</v>
          </cell>
          <cell r="BK21">
            <v>3037.0306528052533</v>
          </cell>
          <cell r="DO21">
            <v>724.48399190953933</v>
          </cell>
          <cell r="DQ21">
            <v>31612.10595257883</v>
          </cell>
          <cell r="EE21">
            <v>13475.113426476943</v>
          </cell>
          <cell r="FU21">
            <v>5026060.749488458</v>
          </cell>
          <cell r="HI21">
            <v>156400.22579821481</v>
          </cell>
          <cell r="HQ21">
            <v>-80761.578792930581</v>
          </cell>
        </row>
        <row r="22">
          <cell r="AL22">
            <v>-41329081.230000004</v>
          </cell>
          <cell r="FU22">
            <v>-837676.79158140963</v>
          </cell>
          <cell r="GK22">
            <v>10329621.234443244</v>
          </cell>
        </row>
        <row r="23">
          <cell r="AL23">
            <v>-242193.71000000005</v>
          </cell>
          <cell r="BK23">
            <v>51935.705390093848</v>
          </cell>
          <cell r="DO23">
            <v>16612.400363540277</v>
          </cell>
          <cell r="DQ23">
            <v>552918.51170147955</v>
          </cell>
          <cell r="EE23">
            <v>-2829.7738195601578</v>
          </cell>
          <cell r="EG23">
            <v>-82014.745091032804</v>
          </cell>
          <cell r="FU23">
            <v>-879560.63116048009</v>
          </cell>
          <cell r="GK23">
            <v>-1721603.539073874</v>
          </cell>
        </row>
        <row r="24">
          <cell r="N24">
            <v>217.13119056131836</v>
          </cell>
          <cell r="P24">
            <v>179965.37721117088</v>
          </cell>
          <cell r="AL24">
            <v>-308145.35000000003</v>
          </cell>
          <cell r="GK24">
            <v>-1807683.7160275693</v>
          </cell>
          <cell r="HY24">
            <v>348243.00000000006</v>
          </cell>
        </row>
        <row r="25">
          <cell r="N25">
            <v>84.750659859999359</v>
          </cell>
          <cell r="P25">
            <v>70244.09727211979</v>
          </cell>
          <cell r="EU25">
            <v>-2588664.0473682922</v>
          </cell>
        </row>
        <row r="26">
          <cell r="N26">
            <v>1623.9497689073905</v>
          </cell>
          <cell r="P26">
            <v>1345982.2698797232</v>
          </cell>
          <cell r="BK26">
            <v>19255.624077950837</v>
          </cell>
          <cell r="DO26">
            <v>15731.221345781985</v>
          </cell>
          <cell r="DQ26">
            <v>97848.25822564293</v>
          </cell>
          <cell r="DW26">
            <v>5304.286799574289</v>
          </cell>
          <cell r="DY26">
            <v>117536.2105541807</v>
          </cell>
          <cell r="HI26">
            <v>-32844.047417625108</v>
          </cell>
        </row>
        <row r="28">
          <cell r="AL28">
            <v>-319800.48572257528</v>
          </cell>
        </row>
        <row r="29">
          <cell r="F29">
            <v>2691478.5600000005</v>
          </cell>
          <cell r="H29">
            <v>-9854969.0099999998</v>
          </cell>
          <cell r="AL29">
            <v>-124824.54555916287</v>
          </cell>
          <cell r="BK29">
            <v>-49734.99242777843</v>
          </cell>
          <cell r="EU29">
            <v>-12326971.654134724</v>
          </cell>
          <cell r="FT29">
            <v>654456.24772499979</v>
          </cell>
          <cell r="GA29">
            <v>-658973.79925230017</v>
          </cell>
          <cell r="GC29">
            <v>-169824.88682564982</v>
          </cell>
          <cell r="HY29">
            <v>-73131.030000000013</v>
          </cell>
        </row>
        <row r="30">
          <cell r="AL30">
            <v>-2391825.5297318995</v>
          </cell>
          <cell r="DO30">
            <v>-95536.551970381741</v>
          </cell>
          <cell r="DQ30">
            <v>-507715.69411957473</v>
          </cell>
          <cell r="EU30">
            <v>2588664.0473682922</v>
          </cell>
          <cell r="FT30">
            <v>-45793.413416894138</v>
          </cell>
          <cell r="GK30">
            <v>2681157.0054726158</v>
          </cell>
        </row>
        <row r="31">
          <cell r="N31">
            <v>8494.3946452409709</v>
          </cell>
          <cell r="P31">
            <v>3554862.1558688851</v>
          </cell>
          <cell r="FT31">
            <v>390538.48325363314</v>
          </cell>
          <cell r="GA31">
            <v>138384.49784298302</v>
          </cell>
          <cell r="GC31">
            <v>35663.226233386464</v>
          </cell>
          <cell r="GK31">
            <v>3443207.0781477471</v>
          </cell>
        </row>
        <row r="32">
          <cell r="DW32">
            <v>-1113.9002279105969</v>
          </cell>
          <cell r="DY32">
            <v>-24682.604216377938</v>
          </cell>
          <cell r="FT32">
            <v>1675353.5831628193</v>
          </cell>
          <cell r="GK32">
            <v>150119.08256369416</v>
          </cell>
        </row>
        <row r="34">
          <cell r="AL34">
            <v>-4799234.8600000003</v>
          </cell>
        </row>
        <row r="35">
          <cell r="AL35">
            <v>-14625833.34</v>
          </cell>
        </row>
        <row r="36">
          <cell r="F36">
            <v>-42859497.28055793</v>
          </cell>
          <cell r="AL36">
            <v>-21844083.23184</v>
          </cell>
        </row>
        <row r="37">
          <cell r="AL37">
            <v>23502295.960000001</v>
          </cell>
          <cell r="FT37">
            <v>-561656.52915215725</v>
          </cell>
          <cell r="GK37">
            <v>-1317641.4648986519</v>
          </cell>
        </row>
        <row r="38">
          <cell r="F38">
            <v>-220263.82634213765</v>
          </cell>
          <cell r="H38">
            <v>-50235.68436852</v>
          </cell>
          <cell r="AL38">
            <v>-12000</v>
          </cell>
        </row>
        <row r="39">
          <cell r="F39">
            <v>-85973.390453605636</v>
          </cell>
          <cell r="H39">
            <v>-19607.995460000002</v>
          </cell>
          <cell r="AL39">
            <v>-15721.66</v>
          </cell>
        </row>
        <row r="40">
          <cell r="F40">
            <v>-1647379.1211767646</v>
          </cell>
          <cell r="H40">
            <v>-375718.60500679002</v>
          </cell>
          <cell r="AL40">
            <v>-39993753.130000003</v>
          </cell>
        </row>
        <row r="44">
          <cell r="F44">
            <v>383547.86226280016</v>
          </cell>
          <cell r="H44">
            <v>-1965271.4434845848</v>
          </cell>
          <cell r="AL44">
            <v>-375373.31091283698</v>
          </cell>
        </row>
      </sheetData>
      <sheetData sheetId="7">
        <row r="15">
          <cell r="H15">
            <v>-9377979.3800000008</v>
          </cell>
          <cell r="Q15">
            <v>-6980521.1700718822</v>
          </cell>
        </row>
        <row r="16">
          <cell r="H16">
            <v>39543.813052333338</v>
          </cell>
        </row>
        <row r="17">
          <cell r="H17">
            <v>10924.564479418335</v>
          </cell>
        </row>
        <row r="18">
          <cell r="Q18">
            <v>0</v>
          </cell>
        </row>
        <row r="22">
          <cell r="H22">
            <v>-39543.813052333338</v>
          </cell>
          <cell r="Q22">
            <v>-35768.190475448326</v>
          </cell>
        </row>
        <row r="23">
          <cell r="Q23">
            <v>-13961.042340143764</v>
          </cell>
        </row>
        <row r="24">
          <cell r="H24">
            <v>8304.2007409900016</v>
          </cell>
        </row>
        <row r="26">
          <cell r="Q26">
            <v>-267514.51280066476</v>
          </cell>
        </row>
        <row r="31">
          <cell r="Q31">
            <v>-1399288.2591356812</v>
          </cell>
        </row>
        <row r="37">
          <cell r="Q37">
            <v>0</v>
          </cell>
        </row>
        <row r="38">
          <cell r="Q38">
            <v>-5658425.3422582783</v>
          </cell>
        </row>
        <row r="39">
          <cell r="Q39">
            <v>-729618.36065856554</v>
          </cell>
        </row>
      </sheetData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  <cell r="C9">
            <v>876657675.66999984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  <cell r="C12">
            <v>-25909998.579999998</v>
          </cell>
        </row>
        <row r="18">
          <cell r="B18">
            <v>204174130.28999999</v>
          </cell>
        </row>
        <row r="19">
          <cell r="B19">
            <v>591842797.56999886</v>
          </cell>
          <cell r="C19">
            <v>296699052.05999887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  <cell r="C24">
            <v>6042805.129999999</v>
          </cell>
        </row>
        <row r="25">
          <cell r="B25">
            <v>24439502.479999997</v>
          </cell>
          <cell r="C25">
            <v>2110.77</v>
          </cell>
        </row>
        <row r="26">
          <cell r="B26">
            <v>83251239.00999999</v>
          </cell>
          <cell r="C26">
            <v>60174168.099999979</v>
          </cell>
        </row>
        <row r="27">
          <cell r="B27">
            <v>53199861.179999992</v>
          </cell>
          <cell r="C27">
            <v>29807451.619999997</v>
          </cell>
        </row>
        <row r="28">
          <cell r="B28">
            <v>22140921.049999997</v>
          </cell>
          <cell r="C28">
            <v>6574431.0799999991</v>
          </cell>
        </row>
        <row r="29">
          <cell r="B29">
            <v>97087902.950000003</v>
          </cell>
          <cell r="C29">
            <v>14625833.34</v>
          </cell>
        </row>
        <row r="30">
          <cell r="B30">
            <v>124825410.95999999</v>
          </cell>
          <cell r="C30">
            <v>57249534.549999997</v>
          </cell>
        </row>
        <row r="31">
          <cell r="B31">
            <v>341625259.95999998</v>
          </cell>
          <cell r="C31">
            <v>116957730.5099999</v>
          </cell>
        </row>
        <row r="32">
          <cell r="B32">
            <v>75292958.060000002</v>
          </cell>
          <cell r="C32">
            <v>26117569.960000001</v>
          </cell>
        </row>
        <row r="33">
          <cell r="B33">
            <v>35645161.039999902</v>
          </cell>
        </row>
        <row r="34">
          <cell r="B34">
            <v>-21632953.829999994</v>
          </cell>
          <cell r="C34">
            <v>8769360.9199999981</v>
          </cell>
        </row>
        <row r="35">
          <cell r="B35">
            <v>-41661500.859999999</v>
          </cell>
        </row>
        <row r="36">
          <cell r="B36">
            <v>234440433.30000001</v>
          </cell>
          <cell r="C36">
            <v>101477296.77</v>
          </cell>
        </row>
        <row r="37">
          <cell r="B37">
            <v>22841555.030000001</v>
          </cell>
          <cell r="C37">
            <v>31944158.879999999</v>
          </cell>
        </row>
        <row r="38">
          <cell r="B38">
            <v>38907707.560000002</v>
          </cell>
          <cell r="C38">
            <v>-9558130.5899999961</v>
          </cell>
        </row>
      </sheetData>
      <sheetData sheetId="1"/>
      <sheetData sheetId="2">
        <row r="12">
          <cell r="G12">
            <v>1147259983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</row>
      </sheetData>
      <sheetData sheetId="1">
        <row r="11">
          <cell r="C11">
            <v>4100600279.3772311</v>
          </cell>
        </row>
        <row r="12">
          <cell r="C12">
            <v>-1569795173.3202429</v>
          </cell>
        </row>
        <row r="13">
          <cell r="C13">
            <v>-604032300.68879509</v>
          </cell>
        </row>
        <row r="14">
          <cell r="C14">
            <v>-29952462.162250079</v>
          </cell>
        </row>
        <row r="15">
          <cell r="C15">
            <v>54431800.053166389</v>
          </cell>
        </row>
        <row r="16">
          <cell r="C16">
            <v>1951252143.2591095</v>
          </cell>
        </row>
      </sheetData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>
        <row r="19">
          <cell r="G19">
            <v>4300940372.1867046</v>
          </cell>
        </row>
      </sheetData>
      <sheetData sheetId="5"/>
      <sheetData sheetId="6">
        <row r="51">
          <cell r="AB51">
            <v>-95934500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="85" zoomScaleNormal="85" workbookViewId="0">
      <pane xSplit="2" ySplit="11" topLeftCell="C40" activePane="bottomRight" state="frozen"/>
      <selection activeCell="H59" sqref="H59"/>
      <selection pane="topRight" activeCell="H59" sqref="H59"/>
      <selection pane="bottomLeft" activeCell="H59" sqref="H59"/>
      <selection pane="bottomRight" activeCell="G50" sqref="G50"/>
    </sheetView>
  </sheetViews>
  <sheetFormatPr defaultColWidth="9.140625" defaultRowHeight="15" x14ac:dyDescent="0.25"/>
  <cols>
    <col min="1" max="1" width="4.5703125" style="1" bestFit="1" customWidth="1"/>
    <col min="2" max="2" width="52.5703125" style="1" customWidth="1"/>
    <col min="3" max="3" width="17.28515625" style="2" bestFit="1" customWidth="1"/>
    <col min="4" max="4" width="15.28515625" style="2" customWidth="1"/>
    <col min="5" max="5" width="17" style="2" customWidth="1"/>
    <col min="6" max="6" width="15.28515625" style="2" customWidth="1"/>
    <col min="7" max="7" width="17" style="1" customWidth="1"/>
    <col min="8" max="8" width="15.28515625" style="2" customWidth="1"/>
    <col min="9" max="9" width="17.140625" style="1" customWidth="1"/>
    <col min="10" max="16384" width="9.140625" style="1"/>
  </cols>
  <sheetData>
    <row r="1" spans="1:9" x14ac:dyDescent="0.25">
      <c r="A1" s="1" t="s">
        <v>0</v>
      </c>
      <c r="C1" s="1"/>
      <c r="H1" s="31" t="s">
        <v>260</v>
      </c>
      <c r="I1" s="32"/>
    </row>
    <row r="2" spans="1:9" x14ac:dyDescent="0.25">
      <c r="A2" s="1" t="s">
        <v>1</v>
      </c>
      <c r="C2" s="1"/>
      <c r="H2"/>
      <c r="I2"/>
    </row>
    <row r="3" spans="1:9" x14ac:dyDescent="0.25">
      <c r="A3" s="1" t="s">
        <v>2</v>
      </c>
      <c r="C3" s="1"/>
      <c r="H3"/>
      <c r="I3"/>
    </row>
    <row r="4" spans="1:9" x14ac:dyDescent="0.25">
      <c r="A4" s="1" t="str">
        <f>CASE_E</f>
        <v>2019 GENERAL RATE CASE</v>
      </c>
      <c r="C4" s="1"/>
    </row>
    <row r="5" spans="1:9" x14ac:dyDescent="0.25">
      <c r="A5" s="1" t="str">
        <f>TESTYEAR_E</f>
        <v>12 MONTHS ENDED DECEMBER 31, 2018</v>
      </c>
      <c r="C5" s="1"/>
    </row>
    <row r="6" spans="1:9" x14ac:dyDescent="0.25">
      <c r="C6" s="3"/>
      <c r="D6" s="3"/>
      <c r="E6" s="3"/>
      <c r="F6" s="3"/>
    </row>
    <row r="7" spans="1:9" x14ac:dyDescent="0.25">
      <c r="G7" s="2"/>
      <c r="I7" s="2"/>
    </row>
    <row r="9" spans="1:9" x14ac:dyDescent="0.25">
      <c r="C9" s="4" t="s">
        <v>3</v>
      </c>
      <c r="D9" s="4"/>
      <c r="E9" s="4" t="s">
        <v>4</v>
      </c>
      <c r="F9" s="4"/>
      <c r="G9" s="4" t="s">
        <v>5</v>
      </c>
      <c r="H9" s="4" t="s">
        <v>6</v>
      </c>
      <c r="I9" s="4" t="s">
        <v>7</v>
      </c>
    </row>
    <row r="10" spans="1:9" ht="13.5" customHeight="1" x14ac:dyDescent="0.25">
      <c r="A10" s="4" t="s">
        <v>8</v>
      </c>
      <c r="B10" s="4" t="s">
        <v>9</v>
      </c>
      <c r="C10" s="4" t="s">
        <v>10</v>
      </c>
      <c r="D10" s="4" t="s">
        <v>11</v>
      </c>
      <c r="E10" s="4" t="s">
        <v>10</v>
      </c>
      <c r="F10" s="4" t="s">
        <v>12</v>
      </c>
      <c r="G10" s="4" t="s">
        <v>10</v>
      </c>
      <c r="H10" s="4" t="s">
        <v>13</v>
      </c>
      <c r="I10" s="4" t="s">
        <v>14</v>
      </c>
    </row>
    <row r="11" spans="1:9" x14ac:dyDescent="0.25">
      <c r="A11" s="4" t="s">
        <v>15</v>
      </c>
      <c r="C11" s="4" t="s">
        <v>16</v>
      </c>
      <c r="D11" s="4" t="s">
        <v>17</v>
      </c>
      <c r="E11" s="4" t="s">
        <v>18</v>
      </c>
      <c r="F11" s="4" t="s">
        <v>17</v>
      </c>
      <c r="G11" s="5" t="s">
        <v>18</v>
      </c>
      <c r="H11" s="5" t="s">
        <v>19</v>
      </c>
      <c r="I11" s="5" t="str">
        <f>IF(H18&lt;0,"DECREASE","INCREASE")</f>
        <v>INCREASE</v>
      </c>
    </row>
    <row r="12" spans="1:9" x14ac:dyDescent="0.25">
      <c r="C12" s="6" t="s">
        <v>20</v>
      </c>
      <c r="D12" s="6" t="s">
        <v>21</v>
      </c>
      <c r="E12" s="6" t="s">
        <v>22</v>
      </c>
      <c r="F12" s="6" t="s">
        <v>23</v>
      </c>
      <c r="G12" s="7" t="s">
        <v>24</v>
      </c>
      <c r="H12" s="6" t="s">
        <v>25</v>
      </c>
      <c r="I12" s="7" t="s">
        <v>26</v>
      </c>
    </row>
    <row r="13" spans="1:9" x14ac:dyDescent="0.25">
      <c r="A13" s="4">
        <v>1</v>
      </c>
      <c r="B13" s="8" t="s">
        <v>27</v>
      </c>
    </row>
    <row r="14" spans="1:9" x14ac:dyDescent="0.25">
      <c r="A14" s="4">
        <f t="shared" ref="A14:A64" si="0">A13+1</f>
        <v>2</v>
      </c>
      <c r="B14" s="8" t="s">
        <v>28</v>
      </c>
      <c r="C14" s="9">
        <f>+'SEF-19E (BR-01) p2-7'!C14</f>
        <v>2165233766.8899999</v>
      </c>
      <c r="D14" s="9">
        <f>+'SEF-19E (BR-01) p2-7'!AG14</f>
        <v>-159861470.62876797</v>
      </c>
      <c r="E14" s="9">
        <f>SUM(C14:D14)</f>
        <v>2005372296.2612319</v>
      </c>
      <c r="F14" s="9">
        <f>+'SEF-19E (BR-01) p2-7'!BK14</f>
        <v>-8697272.4800000004</v>
      </c>
      <c r="G14" s="9">
        <f>SUM(E14:F14)</f>
        <v>1996675023.7812319</v>
      </c>
      <c r="H14" s="9">
        <f>'[2]COC, Def, ConvF'!C21-H15</f>
        <v>117278934.40802167</v>
      </c>
      <c r="I14" s="9">
        <f>SUM(G14:H14)</f>
        <v>2113953958.1892536</v>
      </c>
    </row>
    <row r="15" spans="1:9" x14ac:dyDescent="0.25">
      <c r="A15" s="4">
        <f t="shared" si="0"/>
        <v>3</v>
      </c>
      <c r="B15" s="8" t="s">
        <v>29</v>
      </c>
      <c r="C15" s="10">
        <f>+'SEF-19E (BR-01) p2-7'!C15</f>
        <v>340431.51999999897</v>
      </c>
      <c r="D15" s="10">
        <f>+'SEF-19E (BR-01) p2-7'!AG15</f>
        <v>-13071.359999999999</v>
      </c>
      <c r="E15" s="10">
        <f>SUM(C15:D15)</f>
        <v>327360.15999999898</v>
      </c>
      <c r="F15" s="10">
        <f>+'SEF-19E (BR-01) p2-7'!BK15</f>
        <v>0</v>
      </c>
      <c r="G15" s="10">
        <f>SUM(E15:F15)</f>
        <v>327360.15999999898</v>
      </c>
      <c r="H15" s="10">
        <v>359669.59197832021</v>
      </c>
      <c r="I15" s="10">
        <f>SUM(G15:H15)</f>
        <v>687029.75197831914</v>
      </c>
    </row>
    <row r="16" spans="1:9" x14ac:dyDescent="0.25">
      <c r="A16" s="4">
        <f t="shared" si="0"/>
        <v>4</v>
      </c>
      <c r="B16" s="8" t="s">
        <v>30</v>
      </c>
      <c r="C16" s="10">
        <f>+'SEF-19E (BR-01) p2-7'!C16</f>
        <v>155333122.24000001</v>
      </c>
      <c r="D16" s="10">
        <f>+'SEF-19E (BR-01) p2-7'!AG16</f>
        <v>0</v>
      </c>
      <c r="E16" s="10">
        <f>SUM(C16:D16)</f>
        <v>155333122.24000001</v>
      </c>
      <c r="F16" s="10">
        <f>+'SEF-19E (BR-01) p2-7'!BK16</f>
        <v>-146303769.6891872</v>
      </c>
      <c r="G16" s="10">
        <f>SUM(E16:F16)</f>
        <v>9029352.5508128107</v>
      </c>
      <c r="H16" s="10"/>
      <c r="I16" s="10">
        <f>SUM(G16:H16)</f>
        <v>9029352.5508128107</v>
      </c>
    </row>
    <row r="17" spans="1:9" x14ac:dyDescent="0.25">
      <c r="A17" s="4">
        <f t="shared" si="0"/>
        <v>5</v>
      </c>
      <c r="B17" s="8" t="s">
        <v>31</v>
      </c>
      <c r="C17" s="10">
        <f>+'SEF-19E (BR-01) p2-7'!C17</f>
        <v>122175867.17999999</v>
      </c>
      <c r="D17" s="10">
        <f>+'SEF-19E (BR-01) p2-7'!AG17</f>
        <v>17627311.820000004</v>
      </c>
      <c r="E17" s="10">
        <f>SUM(C17:D17)</f>
        <v>139803179</v>
      </c>
      <c r="F17" s="10">
        <f>+'SEF-19E (BR-01) p2-7'!BK17</f>
        <v>-56878399.203887679</v>
      </c>
      <c r="G17" s="10">
        <f>SUM(E17:F17)</f>
        <v>82924779.796112329</v>
      </c>
      <c r="H17" s="10"/>
      <c r="I17" s="10">
        <f>SUM(G17:H17)</f>
        <v>82924779.796112329</v>
      </c>
    </row>
    <row r="18" spans="1:9" x14ac:dyDescent="0.25">
      <c r="A18" s="4">
        <f t="shared" si="0"/>
        <v>6</v>
      </c>
      <c r="B18" s="8" t="s">
        <v>32</v>
      </c>
      <c r="C18" s="11">
        <f t="shared" ref="C18:I18" si="1">SUM(C14:C17)</f>
        <v>2443083187.8299994</v>
      </c>
      <c r="D18" s="11">
        <f t="shared" si="1"/>
        <v>-142247230.16876799</v>
      </c>
      <c r="E18" s="11">
        <f t="shared" si="1"/>
        <v>2300835957.661232</v>
      </c>
      <c r="F18" s="11">
        <f t="shared" si="1"/>
        <v>-211879441.37307486</v>
      </c>
      <c r="G18" s="11">
        <f t="shared" si="1"/>
        <v>2088956516.288157</v>
      </c>
      <c r="H18" s="11">
        <f t="shared" si="1"/>
        <v>117638604</v>
      </c>
      <c r="I18" s="11">
        <f t="shared" si="1"/>
        <v>2206595120.288157</v>
      </c>
    </row>
    <row r="19" spans="1:9" s="13" customFormat="1" x14ac:dyDescent="0.25">
      <c r="A19" s="4">
        <f t="shared" si="0"/>
        <v>7</v>
      </c>
      <c r="B19" s="12"/>
      <c r="C19" s="10"/>
      <c r="D19" s="10"/>
      <c r="E19" s="10"/>
      <c r="F19" s="10"/>
      <c r="G19" s="10"/>
      <c r="H19" s="10"/>
      <c r="I19" s="10"/>
    </row>
    <row r="20" spans="1:9" x14ac:dyDescent="0.25">
      <c r="A20" s="4">
        <f t="shared" si="0"/>
        <v>8</v>
      </c>
      <c r="B20" s="8" t="s">
        <v>33</v>
      </c>
      <c r="G20" s="2"/>
      <c r="I20" s="2"/>
    </row>
    <row r="21" spans="1:9" x14ac:dyDescent="0.25">
      <c r="A21" s="4">
        <f t="shared" si="0"/>
        <v>9</v>
      </c>
      <c r="B21" s="14"/>
      <c r="G21" s="2"/>
      <c r="I21" s="2"/>
    </row>
    <row r="22" spans="1:9" x14ac:dyDescent="0.25">
      <c r="A22" s="4">
        <f t="shared" si="0"/>
        <v>10</v>
      </c>
      <c r="B22" s="8" t="s">
        <v>34</v>
      </c>
      <c r="G22" s="2"/>
      <c r="I22" s="2"/>
    </row>
    <row r="23" spans="1:9" x14ac:dyDescent="0.25">
      <c r="A23" s="4">
        <f t="shared" si="0"/>
        <v>11</v>
      </c>
      <c r="B23" s="8" t="s">
        <v>35</v>
      </c>
      <c r="C23" s="15">
        <f>+'SEF-19E (BR-01) p2-7'!C23</f>
        <v>204174130.28999999</v>
      </c>
      <c r="D23" s="15">
        <f>+'SEF-19E (BR-01) p2-7'!AG23</f>
        <v>1063362.3599999994</v>
      </c>
      <c r="E23" s="15">
        <f>SUM(C23:D23)</f>
        <v>205237492.64999998</v>
      </c>
      <c r="F23" s="15">
        <f>+'SEF-19E (BR-01) p2-7'!BK23</f>
        <v>-41481270.553759314</v>
      </c>
      <c r="G23" s="15">
        <f>SUM(E23:F23)</f>
        <v>163756222.09624067</v>
      </c>
      <c r="H23" s="16"/>
      <c r="I23" s="15">
        <f>SUM(G23:H23)</f>
        <v>163756222.09624067</v>
      </c>
    </row>
    <row r="24" spans="1:9" x14ac:dyDescent="0.25">
      <c r="A24" s="4">
        <f t="shared" si="0"/>
        <v>12</v>
      </c>
      <c r="B24" s="8" t="s">
        <v>36</v>
      </c>
      <c r="C24" s="10">
        <f>+'SEF-19E (BR-01) p2-7'!C24</f>
        <v>591842797.56999886</v>
      </c>
      <c r="D24" s="10">
        <f>+'SEF-19E (BR-01) p2-7'!AG24</f>
        <v>8537087.6701091882</v>
      </c>
      <c r="E24" s="10">
        <f>SUM(C24:D24)</f>
        <v>600379885.24010801</v>
      </c>
      <c r="F24" s="10">
        <f>+'SEF-19E (BR-01) p2-7'!BK24</f>
        <v>-101655524.98367803</v>
      </c>
      <c r="G24" s="10">
        <f>SUM(E24:F24)</f>
        <v>498724360.25642997</v>
      </c>
      <c r="H24" s="17"/>
      <c r="I24" s="10">
        <f>SUM(G24:H24)</f>
        <v>498724360.25642997</v>
      </c>
    </row>
    <row r="25" spans="1:9" x14ac:dyDescent="0.25">
      <c r="A25" s="4">
        <f t="shared" si="0"/>
        <v>13</v>
      </c>
      <c r="B25" s="8" t="s">
        <v>37</v>
      </c>
      <c r="C25" s="10">
        <f>+'SEF-19E (BR-01) p2-7'!C25</f>
        <v>115807777.5999999</v>
      </c>
      <c r="D25" s="10">
        <f>+'SEF-19E (BR-01) p2-7'!AG25</f>
        <v>0</v>
      </c>
      <c r="E25" s="10">
        <f>SUM(C25:D25)</f>
        <v>115807777.5999999</v>
      </c>
      <c r="F25" s="10">
        <f>+'SEF-19E (BR-01) p2-7'!BK25</f>
        <v>-3499084.9908235967</v>
      </c>
      <c r="G25" s="10">
        <f>SUM(E25:F25)</f>
        <v>112308692.60917631</v>
      </c>
      <c r="H25" s="17"/>
      <c r="I25" s="10">
        <f>SUM(G25:H25)</f>
        <v>112308692.60917631</v>
      </c>
    </row>
    <row r="26" spans="1:9" x14ac:dyDescent="0.25">
      <c r="A26" s="4">
        <f t="shared" si="0"/>
        <v>14</v>
      </c>
      <c r="B26" s="14" t="s">
        <v>38</v>
      </c>
      <c r="C26" s="10">
        <f>+'SEF-19E (BR-01) p2-7'!C26</f>
        <v>-77453659.509999901</v>
      </c>
      <c r="D26" s="10">
        <f>+'SEF-19E (BR-01) p2-7'!AG26</f>
        <v>77453659.510000005</v>
      </c>
      <c r="E26" s="10">
        <f>SUM(C26:D26)</f>
        <v>0</v>
      </c>
      <c r="F26" s="10">
        <f>+'SEF-19E (BR-01) p2-7'!BK26</f>
        <v>0</v>
      </c>
      <c r="G26" s="10">
        <f>SUM(E26:F26)</f>
        <v>0</v>
      </c>
      <c r="H26" s="17"/>
      <c r="I26" s="10">
        <f>SUM(G26:H26)</f>
        <v>0</v>
      </c>
    </row>
    <row r="27" spans="1:9" x14ac:dyDescent="0.25">
      <c r="A27" s="4">
        <f t="shared" si="0"/>
        <v>15</v>
      </c>
      <c r="B27" s="8" t="s">
        <v>39</v>
      </c>
      <c r="C27" s="18">
        <f t="shared" ref="C27:I27" si="2">SUM(C22:C26)</f>
        <v>834371045.94999886</v>
      </c>
      <c r="D27" s="18">
        <f t="shared" si="2"/>
        <v>87054109.540109187</v>
      </c>
      <c r="E27" s="18">
        <f t="shared" si="2"/>
        <v>921425155.49010789</v>
      </c>
      <c r="F27" s="18">
        <f t="shared" si="2"/>
        <v>-146635880.52826095</v>
      </c>
      <c r="G27" s="18">
        <f t="shared" si="2"/>
        <v>774789274.96184695</v>
      </c>
      <c r="H27" s="11">
        <f t="shared" si="2"/>
        <v>0</v>
      </c>
      <c r="I27" s="18">
        <f t="shared" si="2"/>
        <v>774789274.96184695</v>
      </c>
    </row>
    <row r="28" spans="1:9" x14ac:dyDescent="0.25">
      <c r="A28" s="4">
        <f t="shared" si="0"/>
        <v>16</v>
      </c>
      <c r="B28" s="8"/>
      <c r="C28" s="15"/>
      <c r="D28" s="15"/>
      <c r="E28" s="15"/>
      <c r="F28" s="15"/>
      <c r="G28" s="15"/>
      <c r="H28" s="16"/>
      <c r="I28" s="15"/>
    </row>
    <row r="29" spans="1:9" x14ac:dyDescent="0.25">
      <c r="A29" s="4">
        <f t="shared" si="0"/>
        <v>17</v>
      </c>
      <c r="B29" s="19" t="s">
        <v>40</v>
      </c>
      <c r="C29" s="15">
        <f>+'SEF-19E (BR-01) p2-7'!C29</f>
        <v>127167992.89</v>
      </c>
      <c r="D29" s="15">
        <f>+'SEF-19E (BR-01) p2-7'!AG29</f>
        <v>-35955.199816429289</v>
      </c>
      <c r="E29" s="15">
        <f t="shared" ref="E29:E43" si="3">SUM(C29:D29)</f>
        <v>127132037.69018357</v>
      </c>
      <c r="F29" s="15">
        <f>+'SEF-19E (BR-01) p2-7'!BK29</f>
        <v>-17913745.52205608</v>
      </c>
      <c r="G29" s="15">
        <f t="shared" ref="G29:G43" si="4">SUM(E29:F29)</f>
        <v>109218292.16812748</v>
      </c>
      <c r="H29" s="16"/>
      <c r="I29" s="15">
        <f t="shared" ref="I29:I43" si="5">SUM(G29:H29)</f>
        <v>109218292.16812748</v>
      </c>
    </row>
    <row r="30" spans="1:9" x14ac:dyDescent="0.25">
      <c r="A30" s="4">
        <f t="shared" si="0"/>
        <v>18</v>
      </c>
      <c r="B30" s="8" t="s">
        <v>41</v>
      </c>
      <c r="C30" s="10">
        <f>+'SEF-19E (BR-01) p2-7'!C30</f>
        <v>24439502.479999997</v>
      </c>
      <c r="D30" s="10">
        <f>+'SEF-19E (BR-01) p2-7'!AG30</f>
        <v>-119633.45425329165</v>
      </c>
      <c r="E30" s="10">
        <f t="shared" si="3"/>
        <v>24319869.025746707</v>
      </c>
      <c r="F30" s="10">
        <f>+'SEF-19E (BR-01) p2-7'!BK30</f>
        <v>488386.45716514532</v>
      </c>
      <c r="G30" s="10">
        <f t="shared" si="4"/>
        <v>24808255.482911851</v>
      </c>
      <c r="H30" s="17"/>
      <c r="I30" s="10">
        <f t="shared" si="5"/>
        <v>24808255.482911851</v>
      </c>
    </row>
    <row r="31" spans="1:9" x14ac:dyDescent="0.25">
      <c r="A31" s="4">
        <f t="shared" si="0"/>
        <v>19</v>
      </c>
      <c r="B31" s="8" t="s">
        <v>42</v>
      </c>
      <c r="C31" s="10">
        <f>+'SEF-19E (BR-01) p2-7'!C31</f>
        <v>83251239.00999999</v>
      </c>
      <c r="D31" s="10">
        <f>+'SEF-19E (BR-01) p2-7'!AG31</f>
        <v>70205.134423830081</v>
      </c>
      <c r="E31" s="10">
        <f t="shared" si="3"/>
        <v>83321444.144423828</v>
      </c>
      <c r="F31" s="10">
        <f>+'SEF-19E (BR-01) p2-7'!BK31</f>
        <v>2247362.7262155674</v>
      </c>
      <c r="G31" s="10">
        <f t="shared" si="4"/>
        <v>85568806.870639399</v>
      </c>
      <c r="H31" s="17"/>
      <c r="I31" s="10">
        <f t="shared" si="5"/>
        <v>85568806.870639399</v>
      </c>
    </row>
    <row r="32" spans="1:9" x14ac:dyDescent="0.25">
      <c r="A32" s="4">
        <f t="shared" si="0"/>
        <v>20</v>
      </c>
      <c r="B32" s="8" t="s">
        <v>43</v>
      </c>
      <c r="C32" s="10">
        <f>+'SEF-19E (BR-01) p2-7'!C32</f>
        <v>53199861.179999992</v>
      </c>
      <c r="D32" s="10">
        <f>+'SEF-19E (BR-01) p2-7'!AG32</f>
        <v>-785610.69141446229</v>
      </c>
      <c r="E32" s="10">
        <f t="shared" si="3"/>
        <v>52414250.488585532</v>
      </c>
      <c r="F32" s="10">
        <f>+'SEF-19E (BR-01) p2-7'!BK32</f>
        <v>-326705.24962682935</v>
      </c>
      <c r="G32" s="10">
        <f t="shared" si="4"/>
        <v>52087545.238958701</v>
      </c>
      <c r="H32" s="10">
        <f>'[2]COC, Def, ConvF'!C21*'[2]COC, Def, ConvF'!M12</f>
        <v>997457.72331600008</v>
      </c>
      <c r="I32" s="10">
        <f t="shared" si="5"/>
        <v>53085002.9622747</v>
      </c>
    </row>
    <row r="33" spans="1:9" x14ac:dyDescent="0.25">
      <c r="A33" s="4">
        <f t="shared" si="0"/>
        <v>21</v>
      </c>
      <c r="B33" s="8" t="s">
        <v>44</v>
      </c>
      <c r="C33" s="10">
        <f>+'SEF-19E (BR-01) p2-7'!C33</f>
        <v>22140921.049999997</v>
      </c>
      <c r="D33" s="10">
        <f>+'SEF-19E (BR-01) p2-7'!AG33</f>
        <v>-18125239.842409734</v>
      </c>
      <c r="E33" s="10">
        <f t="shared" si="3"/>
        <v>4015681.2075902633</v>
      </c>
      <c r="F33" s="10">
        <f>+'SEF-19E (BR-01) p2-7'!BK33</f>
        <v>67858.879361970816</v>
      </c>
      <c r="G33" s="10">
        <f t="shared" si="4"/>
        <v>4083540.0869522342</v>
      </c>
      <c r="H33" s="10"/>
      <c r="I33" s="10">
        <f t="shared" si="5"/>
        <v>4083540.0869522342</v>
      </c>
    </row>
    <row r="34" spans="1:9" x14ac:dyDescent="0.25">
      <c r="A34" s="4">
        <f t="shared" si="0"/>
        <v>22</v>
      </c>
      <c r="B34" s="8" t="s">
        <v>45</v>
      </c>
      <c r="C34" s="10">
        <f>+'SEF-19E (BR-01) p2-7'!C34</f>
        <v>97087902.950000003</v>
      </c>
      <c r="D34" s="10">
        <f>+'SEF-19E (BR-01) p2-7'!AG34</f>
        <v>-97087902.950000003</v>
      </c>
      <c r="E34" s="10">
        <f t="shared" si="3"/>
        <v>0</v>
      </c>
      <c r="F34" s="10">
        <f>+'SEF-19E (BR-01) p2-7'!BK34</f>
        <v>0</v>
      </c>
      <c r="G34" s="10">
        <f t="shared" si="4"/>
        <v>0</v>
      </c>
      <c r="H34" s="10"/>
      <c r="I34" s="10">
        <f t="shared" si="5"/>
        <v>0</v>
      </c>
    </row>
    <row r="35" spans="1:9" x14ac:dyDescent="0.25">
      <c r="A35" s="4">
        <f t="shared" si="0"/>
        <v>23</v>
      </c>
      <c r="B35" s="8" t="s">
        <v>46</v>
      </c>
      <c r="C35" s="10">
        <f>+'SEF-19E (BR-01) p2-7'!C35</f>
        <v>124825410.95999999</v>
      </c>
      <c r="D35" s="10">
        <f>+'SEF-19E (BR-01) p2-7'!AG35</f>
        <v>749849.10089959786</v>
      </c>
      <c r="E35" s="10">
        <f t="shared" si="3"/>
        <v>125575260.06089959</v>
      </c>
      <c r="F35" s="10">
        <f>+'SEF-19E (BR-01) p2-7'!BK35</f>
        <v>2214730.8037713738</v>
      </c>
      <c r="G35" s="10">
        <f t="shared" si="4"/>
        <v>127789990.86467096</v>
      </c>
      <c r="H35" s="10">
        <f>'[2]COC, Def, ConvF'!C21*'[2]COC, Def, ConvF'!M13</f>
        <v>235277.20800000001</v>
      </c>
      <c r="I35" s="10">
        <f t="shared" si="5"/>
        <v>128025268.07267097</v>
      </c>
    </row>
    <row r="36" spans="1:9" x14ac:dyDescent="0.25">
      <c r="A36" s="4">
        <f t="shared" si="0"/>
        <v>24</v>
      </c>
      <c r="B36" s="8" t="s">
        <v>47</v>
      </c>
      <c r="C36" s="10">
        <f>+'SEF-19E (BR-01) p2-7'!C36</f>
        <v>341625259.95999998</v>
      </c>
      <c r="D36" s="10">
        <f>+'SEF-19E (BR-01) p2-7'!AG36</f>
        <v>3138498.764109659</v>
      </c>
      <c r="E36" s="10">
        <f t="shared" si="3"/>
        <v>344763758.72410965</v>
      </c>
      <c r="F36" s="10">
        <f>+'SEF-19E (BR-01) p2-7'!BK36</f>
        <v>1977599.9561757615</v>
      </c>
      <c r="G36" s="10">
        <f t="shared" si="4"/>
        <v>346741358.68028539</v>
      </c>
      <c r="H36" s="10"/>
      <c r="I36" s="10">
        <f t="shared" si="5"/>
        <v>346741358.68028539</v>
      </c>
    </row>
    <row r="37" spans="1:9" x14ac:dyDescent="0.25">
      <c r="A37" s="4">
        <f t="shared" si="0"/>
        <v>25</v>
      </c>
      <c r="B37" s="8" t="s">
        <v>48</v>
      </c>
      <c r="C37" s="10">
        <f>+'SEF-19E (BR-01) p2-7'!C37</f>
        <v>75292958.060000002</v>
      </c>
      <c r="D37" s="10">
        <f>+'SEF-19E (BR-01) p2-7'!AG37</f>
        <v>15699257.697837964</v>
      </c>
      <c r="E37" s="10">
        <f t="shared" si="3"/>
        <v>90992215.757837966</v>
      </c>
      <c r="F37" s="10">
        <f>+'SEF-19E (BR-01) p2-7'!BK37</f>
        <v>3351444.016629471</v>
      </c>
      <c r="G37" s="10">
        <f t="shared" si="4"/>
        <v>94343659.774467438</v>
      </c>
      <c r="H37" s="10"/>
      <c r="I37" s="10">
        <f t="shared" si="5"/>
        <v>94343659.774467438</v>
      </c>
    </row>
    <row r="38" spans="1:9" x14ac:dyDescent="0.25">
      <c r="A38" s="4">
        <f t="shared" si="0"/>
        <v>26</v>
      </c>
      <c r="B38" s="19" t="s">
        <v>49</v>
      </c>
      <c r="C38" s="10">
        <f>+'SEF-19E (BR-01) p2-7'!C38</f>
        <v>35645161.039999902</v>
      </c>
      <c r="D38" s="10">
        <f>+'SEF-19E (BR-01) p2-7'!AG38</f>
        <v>0</v>
      </c>
      <c r="E38" s="10">
        <f t="shared" si="3"/>
        <v>35645161.039999902</v>
      </c>
      <c r="F38" s="10">
        <f>+'SEF-19E (BR-01) p2-7'!BK38</f>
        <v>7505238.283406239</v>
      </c>
      <c r="G38" s="10">
        <f t="shared" si="4"/>
        <v>43150399.323406145</v>
      </c>
      <c r="H38" s="10"/>
      <c r="I38" s="10">
        <f t="shared" si="5"/>
        <v>43150399.323406145</v>
      </c>
    </row>
    <row r="39" spans="1:9" x14ac:dyDescent="0.25">
      <c r="A39" s="4">
        <f t="shared" si="0"/>
        <v>27</v>
      </c>
      <c r="B39" s="8" t="s">
        <v>50</v>
      </c>
      <c r="C39" s="10">
        <f>+'SEF-19E (BR-01) p2-7'!C39</f>
        <v>-21632953.829999994</v>
      </c>
      <c r="D39" s="10">
        <f>+'SEF-19E (BR-01) p2-7'!AG39</f>
        <v>31433177.98</v>
      </c>
      <c r="E39" s="10">
        <f t="shared" si="3"/>
        <v>9800224.150000006</v>
      </c>
      <c r="F39" s="10">
        <f>+'SEF-19E (BR-01) p2-7'!BK39</f>
        <v>3018100.7010291405</v>
      </c>
      <c r="G39" s="10">
        <f t="shared" si="4"/>
        <v>12818324.851029146</v>
      </c>
      <c r="H39" s="10"/>
      <c r="I39" s="10">
        <f t="shared" si="5"/>
        <v>12818324.851029146</v>
      </c>
    </row>
    <row r="40" spans="1:9" x14ac:dyDescent="0.25">
      <c r="A40" s="4">
        <f t="shared" si="0"/>
        <v>28</v>
      </c>
      <c r="B40" s="14" t="s">
        <v>51</v>
      </c>
      <c r="C40" s="10">
        <f>+'SEF-19E (BR-01) p2-7'!C40</f>
        <v>-41661500.859999999</v>
      </c>
      <c r="D40" s="10">
        <f>+'SEF-19E (BR-01) p2-7'!AG40</f>
        <v>41661500.859999999</v>
      </c>
      <c r="E40" s="10">
        <f t="shared" si="3"/>
        <v>0</v>
      </c>
      <c r="F40" s="10">
        <f>+'SEF-19E (BR-01) p2-7'!BK40</f>
        <v>0</v>
      </c>
      <c r="G40" s="10">
        <f t="shared" si="4"/>
        <v>0</v>
      </c>
      <c r="H40" s="10"/>
      <c r="I40" s="10">
        <f t="shared" si="5"/>
        <v>0</v>
      </c>
    </row>
    <row r="41" spans="1:9" x14ac:dyDescent="0.25">
      <c r="A41" s="4">
        <f t="shared" si="0"/>
        <v>29</v>
      </c>
      <c r="B41" s="8" t="s">
        <v>52</v>
      </c>
      <c r="C41" s="10">
        <f>+'SEF-19E (BR-01) p2-7'!C41</f>
        <v>234440433.30000001</v>
      </c>
      <c r="D41" s="10">
        <f>+'SEF-19E (BR-01) p2-7'!AG41</f>
        <v>-146669918.51362866</v>
      </c>
      <c r="E41" s="10">
        <f t="shared" si="3"/>
        <v>87770514.78637135</v>
      </c>
      <c r="F41" s="10">
        <f>+'SEF-19E (BR-01) p2-7'!BK41</f>
        <v>-1286208.8102873019</v>
      </c>
      <c r="G41" s="10">
        <f t="shared" si="4"/>
        <v>86484305.976084054</v>
      </c>
      <c r="H41" s="10">
        <f>'[2]COC, Def, ConvF'!C21*'[2]COC, Def, ConvF'!M14</f>
        <v>4518028.2252240004</v>
      </c>
      <c r="I41" s="10">
        <f t="shared" si="5"/>
        <v>91002334.201308057</v>
      </c>
    </row>
    <row r="42" spans="1:9" x14ac:dyDescent="0.25">
      <c r="A42" s="4">
        <f t="shared" si="0"/>
        <v>30</v>
      </c>
      <c r="B42" s="8" t="s">
        <v>53</v>
      </c>
      <c r="C42" s="10">
        <f>+'SEF-19E (BR-01) p2-7'!C42</f>
        <v>22841555.030000001</v>
      </c>
      <c r="D42" s="10">
        <f>+'SEF-19E (BR-01) p2-7'!AG42</f>
        <v>60416953.921410412</v>
      </c>
      <c r="E42" s="10">
        <f t="shared" si="3"/>
        <v>83258508.951410413</v>
      </c>
      <c r="F42" s="10">
        <f>+'SEF-19E (BR-01) p2-7'!BK42</f>
        <v>-13593291.637065871</v>
      </c>
      <c r="G42" s="10">
        <f t="shared" si="4"/>
        <v>69665217.31434454</v>
      </c>
      <c r="H42" s="10">
        <f>'[2]COC, Def, ConvF'!C21*'[2]COC, Def, ConvF'!M19</f>
        <v>23496428.931336001</v>
      </c>
      <c r="I42" s="10">
        <f t="shared" si="5"/>
        <v>93161646.245680541</v>
      </c>
    </row>
    <row r="43" spans="1:9" x14ac:dyDescent="0.25">
      <c r="A43" s="4">
        <f t="shared" si="0"/>
        <v>31</v>
      </c>
      <c r="B43" s="14" t="s">
        <v>54</v>
      </c>
      <c r="C43" s="10">
        <f>+'SEF-19E (BR-01) p2-7'!C43</f>
        <v>38907707.560000002</v>
      </c>
      <c r="D43" s="10">
        <f>+'SEF-19E (BR-01) p2-7'!AG43</f>
        <v>-90716508.465295345</v>
      </c>
      <c r="E43" s="10">
        <f t="shared" si="3"/>
        <v>-51808800.905295342</v>
      </c>
      <c r="F43" s="10">
        <f>+'SEF-19E (BR-01) p2-7'!BK43</f>
        <v>-9006372.2399999984</v>
      </c>
      <c r="G43" s="10">
        <f t="shared" si="4"/>
        <v>-60815173.145295337</v>
      </c>
      <c r="H43" s="10"/>
      <c r="I43" s="10">
        <f t="shared" si="5"/>
        <v>-60815173.145295337</v>
      </c>
    </row>
    <row r="44" spans="1:9" x14ac:dyDescent="0.25">
      <c r="A44" s="4">
        <f t="shared" si="0"/>
        <v>32</v>
      </c>
      <c r="B44" s="8" t="s">
        <v>55</v>
      </c>
      <c r="C44" s="18">
        <f t="shared" ref="C44:I44" si="6">SUM(C27:C43)</f>
        <v>2051942496.7299988</v>
      </c>
      <c r="D44" s="18">
        <f t="shared" si="6"/>
        <v>-113317216.11802727</v>
      </c>
      <c r="E44" s="18">
        <f t="shared" si="6"/>
        <v>1938625280.6119714</v>
      </c>
      <c r="F44" s="18">
        <f t="shared" si="6"/>
        <v>-167891482.16354233</v>
      </c>
      <c r="G44" s="18">
        <f t="shared" si="6"/>
        <v>1770733798.4484291</v>
      </c>
      <c r="H44" s="18">
        <f t="shared" si="6"/>
        <v>29247192.087876</v>
      </c>
      <c r="I44" s="18">
        <f t="shared" si="6"/>
        <v>1799980990.536305</v>
      </c>
    </row>
    <row r="45" spans="1:9" x14ac:dyDescent="0.25">
      <c r="A45" s="4">
        <f t="shared" si="0"/>
        <v>33</v>
      </c>
      <c r="B45" s="14"/>
      <c r="C45" s="20"/>
      <c r="D45" s="20"/>
      <c r="E45" s="20"/>
      <c r="F45" s="20"/>
      <c r="G45" s="20"/>
      <c r="H45" s="20"/>
      <c r="I45" s="20"/>
    </row>
    <row r="46" spans="1:9" ht="15.75" thickBot="1" x14ac:dyDescent="0.3">
      <c r="A46" s="4">
        <f t="shared" si="0"/>
        <v>34</v>
      </c>
      <c r="B46" s="14" t="s">
        <v>56</v>
      </c>
      <c r="C46" s="21">
        <f t="shared" ref="C46:I46" si="7">+C18-C44</f>
        <v>391140691.10000062</v>
      </c>
      <c r="D46" s="21">
        <f t="shared" si="7"/>
        <v>-28930014.050740719</v>
      </c>
      <c r="E46" s="21">
        <f t="shared" si="7"/>
        <v>362210677.04926062</v>
      </c>
      <c r="F46" s="21">
        <f t="shared" si="7"/>
        <v>-43987959.209532529</v>
      </c>
      <c r="G46" s="21">
        <f t="shared" si="7"/>
        <v>318222717.83972788</v>
      </c>
      <c r="H46" s="21">
        <f t="shared" si="7"/>
        <v>88391411.912124008</v>
      </c>
      <c r="I46" s="21">
        <f t="shared" si="7"/>
        <v>406614129.75185204</v>
      </c>
    </row>
    <row r="47" spans="1:9" ht="15.75" thickTop="1" x14ac:dyDescent="0.25">
      <c r="A47" s="4">
        <f t="shared" si="0"/>
        <v>35</v>
      </c>
      <c r="G47" s="2"/>
      <c r="I47" s="2"/>
    </row>
    <row r="48" spans="1:9" s="22" customFormat="1" x14ac:dyDescent="0.25">
      <c r="A48" s="4">
        <f t="shared" si="0"/>
        <v>36</v>
      </c>
      <c r="B48" s="8" t="s">
        <v>57</v>
      </c>
      <c r="C48" s="15">
        <f>C59</f>
        <v>5208778506.3049917</v>
      </c>
      <c r="D48" s="15">
        <f>D59</f>
        <v>160996094.08011013</v>
      </c>
      <c r="E48" s="15">
        <f>E59</f>
        <v>5369774600.3851023</v>
      </c>
      <c r="F48" s="15">
        <f>F59</f>
        <v>66243181.539214298</v>
      </c>
      <c r="G48" s="15">
        <f>G59</f>
        <v>5436017781.9243155</v>
      </c>
      <c r="H48" s="15"/>
      <c r="I48" s="15">
        <f>I59</f>
        <v>5436017781.9243155</v>
      </c>
    </row>
    <row r="49" spans="1:10" x14ac:dyDescent="0.25">
      <c r="A49" s="4">
        <f t="shared" si="0"/>
        <v>37</v>
      </c>
      <c r="B49" s="14"/>
      <c r="G49" s="2"/>
      <c r="I49" s="2"/>
    </row>
    <row r="50" spans="1:10" x14ac:dyDescent="0.25">
      <c r="A50" s="4">
        <f t="shared" si="0"/>
        <v>38</v>
      </c>
      <c r="B50" s="8" t="s">
        <v>58</v>
      </c>
      <c r="C50" s="23">
        <f>+C46/C48</f>
        <v>7.5092594286077327E-2</v>
      </c>
      <c r="D50" s="23"/>
      <c r="E50" s="23">
        <f>+E46/E48</f>
        <v>6.7453609137203649E-2</v>
      </c>
      <c r="F50" s="23"/>
      <c r="G50" s="23">
        <f>+G46/G48</f>
        <v>5.8539675660714829E-2</v>
      </c>
      <c r="H50" s="10"/>
      <c r="I50" s="23">
        <f>+I46/I48</f>
        <v>7.4799999938174086E-2</v>
      </c>
    </row>
    <row r="51" spans="1:10" x14ac:dyDescent="0.25">
      <c r="A51" s="4">
        <f t="shared" si="0"/>
        <v>39</v>
      </c>
      <c r="B51" s="14"/>
      <c r="C51" s="10"/>
      <c r="D51" s="10"/>
      <c r="E51" s="10"/>
      <c r="F51" s="10" t="s">
        <v>59</v>
      </c>
      <c r="G51" s="10"/>
      <c r="H51" s="10"/>
      <c r="I51" s="10"/>
    </row>
    <row r="52" spans="1:10" x14ac:dyDescent="0.25">
      <c r="A52" s="4">
        <f t="shared" si="0"/>
        <v>40</v>
      </c>
      <c r="B52" s="14" t="s">
        <v>60</v>
      </c>
      <c r="C52" s="10"/>
      <c r="D52" s="10"/>
      <c r="E52" s="10"/>
      <c r="F52" s="10"/>
      <c r="G52" s="10"/>
      <c r="H52" s="10"/>
      <c r="I52" s="10"/>
    </row>
    <row r="53" spans="1:10" x14ac:dyDescent="0.25">
      <c r="A53" s="4">
        <f t="shared" si="0"/>
        <v>41</v>
      </c>
      <c r="B53" s="24" t="s">
        <v>61</v>
      </c>
      <c r="C53" s="15">
        <f>+'SEF-19E (BR-01) p2-7'!C53</f>
        <v>10572466950.394854</v>
      </c>
      <c r="D53" s="15">
        <f>+'SEF-19E (BR-01) p2-7'!AG53</f>
        <v>321312561.00242585</v>
      </c>
      <c r="E53" s="15">
        <f t="shared" ref="E53:E58" si="8">SUM(C53:D53)</f>
        <v>10893779511.39728</v>
      </c>
      <c r="F53" s="15">
        <f>+'SEF-19E (BR-01) p2-7'!BK53</f>
        <v>68665912.325701013</v>
      </c>
      <c r="G53" s="15">
        <f t="shared" ref="G53:G58" si="9">SUM(E53:F53)</f>
        <v>10962445423.72298</v>
      </c>
      <c r="H53" s="15"/>
      <c r="I53" s="15">
        <f t="shared" ref="I53:I58" si="10">SUM(G53:H53)</f>
        <v>10962445423.72298</v>
      </c>
    </row>
    <row r="54" spans="1:10" x14ac:dyDescent="0.25">
      <c r="A54" s="4">
        <f t="shared" si="0"/>
        <v>42</v>
      </c>
      <c r="B54" s="24" t="s">
        <v>62</v>
      </c>
      <c r="C54" s="10">
        <f>+'SEF-19E (BR-01) p2-7'!C54</f>
        <v>-4244925258.0010071</v>
      </c>
      <c r="D54" s="10">
        <f>+'SEF-19E (BR-01) p2-7'!AG54</f>
        <v>-179466335.93937823</v>
      </c>
      <c r="E54" s="10">
        <f t="shared" si="8"/>
        <v>-4424391593.9403849</v>
      </c>
      <c r="F54" s="10">
        <f>+'SEF-19E (BR-01) p2-7'!BK54</f>
        <v>-3188455.7677531959</v>
      </c>
      <c r="G54" s="10">
        <f t="shared" si="9"/>
        <v>-4427580049.7081385</v>
      </c>
      <c r="H54" s="10"/>
      <c r="I54" s="10">
        <f t="shared" si="10"/>
        <v>-4427580049.7081385</v>
      </c>
    </row>
    <row r="55" spans="1:10" x14ac:dyDescent="0.25">
      <c r="A55" s="4">
        <f t="shared" si="0"/>
        <v>43</v>
      </c>
      <c r="B55" s="14" t="s">
        <v>63</v>
      </c>
      <c r="C55" s="10">
        <f>+'SEF-19E (BR-01) p2-7'!C55</f>
        <v>285841342.02833331</v>
      </c>
      <c r="D55" s="10">
        <f>+'SEF-19E (BR-01) p2-7'!AG55</f>
        <v>-12697238.698333323</v>
      </c>
      <c r="E55" s="10">
        <f t="shared" si="8"/>
        <v>273144103.32999998</v>
      </c>
      <c r="F55" s="10">
        <f>+'SEF-19E (BR-01) p2-7'!BK55</f>
        <v>-5138461.5940564126</v>
      </c>
      <c r="G55" s="10">
        <f t="shared" si="9"/>
        <v>268005641.73594356</v>
      </c>
      <c r="H55" s="10"/>
      <c r="I55" s="10">
        <f t="shared" si="10"/>
        <v>268005641.73594356</v>
      </c>
    </row>
    <row r="56" spans="1:10" x14ac:dyDescent="0.25">
      <c r="A56" s="4">
        <f t="shared" si="0"/>
        <v>44</v>
      </c>
      <c r="B56" s="14" t="s">
        <v>64</v>
      </c>
      <c r="C56" s="10">
        <f>+'SEF-19E (BR-01) p2-7'!C56</f>
        <v>-1443684469.5857882</v>
      </c>
      <c r="D56" s="10">
        <f>+'SEF-19E (BR-01) p2-7'!AG56</f>
        <v>33714623.679620914</v>
      </c>
      <c r="E56" s="10">
        <f t="shared" si="8"/>
        <v>-1409969845.9061673</v>
      </c>
      <c r="F56" s="10">
        <f>+'SEF-19E (BR-01) p2-7'!BK56</f>
        <v>5904186.5753229</v>
      </c>
      <c r="G56" s="10">
        <f t="shared" si="9"/>
        <v>-1404065659.3308444</v>
      </c>
      <c r="H56" s="10"/>
      <c r="I56" s="10">
        <f t="shared" si="10"/>
        <v>-1404065659.3308444</v>
      </c>
    </row>
    <row r="57" spans="1:10" x14ac:dyDescent="0.25">
      <c r="A57" s="4">
        <f t="shared" si="0"/>
        <v>45</v>
      </c>
      <c r="B57" s="14" t="s">
        <v>65</v>
      </c>
      <c r="C57" s="10">
        <f>+'SEF-19E (BR-01) p2-7'!C57</f>
        <v>145303204.9988502</v>
      </c>
      <c r="D57" s="10">
        <f>+'SEF-19E (BR-01) p2-7'!AG57</f>
        <v>0</v>
      </c>
      <c r="E57" s="10">
        <f t="shared" si="8"/>
        <v>145303204.9988502</v>
      </c>
      <c r="F57" s="10">
        <f>+'SEF-19E (BR-01) p2-7'!BK57</f>
        <v>0</v>
      </c>
      <c r="G57" s="10">
        <f t="shared" si="9"/>
        <v>145303204.9988502</v>
      </c>
      <c r="H57" s="10"/>
      <c r="I57" s="10">
        <f t="shared" si="10"/>
        <v>145303204.9988502</v>
      </c>
    </row>
    <row r="58" spans="1:10" x14ac:dyDescent="0.25">
      <c r="A58" s="4">
        <f t="shared" si="0"/>
        <v>46</v>
      </c>
      <c r="B58" s="14" t="s">
        <v>66</v>
      </c>
      <c r="C58" s="10">
        <f>+'SEF-19E (BR-01) p2-7'!C58</f>
        <v>-106223263.53024991</v>
      </c>
      <c r="D58" s="10">
        <f>+'SEF-19E (BR-01) p2-7'!AG58</f>
        <v>-1867515.9642250985</v>
      </c>
      <c r="E58" s="10">
        <f t="shared" si="8"/>
        <v>-108090779.49447501</v>
      </c>
      <c r="F58" s="10">
        <f>+'SEF-19E (BR-01) p2-7'!BK58</f>
        <v>0</v>
      </c>
      <c r="G58" s="10">
        <f t="shared" si="9"/>
        <v>-108090779.49447501</v>
      </c>
      <c r="H58" s="10"/>
      <c r="I58" s="10">
        <f t="shared" si="10"/>
        <v>-108090779.49447501</v>
      </c>
    </row>
    <row r="59" spans="1:10" ht="15.75" thickBot="1" x14ac:dyDescent="0.3">
      <c r="A59" s="4">
        <f t="shared" si="0"/>
        <v>47</v>
      </c>
      <c r="B59" s="14" t="s">
        <v>67</v>
      </c>
      <c r="C59" s="25">
        <f>SUM(C53:C58)</f>
        <v>5208778506.3049917</v>
      </c>
      <c r="D59" s="25">
        <f>SUM(D53:D58)</f>
        <v>160996094.08011013</v>
      </c>
      <c r="E59" s="25">
        <f>SUM(E53:E58)</f>
        <v>5369774600.3851023</v>
      </c>
      <c r="F59" s="25">
        <f>SUM(F53:F58)</f>
        <v>66243181.539214298</v>
      </c>
      <c r="G59" s="25">
        <f>SUM(G53:G58)</f>
        <v>5436017781.9243155</v>
      </c>
      <c r="H59" s="25"/>
      <c r="I59" s="25">
        <f>SUM(I53:I58)</f>
        <v>5436017781.9243155</v>
      </c>
    </row>
    <row r="60" spans="1:10" ht="15.75" thickTop="1" x14ac:dyDescent="0.25">
      <c r="A60" s="4">
        <f t="shared" si="0"/>
        <v>48</v>
      </c>
    </row>
    <row r="61" spans="1:10" x14ac:dyDescent="0.25">
      <c r="A61" s="4">
        <f t="shared" si="0"/>
        <v>49</v>
      </c>
      <c r="B61" s="14" t="s">
        <v>68</v>
      </c>
      <c r="C61" s="160">
        <f>+'[2]COC, Def, ConvF'!$C$13</f>
        <v>7.4800000000000005E-2</v>
      </c>
      <c r="D61" s="160">
        <f>+'[2]COC, Def, ConvF'!$C$13</f>
        <v>7.4800000000000005E-2</v>
      </c>
      <c r="E61" s="160">
        <f>+'[2]COC, Def, ConvF'!$C$13</f>
        <v>7.4800000000000005E-2</v>
      </c>
      <c r="F61" s="160">
        <f>+'[2]COC, Def, ConvF'!$C$13</f>
        <v>7.4800000000000005E-2</v>
      </c>
      <c r="G61" s="160">
        <f>+'[2]COC, Def, ConvF'!$C$13</f>
        <v>7.4800000000000005E-2</v>
      </c>
      <c r="H61" s="160">
        <f>+'[2]COC, Def, ConvF'!$C$13</f>
        <v>7.4800000000000005E-2</v>
      </c>
      <c r="I61" s="160">
        <f>+'[2]COC, Def, ConvF'!$C$13</f>
        <v>7.4800000000000005E-2</v>
      </c>
    </row>
    <row r="62" spans="1:10" x14ac:dyDescent="0.25">
      <c r="A62" s="4">
        <f t="shared" si="0"/>
        <v>50</v>
      </c>
      <c r="B62" s="14" t="s">
        <v>69</v>
      </c>
      <c r="C62" s="26">
        <f>+'[2]COC, Def, ConvF'!$M$20</f>
        <v>0.75138099999999997</v>
      </c>
      <c r="D62" s="26">
        <f>+'[2]COC, Def, ConvF'!$M$20</f>
        <v>0.75138099999999997</v>
      </c>
      <c r="E62" s="26">
        <f>+'[2]COC, Def, ConvF'!$M$20</f>
        <v>0.75138099999999997</v>
      </c>
      <c r="F62" s="26">
        <f>+'[2]COC, Def, ConvF'!$M$20</f>
        <v>0.75138099999999997</v>
      </c>
      <c r="G62" s="26">
        <f>+'[2]COC, Def, ConvF'!$M$20</f>
        <v>0.75138099999999997</v>
      </c>
      <c r="H62" s="26">
        <f>+'[2]COC, Def, ConvF'!$M$20</f>
        <v>0.75138099999999997</v>
      </c>
      <c r="I62" s="26">
        <f>+'[2]COC, Def, ConvF'!$M$20</f>
        <v>0.75138099999999997</v>
      </c>
    </row>
    <row r="63" spans="1:10" x14ac:dyDescent="0.25">
      <c r="A63" s="4">
        <f t="shared" si="0"/>
        <v>51</v>
      </c>
      <c r="B63" s="14" t="s">
        <v>70</v>
      </c>
      <c r="C63" s="66">
        <f t="shared" ref="C63:I63" si="11">+C46-(C59*C61)</f>
        <v>1524058.8283872008</v>
      </c>
      <c r="D63" s="66">
        <f t="shared" si="11"/>
        <v>-40972521.887932956</v>
      </c>
      <c r="E63" s="66">
        <f t="shared" si="11"/>
        <v>-39448463.05954504</v>
      </c>
      <c r="F63" s="66">
        <f t="shared" si="11"/>
        <v>-48942949.188665763</v>
      </c>
      <c r="G63" s="66">
        <f t="shared" si="11"/>
        <v>-88391412.248210967</v>
      </c>
      <c r="H63" s="66">
        <f t="shared" si="11"/>
        <v>88391411.912124008</v>
      </c>
      <c r="I63" s="66">
        <f t="shared" si="11"/>
        <v>-0.33608680963516235</v>
      </c>
      <c r="J63" s="53"/>
    </row>
    <row r="64" spans="1:10" x14ac:dyDescent="0.25">
      <c r="A64" s="4">
        <f t="shared" si="0"/>
        <v>52</v>
      </c>
      <c r="B64" s="14" t="s">
        <v>71</v>
      </c>
      <c r="C64" s="66">
        <f t="shared" ref="C64:I64" si="12">-C63/C62</f>
        <v>-2028343.5812020812</v>
      </c>
      <c r="D64" s="66">
        <f t="shared" si="12"/>
        <v>54529621.973317079</v>
      </c>
      <c r="E64" s="66">
        <f t="shared" si="12"/>
        <v>52501278.392114043</v>
      </c>
      <c r="F64" s="66">
        <f t="shared" si="12"/>
        <v>65137326.055178083</v>
      </c>
      <c r="G64" s="66">
        <f t="shared" si="12"/>
        <v>117638604.44729234</v>
      </c>
      <c r="H64" s="66">
        <f t="shared" si="12"/>
        <v>-117638604.00000001</v>
      </c>
      <c r="I64" s="66">
        <f t="shared" si="12"/>
        <v>0.44729213226733489</v>
      </c>
      <c r="J64" s="53"/>
    </row>
    <row r="65" spans="1:10" x14ac:dyDescent="0.25">
      <c r="C65" s="54"/>
      <c r="D65" s="54"/>
      <c r="E65" s="54"/>
      <c r="F65" s="54"/>
      <c r="G65" s="53"/>
      <c r="H65" s="54"/>
      <c r="I65" s="53"/>
      <c r="J65" s="53"/>
    </row>
    <row r="66" spans="1:10" x14ac:dyDescent="0.25">
      <c r="A66" s="27"/>
      <c r="B66" s="27"/>
      <c r="C66" s="173"/>
      <c r="D66" s="173"/>
      <c r="E66" s="173"/>
      <c r="F66" s="173"/>
      <c r="G66" s="173"/>
      <c r="H66" s="173"/>
      <c r="I66" s="53"/>
      <c r="J66" s="53"/>
    </row>
    <row r="67" spans="1:10" x14ac:dyDescent="0.25">
      <c r="A67" s="27"/>
      <c r="B67" s="27"/>
      <c r="C67" s="27"/>
      <c r="D67" s="27"/>
      <c r="E67" s="27"/>
      <c r="F67" s="27"/>
      <c r="G67" s="27"/>
      <c r="H67" s="27"/>
    </row>
    <row r="68" spans="1:10" x14ac:dyDescent="0.25">
      <c r="A68" s="27"/>
      <c r="B68" s="27"/>
      <c r="C68" s="27"/>
      <c r="D68" s="27"/>
      <c r="E68" s="27"/>
      <c r="F68" s="27"/>
      <c r="G68" s="27"/>
      <c r="H68" s="27"/>
    </row>
    <row r="69" spans="1:10" x14ac:dyDescent="0.25">
      <c r="A69" s="27"/>
      <c r="B69" s="27"/>
      <c r="C69" s="27"/>
      <c r="D69" s="27"/>
      <c r="E69" s="27"/>
      <c r="F69" s="27"/>
      <c r="G69" s="27"/>
      <c r="H69" s="27"/>
    </row>
    <row r="70" spans="1:10" x14ac:dyDescent="0.25">
      <c r="A70" s="27"/>
      <c r="B70" s="27"/>
      <c r="C70" s="27"/>
      <c r="D70" s="27"/>
      <c r="E70" s="27"/>
      <c r="F70" s="27"/>
      <c r="G70" s="27"/>
      <c r="H70" s="27"/>
    </row>
    <row r="71" spans="1:10" x14ac:dyDescent="0.25">
      <c r="A71" s="27"/>
      <c r="B71" s="27"/>
      <c r="C71" s="27"/>
      <c r="D71" s="27"/>
      <c r="E71" s="27"/>
      <c r="F71" s="27"/>
      <c r="G71" s="27"/>
      <c r="H71" s="27"/>
    </row>
    <row r="72" spans="1:10" x14ac:dyDescent="0.25">
      <c r="A72" s="27"/>
      <c r="B72" s="27"/>
      <c r="C72" s="27"/>
      <c r="D72" s="27"/>
      <c r="E72" s="27"/>
      <c r="F72" s="27"/>
      <c r="G72" s="27"/>
      <c r="H72" s="27"/>
    </row>
    <row r="73" spans="1:10" x14ac:dyDescent="0.25">
      <c r="A73" s="27"/>
      <c r="B73" s="27"/>
      <c r="C73" s="27"/>
      <c r="D73" s="27"/>
      <c r="E73" s="27"/>
      <c r="F73" s="27"/>
      <c r="G73" s="27"/>
      <c r="H73" s="27"/>
    </row>
    <row r="74" spans="1:10" x14ac:dyDescent="0.25">
      <c r="A74" s="27"/>
      <c r="B74" s="27"/>
      <c r="C74" s="27"/>
      <c r="D74" s="27"/>
      <c r="E74" s="27"/>
      <c r="F74" s="27"/>
      <c r="G74" s="27"/>
      <c r="H74" s="27"/>
    </row>
    <row r="75" spans="1:10" x14ac:dyDescent="0.25">
      <c r="A75" s="27"/>
      <c r="B75" s="27"/>
      <c r="C75" s="27"/>
      <c r="D75" s="27"/>
      <c r="E75" s="27"/>
      <c r="F75" s="27"/>
      <c r="G75" s="27"/>
      <c r="H75" s="27"/>
    </row>
    <row r="76" spans="1:10" ht="15" customHeight="1" x14ac:dyDescent="0.25">
      <c r="C76" s="1"/>
      <c r="D76" s="28"/>
      <c r="E76" s="28"/>
      <c r="F76" s="28"/>
      <c r="H76" s="1"/>
    </row>
    <row r="77" spans="1:10" ht="15.75" customHeight="1" x14ac:dyDescent="0.25">
      <c r="C77" s="1"/>
      <c r="D77" s="28"/>
      <c r="E77" s="28"/>
      <c r="F77" s="28"/>
      <c r="H77" s="1"/>
    </row>
    <row r="78" spans="1:10" x14ac:dyDescent="0.25">
      <c r="H78" s="1"/>
    </row>
  </sheetData>
  <printOptions horizontalCentered="1"/>
  <pageMargins left="0.2" right="0.2" top="0.25" bottom="0.5" header="0.05" footer="0.1"/>
  <pageSetup scale="5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3"/>
  <sheetViews>
    <sheetView tabSelected="1" zoomScale="85" zoomScaleNormal="85" workbookViewId="0">
      <pane xSplit="2" ySplit="11" topLeftCell="AU12" activePane="bottomRight" state="frozen"/>
      <selection activeCell="H59" sqref="H59"/>
      <selection pane="topRight" activeCell="H59" sqref="H59"/>
      <selection pane="bottomLeft" activeCell="H59" sqref="H59"/>
      <selection pane="bottomRight" activeCell="AU16" sqref="AU16"/>
    </sheetView>
  </sheetViews>
  <sheetFormatPr defaultColWidth="9.140625" defaultRowHeight="12.75" outlineLevelCol="1" x14ac:dyDescent="0.2"/>
  <cols>
    <col min="1" max="1" width="4.5703125" style="30" bestFit="1" customWidth="1"/>
    <col min="2" max="2" width="41.7109375" style="30" customWidth="1"/>
    <col min="3" max="3" width="17.28515625" style="30" customWidth="1"/>
    <col min="4" max="6" width="15.28515625" style="30" customWidth="1"/>
    <col min="7" max="7" width="14.140625" style="30" bestFit="1" customWidth="1"/>
    <col min="8" max="8" width="17.5703125" style="30" bestFit="1" customWidth="1"/>
    <col min="9" max="21" width="15.28515625" style="30" customWidth="1"/>
    <col min="22" max="22" width="16" style="30" bestFit="1" customWidth="1"/>
    <col min="23" max="29" width="15.28515625" style="30" customWidth="1"/>
    <col min="30" max="30" width="16.85546875" style="30" bestFit="1" customWidth="1"/>
    <col min="31" max="32" width="15.28515625" style="30" hidden="1" customWidth="1" outlineLevel="1"/>
    <col min="33" max="33" width="15.28515625" style="30" customWidth="1" collapsed="1"/>
    <col min="34" max="34" width="17.140625" style="30" customWidth="1"/>
    <col min="35" max="35" width="15.28515625" style="30" customWidth="1"/>
    <col min="36" max="36" width="14.85546875" style="30" customWidth="1"/>
    <col min="37" max="45" width="15.28515625" style="30" customWidth="1"/>
    <col min="46" max="46" width="16" style="30" customWidth="1"/>
    <col min="47" max="47" width="15.28515625" style="30" customWidth="1"/>
    <col min="48" max="48" width="16" style="30" customWidth="1"/>
    <col min="49" max="51" width="15.28515625" style="30" customWidth="1"/>
    <col min="52" max="52" width="18.140625" style="30" customWidth="1"/>
    <col min="53" max="53" width="15.28515625" style="30" customWidth="1"/>
    <col min="54" max="54" width="16" style="30" customWidth="1"/>
    <col min="55" max="61" width="15.28515625" style="30" customWidth="1"/>
    <col min="62" max="62" width="15.28515625" style="30" hidden="1" customWidth="1" outlineLevel="1"/>
    <col min="63" max="63" width="16.28515625" style="30" bestFit="1" customWidth="1" collapsed="1"/>
    <col min="64" max="64" width="17.28515625" style="30" bestFit="1" customWidth="1"/>
    <col min="65" max="65" width="15.85546875" style="30" bestFit="1" customWidth="1"/>
    <col min="66" max="71" width="9.140625" style="30"/>
    <col min="72" max="72" width="11.5703125" style="30" bestFit="1" customWidth="1"/>
    <col min="73" max="16384" width="9.140625" style="30"/>
  </cols>
  <sheetData>
    <row r="1" spans="1:64" x14ac:dyDescent="0.2">
      <c r="A1" s="29" t="s">
        <v>0</v>
      </c>
      <c r="C1" s="29"/>
      <c r="M1" s="29"/>
      <c r="AI1" s="29"/>
      <c r="AJ1" s="29"/>
      <c r="AK1" s="29"/>
      <c r="AL1" s="29"/>
      <c r="AM1" s="29"/>
      <c r="AO1" s="29"/>
      <c r="AP1" s="29"/>
      <c r="AQ1" s="29"/>
      <c r="AR1" s="29"/>
      <c r="AT1" s="29"/>
      <c r="AU1" s="29"/>
      <c r="AW1" s="29"/>
      <c r="AX1" s="29"/>
      <c r="AY1" s="29"/>
      <c r="AZ1" s="29"/>
      <c r="BA1" s="29"/>
      <c r="BB1" s="29"/>
      <c r="BC1" s="29"/>
      <c r="BF1" s="29"/>
      <c r="BG1" s="29"/>
      <c r="BH1" s="29"/>
      <c r="BI1" s="29"/>
      <c r="BJ1" s="29"/>
      <c r="BL1" s="29"/>
    </row>
    <row r="2" spans="1:64" ht="14.25" x14ac:dyDescent="0.2">
      <c r="A2" s="29" t="s">
        <v>1</v>
      </c>
      <c r="C2" s="29"/>
      <c r="K2" s="31" t="s">
        <v>253</v>
      </c>
      <c r="L2" s="32"/>
      <c r="U2" s="31" t="s">
        <v>254</v>
      </c>
      <c r="V2" s="32"/>
      <c r="AH2" s="31" t="s">
        <v>255</v>
      </c>
      <c r="AI2" s="32"/>
      <c r="AM2" s="29"/>
      <c r="AN2" s="29"/>
      <c r="AO2" s="29"/>
      <c r="AP2" s="29"/>
      <c r="AQ2" s="29"/>
      <c r="AR2" s="31" t="s">
        <v>256</v>
      </c>
      <c r="AS2" s="32"/>
      <c r="AX2" s="29"/>
      <c r="AY2" s="29"/>
      <c r="AZ2" s="29"/>
      <c r="BA2" s="29"/>
      <c r="BB2" s="31" t="s">
        <v>257</v>
      </c>
      <c r="BC2" s="32"/>
      <c r="BH2" s="29"/>
      <c r="BI2" s="29"/>
      <c r="BJ2" s="29"/>
      <c r="BK2" s="31" t="s">
        <v>258</v>
      </c>
      <c r="BL2" s="32"/>
    </row>
    <row r="3" spans="1:64" x14ac:dyDescent="0.2">
      <c r="A3" s="29" t="s">
        <v>2</v>
      </c>
      <c r="C3" s="29"/>
    </row>
    <row r="4" spans="1:64" x14ac:dyDescent="0.2">
      <c r="A4" s="29" t="str">
        <f>CASE_E</f>
        <v>2019 GENERAL RATE CASE</v>
      </c>
      <c r="C4" s="29"/>
      <c r="BB4" s="33"/>
    </row>
    <row r="5" spans="1:64" x14ac:dyDescent="0.2">
      <c r="A5" s="29" t="str">
        <f>TESTYEAR_E</f>
        <v>12 MONTHS ENDED DECEMBER 31, 2018</v>
      </c>
      <c r="C5" s="29"/>
      <c r="T5" s="34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</row>
    <row r="6" spans="1:64" x14ac:dyDescent="0.2">
      <c r="D6" s="35" t="s">
        <v>72</v>
      </c>
      <c r="E6" s="35" t="s">
        <v>72</v>
      </c>
      <c r="F6" s="35" t="s">
        <v>72</v>
      </c>
      <c r="G6" s="35" t="s">
        <v>72</v>
      </c>
      <c r="H6" s="35" t="s">
        <v>72</v>
      </c>
      <c r="I6" s="35" t="s">
        <v>72</v>
      </c>
      <c r="J6" s="35" t="s">
        <v>72</v>
      </c>
      <c r="K6" s="35" t="s">
        <v>72</v>
      </c>
      <c r="L6" s="35" t="s">
        <v>72</v>
      </c>
      <c r="M6" s="35" t="s">
        <v>72</v>
      </c>
      <c r="N6" s="35" t="s">
        <v>72</v>
      </c>
      <c r="O6" s="35" t="s">
        <v>72</v>
      </c>
      <c r="P6" s="35" t="s">
        <v>72</v>
      </c>
      <c r="Q6" s="35" t="s">
        <v>72</v>
      </c>
      <c r="R6" s="35" t="s">
        <v>72</v>
      </c>
      <c r="S6" s="35" t="s">
        <v>72</v>
      </c>
      <c r="T6" s="36" t="s">
        <v>72</v>
      </c>
      <c r="U6" s="35" t="s">
        <v>72</v>
      </c>
      <c r="V6" s="35" t="s">
        <v>72</v>
      </c>
      <c r="W6" s="35" t="s">
        <v>72</v>
      </c>
      <c r="X6" s="35" t="s">
        <v>72</v>
      </c>
      <c r="Y6" s="37" t="s">
        <v>73</v>
      </c>
      <c r="Z6" s="37" t="s">
        <v>73</v>
      </c>
      <c r="AA6" s="37" t="s">
        <v>73</v>
      </c>
      <c r="AB6" s="37" t="s">
        <v>73</v>
      </c>
      <c r="AC6" s="37" t="s">
        <v>73</v>
      </c>
      <c r="AD6" s="37" t="s">
        <v>73</v>
      </c>
      <c r="AE6" s="37" t="s">
        <v>73</v>
      </c>
      <c r="AF6" s="37" t="s">
        <v>73</v>
      </c>
      <c r="AI6" s="35" t="s">
        <v>72</v>
      </c>
      <c r="AJ6" s="35" t="s">
        <v>72</v>
      </c>
      <c r="AK6" s="35" t="s">
        <v>72</v>
      </c>
      <c r="AL6" s="35" t="s">
        <v>72</v>
      </c>
      <c r="AM6" s="35" t="s">
        <v>72</v>
      </c>
      <c r="AN6" s="35" t="s">
        <v>72</v>
      </c>
      <c r="AO6" s="35" t="s">
        <v>72</v>
      </c>
      <c r="AP6" s="35" t="s">
        <v>72</v>
      </c>
      <c r="AQ6" s="35" t="s">
        <v>72</v>
      </c>
      <c r="AR6" s="35" t="s">
        <v>72</v>
      </c>
      <c r="AS6" s="35" t="s">
        <v>72</v>
      </c>
      <c r="AT6" s="35" t="s">
        <v>72</v>
      </c>
      <c r="AU6" s="35" t="s">
        <v>72</v>
      </c>
      <c r="AV6" s="35" t="s">
        <v>72</v>
      </c>
      <c r="AW6" s="35" t="s">
        <v>72</v>
      </c>
      <c r="AX6" s="35" t="s">
        <v>72</v>
      </c>
      <c r="AY6" s="35" t="s">
        <v>72</v>
      </c>
      <c r="AZ6" s="35" t="s">
        <v>72</v>
      </c>
      <c r="BA6" s="35" t="s">
        <v>72</v>
      </c>
      <c r="BB6" s="37" t="s">
        <v>73</v>
      </c>
      <c r="BC6" s="37" t="s">
        <v>73</v>
      </c>
      <c r="BD6" s="37" t="s">
        <v>73</v>
      </c>
      <c r="BE6" s="37" t="s">
        <v>73</v>
      </c>
      <c r="BF6" s="37" t="s">
        <v>73</v>
      </c>
      <c r="BG6" s="37" t="s">
        <v>73</v>
      </c>
      <c r="BH6" s="37" t="s">
        <v>73</v>
      </c>
      <c r="BI6" s="37" t="s">
        <v>73</v>
      </c>
      <c r="BJ6" s="37" t="s">
        <v>73</v>
      </c>
    </row>
    <row r="7" spans="1:64" x14ac:dyDescent="0.2">
      <c r="D7" s="38" t="s">
        <v>74</v>
      </c>
      <c r="E7" s="38" t="s">
        <v>74</v>
      </c>
      <c r="F7" s="38" t="s">
        <v>74</v>
      </c>
      <c r="G7" s="38" t="s">
        <v>74</v>
      </c>
      <c r="H7" s="38" t="s">
        <v>74</v>
      </c>
      <c r="I7" s="38" t="s">
        <v>74</v>
      </c>
      <c r="J7" s="38" t="s">
        <v>74</v>
      </c>
      <c r="K7" s="38" t="s">
        <v>74</v>
      </c>
      <c r="L7" s="38" t="s">
        <v>74</v>
      </c>
      <c r="M7" s="38" t="s">
        <v>74</v>
      </c>
      <c r="N7" s="38" t="s">
        <v>74</v>
      </c>
      <c r="O7" s="38" t="s">
        <v>74</v>
      </c>
      <c r="P7" s="38" t="s">
        <v>74</v>
      </c>
      <c r="Q7" s="38" t="s">
        <v>74</v>
      </c>
      <c r="R7" s="38" t="s">
        <v>74</v>
      </c>
      <c r="S7" s="38" t="s">
        <v>74</v>
      </c>
      <c r="T7" s="39" t="s">
        <v>74</v>
      </c>
      <c r="U7" s="38" t="s">
        <v>74</v>
      </c>
      <c r="V7" s="38" t="s">
        <v>74</v>
      </c>
      <c r="W7" s="38" t="s">
        <v>74</v>
      </c>
      <c r="X7" s="38" t="s">
        <v>74</v>
      </c>
      <c r="Y7" s="38" t="s">
        <v>74</v>
      </c>
      <c r="Z7" s="38" t="s">
        <v>74</v>
      </c>
      <c r="AA7" s="38" t="s">
        <v>74</v>
      </c>
      <c r="AB7" s="38" t="s">
        <v>74</v>
      </c>
      <c r="AC7" s="38" t="s">
        <v>74</v>
      </c>
      <c r="AD7" s="38" t="s">
        <v>74</v>
      </c>
      <c r="AE7" s="38" t="s">
        <v>74</v>
      </c>
      <c r="AF7" s="38" t="s">
        <v>74</v>
      </c>
      <c r="AG7" s="40"/>
      <c r="AH7" s="40"/>
      <c r="AI7" s="39" t="s">
        <v>12</v>
      </c>
      <c r="AJ7" s="39" t="s">
        <v>12</v>
      </c>
      <c r="AK7" s="39" t="s">
        <v>12</v>
      </c>
      <c r="AL7" s="39" t="s">
        <v>12</v>
      </c>
      <c r="AM7" s="39" t="s">
        <v>12</v>
      </c>
      <c r="AN7" s="39" t="s">
        <v>12</v>
      </c>
      <c r="AO7" s="39" t="s">
        <v>12</v>
      </c>
      <c r="AP7" s="39" t="s">
        <v>12</v>
      </c>
      <c r="AQ7" s="39" t="s">
        <v>12</v>
      </c>
      <c r="AR7" s="39" t="s">
        <v>12</v>
      </c>
      <c r="AS7" s="39" t="s">
        <v>12</v>
      </c>
      <c r="AT7" s="39" t="s">
        <v>12</v>
      </c>
      <c r="AU7" s="39" t="s">
        <v>12</v>
      </c>
      <c r="AV7" s="39" t="s">
        <v>12</v>
      </c>
      <c r="AW7" s="39" t="s">
        <v>12</v>
      </c>
      <c r="AX7" s="39" t="s">
        <v>12</v>
      </c>
      <c r="AY7" s="39" t="s">
        <v>12</v>
      </c>
      <c r="AZ7" s="39" t="s">
        <v>12</v>
      </c>
      <c r="BA7" s="39" t="s">
        <v>12</v>
      </c>
      <c r="BB7" s="39" t="s">
        <v>12</v>
      </c>
      <c r="BC7" s="39" t="s">
        <v>12</v>
      </c>
      <c r="BD7" s="39" t="s">
        <v>12</v>
      </c>
      <c r="BE7" s="39" t="s">
        <v>12</v>
      </c>
      <c r="BF7" s="39" t="s">
        <v>12</v>
      </c>
      <c r="BG7" s="39" t="s">
        <v>12</v>
      </c>
      <c r="BH7" s="39" t="s">
        <v>12</v>
      </c>
      <c r="BI7" s="39" t="s">
        <v>12</v>
      </c>
      <c r="BJ7" s="39" t="s">
        <v>12</v>
      </c>
    </row>
    <row r="8" spans="1:64" x14ac:dyDescent="0.2">
      <c r="T8" s="34"/>
      <c r="U8" s="41"/>
      <c r="AL8" s="42" t="s">
        <v>75</v>
      </c>
      <c r="AM8" s="42" t="s">
        <v>75</v>
      </c>
      <c r="BB8" s="34"/>
      <c r="BC8" s="34"/>
      <c r="BD8" s="34"/>
      <c r="BE8" s="34"/>
      <c r="BF8" s="34"/>
      <c r="BG8" s="34"/>
      <c r="BH8" s="34"/>
      <c r="BI8" s="34"/>
      <c r="BJ8" s="34"/>
    </row>
    <row r="9" spans="1:64" x14ac:dyDescent="0.2">
      <c r="C9" s="41" t="s">
        <v>3</v>
      </c>
      <c r="D9" s="43">
        <v>20.010000000000002</v>
      </c>
      <c r="E9" s="43">
        <f t="shared" ref="E9:V9" si="0">+D9+0.01</f>
        <v>20.020000000000003</v>
      </c>
      <c r="F9" s="43">
        <f t="shared" si="0"/>
        <v>20.030000000000005</v>
      </c>
      <c r="G9" s="43">
        <f t="shared" si="0"/>
        <v>20.040000000000006</v>
      </c>
      <c r="H9" s="43">
        <f t="shared" si="0"/>
        <v>20.050000000000008</v>
      </c>
      <c r="I9" s="43">
        <f t="shared" si="0"/>
        <v>20.060000000000009</v>
      </c>
      <c r="J9" s="43">
        <f t="shared" si="0"/>
        <v>20.070000000000011</v>
      </c>
      <c r="K9" s="43">
        <f t="shared" si="0"/>
        <v>20.080000000000013</v>
      </c>
      <c r="L9" s="43">
        <f t="shared" si="0"/>
        <v>20.090000000000014</v>
      </c>
      <c r="M9" s="43">
        <f t="shared" si="0"/>
        <v>20.100000000000016</v>
      </c>
      <c r="N9" s="43">
        <f t="shared" si="0"/>
        <v>20.110000000000017</v>
      </c>
      <c r="O9" s="43">
        <f t="shared" si="0"/>
        <v>20.120000000000019</v>
      </c>
      <c r="P9" s="43">
        <f t="shared" si="0"/>
        <v>20.13000000000002</v>
      </c>
      <c r="Q9" s="43">
        <f t="shared" si="0"/>
        <v>20.140000000000022</v>
      </c>
      <c r="R9" s="43">
        <f t="shared" si="0"/>
        <v>20.150000000000023</v>
      </c>
      <c r="S9" s="43">
        <f t="shared" si="0"/>
        <v>20.160000000000025</v>
      </c>
      <c r="T9" s="43">
        <f t="shared" si="0"/>
        <v>20.170000000000027</v>
      </c>
      <c r="U9" s="43">
        <f t="shared" si="0"/>
        <v>20.180000000000028</v>
      </c>
      <c r="V9" s="43">
        <f t="shared" si="0"/>
        <v>20.19000000000003</v>
      </c>
      <c r="W9" s="43">
        <v>20.23</v>
      </c>
      <c r="X9" s="43">
        <v>20.3</v>
      </c>
      <c r="Y9" s="43">
        <v>21.01</v>
      </c>
      <c r="Z9" s="43">
        <f>+Y9+0.01</f>
        <v>21.020000000000003</v>
      </c>
      <c r="AA9" s="43">
        <f>+Z9+0.01</f>
        <v>21.030000000000005</v>
      </c>
      <c r="AB9" s="43">
        <f>+AA9+0.01</f>
        <v>21.040000000000006</v>
      </c>
      <c r="AC9" s="43">
        <f>+AB9+0.01</f>
        <v>21.050000000000008</v>
      </c>
      <c r="AD9" s="43">
        <f>AC9+0.02</f>
        <v>21.070000000000007</v>
      </c>
      <c r="AE9" s="43">
        <v>0</v>
      </c>
      <c r="AF9" s="43">
        <v>0</v>
      </c>
      <c r="AG9" s="44" t="s">
        <v>76</v>
      </c>
      <c r="AH9" s="44" t="s">
        <v>4</v>
      </c>
      <c r="AI9" s="45">
        <f>+D9</f>
        <v>20.010000000000002</v>
      </c>
      <c r="AJ9" s="45">
        <f>+E9</f>
        <v>20.020000000000003</v>
      </c>
      <c r="AK9" s="45">
        <f>+G9</f>
        <v>20.040000000000006</v>
      </c>
      <c r="AL9" s="45">
        <f>+L9</f>
        <v>20.090000000000014</v>
      </c>
      <c r="AM9" s="45">
        <f>+M9</f>
        <v>20.100000000000016</v>
      </c>
      <c r="AN9" s="45">
        <v>20.14</v>
      </c>
      <c r="AO9" s="45">
        <v>20.149999999999999</v>
      </c>
      <c r="AP9" s="45">
        <f>+AO9+0.01</f>
        <v>20.16</v>
      </c>
      <c r="AQ9" s="45">
        <f>+AP9+0.01</f>
        <v>20.170000000000002</v>
      </c>
      <c r="AR9" s="45">
        <v>20.2</v>
      </c>
      <c r="AS9" s="45">
        <f>+AR9+0.01</f>
        <v>20.21</v>
      </c>
      <c r="AT9" s="45">
        <f t="shared" ref="AT9:BA9" si="1">+AS9+0.01</f>
        <v>20.220000000000002</v>
      </c>
      <c r="AU9" s="45">
        <f t="shared" si="1"/>
        <v>20.230000000000004</v>
      </c>
      <c r="AV9" s="45">
        <f t="shared" si="1"/>
        <v>20.240000000000006</v>
      </c>
      <c r="AW9" s="45">
        <f t="shared" si="1"/>
        <v>20.250000000000007</v>
      </c>
      <c r="AX9" s="45">
        <f t="shared" si="1"/>
        <v>20.260000000000009</v>
      </c>
      <c r="AY9" s="45">
        <f t="shared" si="1"/>
        <v>20.27000000000001</v>
      </c>
      <c r="AZ9" s="45">
        <f t="shared" si="1"/>
        <v>20.280000000000012</v>
      </c>
      <c r="BA9" s="45">
        <f t="shared" si="1"/>
        <v>20.290000000000013</v>
      </c>
      <c r="BB9" s="45">
        <f>+'SEF-19E (BR-01) p2-7'!Y9</f>
        <v>21.01</v>
      </c>
      <c r="BC9" s="45">
        <f>+'SEF-19E (BR-01) p2-7'!Z9</f>
        <v>21.020000000000003</v>
      </c>
      <c r="BD9" s="45">
        <f>+AC9</f>
        <v>21.050000000000008</v>
      </c>
      <c r="BE9" s="45">
        <f>+BD9+0.01</f>
        <v>21.060000000000009</v>
      </c>
      <c r="BF9" s="45">
        <v>21.08</v>
      </c>
      <c r="BG9" s="45">
        <v>21.09</v>
      </c>
      <c r="BH9" s="45">
        <v>21.1</v>
      </c>
      <c r="BI9" s="45">
        <v>21.11</v>
      </c>
      <c r="BJ9" s="45"/>
      <c r="BK9" s="46" t="s">
        <v>76</v>
      </c>
      <c r="BL9" s="46" t="s">
        <v>12</v>
      </c>
    </row>
    <row r="10" spans="1:64" ht="13.5" customHeight="1" x14ac:dyDescent="0.2">
      <c r="A10" s="41" t="s">
        <v>8</v>
      </c>
      <c r="B10" s="41" t="s">
        <v>9</v>
      </c>
      <c r="C10" s="41" t="s">
        <v>10</v>
      </c>
      <c r="D10" s="41" t="s">
        <v>77</v>
      </c>
      <c r="E10" s="41" t="s">
        <v>78</v>
      </c>
      <c r="F10" s="41" t="s">
        <v>79</v>
      </c>
      <c r="G10" s="41" t="s">
        <v>80</v>
      </c>
      <c r="H10" s="41" t="s">
        <v>81</v>
      </c>
      <c r="I10" s="41" t="s">
        <v>82</v>
      </c>
      <c r="J10" s="47" t="s">
        <v>83</v>
      </c>
      <c r="K10" s="41" t="s">
        <v>84</v>
      </c>
      <c r="L10" s="41" t="s">
        <v>85</v>
      </c>
      <c r="M10" s="41" t="s">
        <v>86</v>
      </c>
      <c r="N10" s="41" t="s">
        <v>87</v>
      </c>
      <c r="O10" s="41" t="s">
        <v>88</v>
      </c>
      <c r="P10" s="41" t="s">
        <v>89</v>
      </c>
      <c r="Q10" s="41" t="s">
        <v>90</v>
      </c>
      <c r="R10" s="41" t="s">
        <v>91</v>
      </c>
      <c r="S10" s="41" t="s">
        <v>92</v>
      </c>
      <c r="T10" s="41" t="s">
        <v>93</v>
      </c>
      <c r="U10" s="41" t="s">
        <v>94</v>
      </c>
      <c r="V10" s="41" t="s">
        <v>94</v>
      </c>
      <c r="W10" s="41" t="s">
        <v>95</v>
      </c>
      <c r="X10" s="41" t="s">
        <v>96</v>
      </c>
      <c r="Y10" s="41" t="s">
        <v>97</v>
      </c>
      <c r="Z10" s="41" t="s">
        <v>98</v>
      </c>
      <c r="AA10" s="41" t="s">
        <v>99</v>
      </c>
      <c r="AB10" s="41" t="s">
        <v>100</v>
      </c>
      <c r="AC10" s="41" t="s">
        <v>101</v>
      </c>
      <c r="AD10" s="41" t="s">
        <v>102</v>
      </c>
      <c r="AE10" s="41" t="s">
        <v>103</v>
      </c>
      <c r="AF10" s="41" t="s">
        <v>103</v>
      </c>
      <c r="AG10" s="48" t="s">
        <v>74</v>
      </c>
      <c r="AH10" s="48" t="s">
        <v>10</v>
      </c>
      <c r="AI10" s="41" t="s">
        <v>77</v>
      </c>
      <c r="AJ10" s="41" t="s">
        <v>78</v>
      </c>
      <c r="AK10" s="41" t="s">
        <v>80</v>
      </c>
      <c r="AL10" s="41" t="s">
        <v>85</v>
      </c>
      <c r="AM10" s="41" t="s">
        <v>86</v>
      </c>
      <c r="AN10" s="41" t="s">
        <v>104</v>
      </c>
      <c r="AO10" s="41" t="s">
        <v>105</v>
      </c>
      <c r="AP10" s="41" t="s">
        <v>92</v>
      </c>
      <c r="AQ10" s="41" t="s">
        <v>93</v>
      </c>
      <c r="AR10" s="41" t="s">
        <v>106</v>
      </c>
      <c r="AS10" s="41" t="s">
        <v>107</v>
      </c>
      <c r="AT10" s="41" t="s">
        <v>108</v>
      </c>
      <c r="AU10" s="41" t="s">
        <v>95</v>
      </c>
      <c r="AV10" s="41" t="s">
        <v>109</v>
      </c>
      <c r="AW10" s="41" t="s">
        <v>110</v>
      </c>
      <c r="AX10" s="41" t="s">
        <v>111</v>
      </c>
      <c r="AY10" s="41" t="s">
        <v>112</v>
      </c>
      <c r="AZ10" s="41" t="s">
        <v>113</v>
      </c>
      <c r="BA10" s="41"/>
      <c r="BB10" s="41" t="s">
        <v>97</v>
      </c>
      <c r="BC10" s="41" t="s">
        <v>98</v>
      </c>
      <c r="BD10" s="41" t="s">
        <v>101</v>
      </c>
      <c r="BE10" s="41" t="s">
        <v>114</v>
      </c>
      <c r="BF10" s="41" t="s">
        <v>115</v>
      </c>
      <c r="BG10" s="41" t="s">
        <v>116</v>
      </c>
      <c r="BH10" s="41" t="s">
        <v>117</v>
      </c>
      <c r="BI10" s="41" t="s">
        <v>118</v>
      </c>
      <c r="BJ10" s="41"/>
      <c r="BK10" s="48" t="s">
        <v>119</v>
      </c>
      <c r="BL10" s="48" t="s">
        <v>10</v>
      </c>
    </row>
    <row r="11" spans="1:64" x14ac:dyDescent="0.2">
      <c r="A11" s="41" t="s">
        <v>15</v>
      </c>
      <c r="C11" s="41" t="s">
        <v>16</v>
      </c>
      <c r="D11" s="41" t="s">
        <v>120</v>
      </c>
      <c r="E11" s="41" t="s">
        <v>121</v>
      </c>
      <c r="F11" s="49" t="s">
        <v>122</v>
      </c>
      <c r="G11" s="49" t="s">
        <v>123</v>
      </c>
      <c r="H11" s="41" t="s">
        <v>124</v>
      </c>
      <c r="I11" s="41" t="s">
        <v>125</v>
      </c>
      <c r="J11" s="47" t="s">
        <v>126</v>
      </c>
      <c r="K11" s="41" t="s">
        <v>127</v>
      </c>
      <c r="L11" s="49" t="s">
        <v>128</v>
      </c>
      <c r="M11" s="49" t="s">
        <v>129</v>
      </c>
      <c r="N11" s="49" t="s">
        <v>130</v>
      </c>
      <c r="O11" s="41" t="s">
        <v>131</v>
      </c>
      <c r="P11" s="41" t="s">
        <v>132</v>
      </c>
      <c r="Q11" s="41" t="s">
        <v>133</v>
      </c>
      <c r="R11" s="41" t="s">
        <v>134</v>
      </c>
      <c r="S11" s="41" t="s">
        <v>132</v>
      </c>
      <c r="T11" s="41" t="s">
        <v>135</v>
      </c>
      <c r="U11" s="41" t="s">
        <v>136</v>
      </c>
      <c r="V11" s="41" t="s">
        <v>47</v>
      </c>
      <c r="W11" s="41" t="s">
        <v>137</v>
      </c>
      <c r="X11" s="41" t="s">
        <v>138</v>
      </c>
      <c r="Y11" s="41" t="s">
        <v>139</v>
      </c>
      <c r="Z11" s="41" t="s">
        <v>140</v>
      </c>
      <c r="AA11" s="41" t="s">
        <v>141</v>
      </c>
      <c r="AB11" s="41" t="s">
        <v>142</v>
      </c>
      <c r="AC11" s="41" t="s">
        <v>143</v>
      </c>
      <c r="AD11" s="50" t="s">
        <v>47</v>
      </c>
      <c r="AE11" s="41" t="s">
        <v>144</v>
      </c>
      <c r="AF11" s="41" t="s">
        <v>144</v>
      </c>
      <c r="AG11" s="48" t="s">
        <v>17</v>
      </c>
      <c r="AH11" s="48" t="s">
        <v>18</v>
      </c>
      <c r="AI11" s="41" t="s">
        <v>120</v>
      </c>
      <c r="AJ11" s="41" t="s">
        <v>121</v>
      </c>
      <c r="AK11" s="49" t="s">
        <v>123</v>
      </c>
      <c r="AL11" s="49" t="s">
        <v>128</v>
      </c>
      <c r="AM11" s="49" t="s">
        <v>129</v>
      </c>
      <c r="AN11" s="50" t="s">
        <v>145</v>
      </c>
      <c r="AO11" s="41" t="s">
        <v>146</v>
      </c>
      <c r="AP11" s="41" t="s">
        <v>132</v>
      </c>
      <c r="AQ11" s="41" t="s">
        <v>129</v>
      </c>
      <c r="AR11" s="41" t="s">
        <v>147</v>
      </c>
      <c r="AS11" s="41" t="s">
        <v>148</v>
      </c>
      <c r="AT11" s="41" t="s">
        <v>144</v>
      </c>
      <c r="AU11" s="41" t="s">
        <v>137</v>
      </c>
      <c r="AV11" s="41" t="s">
        <v>149</v>
      </c>
      <c r="AW11" s="41" t="s">
        <v>150</v>
      </c>
      <c r="AX11" s="41" t="s">
        <v>151</v>
      </c>
      <c r="AY11" s="41" t="s">
        <v>152</v>
      </c>
      <c r="AZ11" s="41" t="s">
        <v>153</v>
      </c>
      <c r="BA11" s="41" t="s">
        <v>154</v>
      </c>
      <c r="BB11" s="41" t="s">
        <v>155</v>
      </c>
      <c r="BC11" s="41" t="s">
        <v>140</v>
      </c>
      <c r="BD11" s="41" t="s">
        <v>143</v>
      </c>
      <c r="BE11" s="41" t="s">
        <v>156</v>
      </c>
      <c r="BF11" s="41" t="s">
        <v>157</v>
      </c>
      <c r="BG11" s="41" t="s">
        <v>158</v>
      </c>
      <c r="BH11" s="41" t="s">
        <v>159</v>
      </c>
      <c r="BI11" s="41" t="s">
        <v>160</v>
      </c>
      <c r="BJ11" s="41" t="s">
        <v>103</v>
      </c>
      <c r="BK11" s="48" t="s">
        <v>17</v>
      </c>
      <c r="BL11" s="48" t="s">
        <v>18</v>
      </c>
    </row>
    <row r="12" spans="1:64" x14ac:dyDescent="0.2">
      <c r="C12" s="4" t="s">
        <v>20</v>
      </c>
      <c r="D12" s="42" t="s">
        <v>21</v>
      </c>
      <c r="E12" s="42" t="s">
        <v>161</v>
      </c>
      <c r="F12" s="42" t="s">
        <v>23</v>
      </c>
      <c r="G12" s="42" t="s">
        <v>162</v>
      </c>
      <c r="H12" s="42" t="s">
        <v>25</v>
      </c>
      <c r="I12" s="42" t="s">
        <v>163</v>
      </c>
      <c r="J12" s="42" t="s">
        <v>164</v>
      </c>
      <c r="K12" s="42" t="s">
        <v>165</v>
      </c>
      <c r="L12" s="42" t="s">
        <v>166</v>
      </c>
      <c r="M12" s="42" t="s">
        <v>167</v>
      </c>
      <c r="N12" s="42" t="s">
        <v>168</v>
      </c>
      <c r="O12" s="42" t="s">
        <v>169</v>
      </c>
      <c r="P12" s="42" t="s">
        <v>170</v>
      </c>
      <c r="Q12" s="42" t="s">
        <v>171</v>
      </c>
      <c r="R12" s="42" t="s">
        <v>172</v>
      </c>
      <c r="S12" s="42" t="s">
        <v>173</v>
      </c>
      <c r="T12" s="42" t="s">
        <v>174</v>
      </c>
      <c r="U12" s="42" t="s">
        <v>175</v>
      </c>
      <c r="V12" s="51" t="s">
        <v>176</v>
      </c>
      <c r="W12" s="42" t="s">
        <v>177</v>
      </c>
      <c r="X12" s="42" t="s">
        <v>177</v>
      </c>
      <c r="Y12" s="42" t="s">
        <v>178</v>
      </c>
      <c r="Z12" s="42" t="s">
        <v>179</v>
      </c>
      <c r="AA12" s="42" t="s">
        <v>180</v>
      </c>
      <c r="AB12" s="42" t="s">
        <v>181</v>
      </c>
      <c r="AC12" s="42" t="s">
        <v>182</v>
      </c>
      <c r="AD12" s="42" t="s">
        <v>183</v>
      </c>
      <c r="AE12" s="42" t="s">
        <v>184</v>
      </c>
      <c r="AF12" s="42" t="s">
        <v>185</v>
      </c>
      <c r="AG12" s="52" t="s">
        <v>186</v>
      </c>
      <c r="AH12" s="52" t="s">
        <v>187</v>
      </c>
      <c r="AI12" s="42" t="s">
        <v>188</v>
      </c>
      <c r="AJ12" s="42" t="s">
        <v>189</v>
      </c>
      <c r="AK12" s="42" t="s">
        <v>190</v>
      </c>
      <c r="AL12" s="42" t="s">
        <v>191</v>
      </c>
      <c r="AM12" s="42" t="s">
        <v>192</v>
      </c>
      <c r="AN12" s="42" t="s">
        <v>193</v>
      </c>
      <c r="AO12" s="42" t="s">
        <v>194</v>
      </c>
      <c r="AP12" s="42" t="s">
        <v>195</v>
      </c>
      <c r="AQ12" s="42" t="s">
        <v>196</v>
      </c>
      <c r="AR12" s="42" t="s">
        <v>197</v>
      </c>
      <c r="AS12" s="42" t="s">
        <v>198</v>
      </c>
      <c r="AT12" s="42" t="s">
        <v>199</v>
      </c>
      <c r="AU12" s="42" t="s">
        <v>200</v>
      </c>
      <c r="AV12" s="42" t="s">
        <v>201</v>
      </c>
      <c r="AW12" s="42" t="s">
        <v>202</v>
      </c>
      <c r="AX12" s="42" t="s">
        <v>203</v>
      </c>
      <c r="AY12" s="42" t="s">
        <v>204</v>
      </c>
      <c r="AZ12" s="42" t="s">
        <v>205</v>
      </c>
      <c r="BA12" s="42" t="s">
        <v>206</v>
      </c>
      <c r="BB12" s="51" t="s">
        <v>207</v>
      </c>
      <c r="BC12" s="51" t="s">
        <v>208</v>
      </c>
      <c r="BD12" s="51" t="s">
        <v>209</v>
      </c>
      <c r="BE12" s="51" t="s">
        <v>210</v>
      </c>
      <c r="BF12" s="51" t="s">
        <v>211</v>
      </c>
      <c r="BG12" s="51" t="s">
        <v>212</v>
      </c>
      <c r="BH12" s="51" t="s">
        <v>213</v>
      </c>
      <c r="BI12" s="51" t="s">
        <v>214</v>
      </c>
      <c r="BJ12" s="51" t="s">
        <v>215</v>
      </c>
      <c r="BK12" s="52" t="s">
        <v>216</v>
      </c>
      <c r="BL12" s="52" t="s">
        <v>217</v>
      </c>
    </row>
    <row r="13" spans="1:64" s="53" customFormat="1" x14ac:dyDescent="0.2">
      <c r="A13" s="4">
        <v>1</v>
      </c>
      <c r="B13" s="8" t="s">
        <v>27</v>
      </c>
      <c r="T13" s="54"/>
      <c r="Y13" s="54"/>
      <c r="AG13" s="55"/>
      <c r="AH13" s="55"/>
      <c r="BK13" s="55"/>
      <c r="BL13" s="55"/>
    </row>
    <row r="14" spans="1:64" s="53" customFormat="1" x14ac:dyDescent="0.2">
      <c r="A14" s="4">
        <f t="shared" ref="A14:A64" si="2">A13+1</f>
        <v>2</v>
      </c>
      <c r="B14" s="8" t="s">
        <v>28</v>
      </c>
      <c r="C14" s="9">
        <f>+'[4]Allocated (CBR)'!B9</f>
        <v>2165233766.8899999</v>
      </c>
      <c r="D14" s="9">
        <f>'[2]Common Adj'!F23-'SEF-19E (BR-01) p2-7'!D15</f>
        <v>41299982.399803981</v>
      </c>
      <c r="E14" s="9">
        <f>'[2]Common Adj'!N31</f>
        <v>5274141</v>
      </c>
      <c r="F14" s="9"/>
      <c r="G14" s="9"/>
      <c r="H14" s="9">
        <f>SUM('[2]Common Adj'!AL15:AL21,'[2]Common Adj'!AL23,'[2]Common Adj'!AL25,'[2]Common Adj'!AL27,-'[2]Common Adj'!AL18)</f>
        <v>-206435594.02857196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56">
        <f>SUM(D14:AF14)</f>
        <v>-159861470.62876797</v>
      </c>
      <c r="AH14" s="56">
        <f>+AG14+C14</f>
        <v>2005372296.2612319</v>
      </c>
      <c r="AI14" s="9">
        <f>'[2]Common Adj'!H23-'SEF-19E (BR-01) p2-7'!AI15</f>
        <v>-17806218.48</v>
      </c>
      <c r="AJ14" s="9">
        <f>'[2]Common Adj'!P31</f>
        <v>9108946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56">
        <f>SUM(AI14:BJ14)</f>
        <v>-8697272.4800000004</v>
      </c>
      <c r="BL14" s="56">
        <f>+BK14+AH14</f>
        <v>1996675023.7812319</v>
      </c>
    </row>
    <row r="15" spans="1:64" s="53" customFormat="1" x14ac:dyDescent="0.2">
      <c r="A15" s="4">
        <f t="shared" si="2"/>
        <v>3</v>
      </c>
      <c r="B15" s="8" t="s">
        <v>29</v>
      </c>
      <c r="C15" s="10">
        <f>+'[4]Allocated (CBR)'!B10</f>
        <v>340431.51999999897</v>
      </c>
      <c r="D15" s="10">
        <f>'[2]Common Adj'!F21</f>
        <v>114.23000000000138</v>
      </c>
      <c r="E15" s="10">
        <f>'[2]Common Adj'!N30</f>
        <v>3019</v>
      </c>
      <c r="F15" s="10"/>
      <c r="G15" s="10"/>
      <c r="H15" s="10">
        <f>'[2]Common Adj'!AL18</f>
        <v>-16204.59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57">
        <f>SUM(D15:AF15)</f>
        <v>-13071.359999999999</v>
      </c>
      <c r="AH15" s="57">
        <f>+AG15+C15</f>
        <v>327360.15999999898</v>
      </c>
      <c r="AI15" s="10"/>
      <c r="AJ15" s="10">
        <f>'[2]Common Adj'!P30</f>
        <v>0</v>
      </c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57">
        <f>SUM(AI15:BJ15)</f>
        <v>0</v>
      </c>
      <c r="BL15" s="57">
        <f>+BK15+AH15</f>
        <v>327360.15999999898</v>
      </c>
    </row>
    <row r="16" spans="1:64" s="53" customFormat="1" x14ac:dyDescent="0.2">
      <c r="A16" s="4">
        <f t="shared" si="2"/>
        <v>4</v>
      </c>
      <c r="B16" s="8" t="s">
        <v>30</v>
      </c>
      <c r="C16" s="10">
        <f>+'[4]Allocated (CBR)'!B11</f>
        <v>155333122.24000001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57">
        <f>SUM(D16:AF16)</f>
        <v>0</v>
      </c>
      <c r="AH16" s="57">
        <f>+AG16+C16</f>
        <v>155333122.24000001</v>
      </c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>
        <f>-'[2]Electric Adj'!H22</f>
        <v>-146303769.6891872</v>
      </c>
      <c r="BC16" s="10"/>
      <c r="BD16" s="10"/>
      <c r="BE16" s="10"/>
      <c r="BF16" s="10"/>
      <c r="BG16" s="10"/>
      <c r="BH16" s="10"/>
      <c r="BI16" s="10"/>
      <c r="BJ16" s="10"/>
      <c r="BK16" s="57">
        <f>SUM(AI16:BJ16)</f>
        <v>-146303769.6891872</v>
      </c>
      <c r="BL16" s="57">
        <f>+BK16+AH16</f>
        <v>9029352.5508128107</v>
      </c>
    </row>
    <row r="17" spans="1:72" s="53" customFormat="1" x14ac:dyDescent="0.2">
      <c r="A17" s="4">
        <f t="shared" si="2"/>
        <v>5</v>
      </c>
      <c r="B17" s="8" t="s">
        <v>31</v>
      </c>
      <c r="C17" s="10">
        <f>+'[4]Allocated (CBR)'!B12</f>
        <v>122175867.17999999</v>
      </c>
      <c r="D17" s="10">
        <f>'[2]Common Adj'!F31</f>
        <v>2744403.99</v>
      </c>
      <c r="E17" s="10"/>
      <c r="F17" s="10"/>
      <c r="G17" s="10"/>
      <c r="H17" s="10">
        <f>+'[2]Common Adj'!AL22+'[2]Common Adj'!AL24+'[2]Common Adj'!AL26</f>
        <v>15741473.960000001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>
        <f>-'[2]Common Adj'!FZ17-'[2]Common Adj'!FZ22</f>
        <v>-858566.13</v>
      </c>
      <c r="X17" s="10">
        <f>-'[2]Common Adj'!GA17-'[2]Common Adj'!GA22</f>
        <v>0</v>
      </c>
      <c r="Y17" s="10"/>
      <c r="Z17" s="10"/>
      <c r="AA17" s="10"/>
      <c r="AB17" s="10"/>
      <c r="AC17" s="10"/>
      <c r="AD17" s="10"/>
      <c r="AE17" s="10"/>
      <c r="AF17" s="10"/>
      <c r="AG17" s="57">
        <f>SUM(D17:AF17)</f>
        <v>17627311.820000004</v>
      </c>
      <c r="AH17" s="57">
        <f>+AG17+C17</f>
        <v>139803179</v>
      </c>
      <c r="AI17" s="10">
        <f>'[2]Common Adj'!H31</f>
        <v>-16381468.550000004</v>
      </c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>
        <f>-SUM('[2]Electric Adj'!H23+'[2]Electric Adj'!H29)</f>
        <v>-40496930.653887674</v>
      </c>
      <c r="BC17" s="10"/>
      <c r="BD17" s="10"/>
      <c r="BE17" s="10"/>
      <c r="BF17" s="10"/>
      <c r="BG17" s="10"/>
      <c r="BH17" s="10"/>
      <c r="BI17" s="10"/>
      <c r="BJ17" s="10"/>
      <c r="BK17" s="57">
        <f>SUM(AI17:BJ17)</f>
        <v>-56878399.203887679</v>
      </c>
      <c r="BL17" s="57">
        <f>+BK17+AH17</f>
        <v>82924779.796112329</v>
      </c>
    </row>
    <row r="18" spans="1:72" s="53" customFormat="1" x14ac:dyDescent="0.2">
      <c r="A18" s="4">
        <f t="shared" si="2"/>
        <v>6</v>
      </c>
      <c r="B18" s="8" t="s">
        <v>32</v>
      </c>
      <c r="C18" s="58">
        <f t="shared" ref="C18:BL18" si="3">SUM(C14:C17)</f>
        <v>2443083187.8299994</v>
      </c>
      <c r="D18" s="58">
        <f t="shared" si="3"/>
        <v>44044500.61980398</v>
      </c>
      <c r="E18" s="58">
        <f t="shared" si="3"/>
        <v>5277160</v>
      </c>
      <c r="F18" s="58">
        <f t="shared" si="3"/>
        <v>0</v>
      </c>
      <c r="G18" s="58">
        <f t="shared" si="3"/>
        <v>0</v>
      </c>
      <c r="H18" s="58">
        <f t="shared" si="3"/>
        <v>-190710324.65857196</v>
      </c>
      <c r="I18" s="58">
        <f t="shared" si="3"/>
        <v>0</v>
      </c>
      <c r="J18" s="58">
        <f t="shared" si="3"/>
        <v>0</v>
      </c>
      <c r="K18" s="58">
        <f t="shared" si="3"/>
        <v>0</v>
      </c>
      <c r="L18" s="58">
        <f t="shared" si="3"/>
        <v>0</v>
      </c>
      <c r="M18" s="58">
        <f t="shared" si="3"/>
        <v>0</v>
      </c>
      <c r="N18" s="58">
        <f t="shared" si="3"/>
        <v>0</v>
      </c>
      <c r="O18" s="58">
        <f t="shared" si="3"/>
        <v>0</v>
      </c>
      <c r="P18" s="58">
        <f t="shared" si="3"/>
        <v>0</v>
      </c>
      <c r="Q18" s="58">
        <f t="shared" si="3"/>
        <v>0</v>
      </c>
      <c r="R18" s="58">
        <f t="shared" si="3"/>
        <v>0</v>
      </c>
      <c r="S18" s="58">
        <f t="shared" si="3"/>
        <v>0</v>
      </c>
      <c r="T18" s="58">
        <f t="shared" si="3"/>
        <v>0</v>
      </c>
      <c r="U18" s="58">
        <f t="shared" si="3"/>
        <v>0</v>
      </c>
      <c r="V18" s="58">
        <f t="shared" si="3"/>
        <v>0</v>
      </c>
      <c r="W18" s="58">
        <f t="shared" si="3"/>
        <v>-858566.13</v>
      </c>
      <c r="X18" s="58">
        <f t="shared" si="3"/>
        <v>0</v>
      </c>
      <c r="Y18" s="58">
        <f t="shared" si="3"/>
        <v>0</v>
      </c>
      <c r="Z18" s="58">
        <f t="shared" si="3"/>
        <v>0</v>
      </c>
      <c r="AA18" s="58">
        <f t="shared" si="3"/>
        <v>0</v>
      </c>
      <c r="AB18" s="58">
        <f t="shared" si="3"/>
        <v>0</v>
      </c>
      <c r="AC18" s="58">
        <f t="shared" si="3"/>
        <v>0</v>
      </c>
      <c r="AD18" s="58">
        <f t="shared" si="3"/>
        <v>0</v>
      </c>
      <c r="AE18" s="58">
        <f t="shared" si="3"/>
        <v>0</v>
      </c>
      <c r="AF18" s="58">
        <f t="shared" si="3"/>
        <v>0</v>
      </c>
      <c r="AG18" s="59">
        <f t="shared" si="3"/>
        <v>-142247230.16876799</v>
      </c>
      <c r="AH18" s="59">
        <f t="shared" si="3"/>
        <v>2300835957.661232</v>
      </c>
      <c r="AI18" s="58">
        <f t="shared" si="3"/>
        <v>-34187687.030000001</v>
      </c>
      <c r="AJ18" s="58">
        <f t="shared" si="3"/>
        <v>9108946</v>
      </c>
      <c r="AK18" s="58">
        <f t="shared" si="3"/>
        <v>0</v>
      </c>
      <c r="AL18" s="58">
        <f t="shared" si="3"/>
        <v>0</v>
      </c>
      <c r="AM18" s="58">
        <f t="shared" si="3"/>
        <v>0</v>
      </c>
      <c r="AN18" s="58">
        <f t="shared" si="3"/>
        <v>0</v>
      </c>
      <c r="AO18" s="58">
        <f t="shared" si="3"/>
        <v>0</v>
      </c>
      <c r="AP18" s="58">
        <f t="shared" si="3"/>
        <v>0</v>
      </c>
      <c r="AQ18" s="58">
        <f t="shared" si="3"/>
        <v>0</v>
      </c>
      <c r="AR18" s="58">
        <f t="shared" si="3"/>
        <v>0</v>
      </c>
      <c r="AS18" s="58">
        <f t="shared" si="3"/>
        <v>0</v>
      </c>
      <c r="AT18" s="58">
        <f t="shared" si="3"/>
        <v>0</v>
      </c>
      <c r="AU18" s="58">
        <f t="shared" si="3"/>
        <v>0</v>
      </c>
      <c r="AV18" s="58">
        <f t="shared" si="3"/>
        <v>0</v>
      </c>
      <c r="AW18" s="58">
        <f t="shared" si="3"/>
        <v>0</v>
      </c>
      <c r="AX18" s="58">
        <f t="shared" si="3"/>
        <v>0</v>
      </c>
      <c r="AY18" s="58">
        <f t="shared" si="3"/>
        <v>0</v>
      </c>
      <c r="AZ18" s="58">
        <f t="shared" si="3"/>
        <v>0</v>
      </c>
      <c r="BA18" s="58">
        <f t="shared" si="3"/>
        <v>0</v>
      </c>
      <c r="BB18" s="58">
        <f t="shared" si="3"/>
        <v>-186800700.34307486</v>
      </c>
      <c r="BC18" s="58">
        <f t="shared" si="3"/>
        <v>0</v>
      </c>
      <c r="BD18" s="58">
        <f t="shared" si="3"/>
        <v>0</v>
      </c>
      <c r="BE18" s="58">
        <f t="shared" si="3"/>
        <v>0</v>
      </c>
      <c r="BF18" s="58">
        <f t="shared" si="3"/>
        <v>0</v>
      </c>
      <c r="BG18" s="58">
        <f t="shared" si="3"/>
        <v>0</v>
      </c>
      <c r="BH18" s="58">
        <f t="shared" si="3"/>
        <v>0</v>
      </c>
      <c r="BI18" s="58">
        <f t="shared" si="3"/>
        <v>0</v>
      </c>
      <c r="BJ18" s="58">
        <f t="shared" si="3"/>
        <v>0</v>
      </c>
      <c r="BK18" s="59">
        <f t="shared" si="3"/>
        <v>-211879441.37307486</v>
      </c>
      <c r="BL18" s="59">
        <f t="shared" si="3"/>
        <v>2088956516.288157</v>
      </c>
    </row>
    <row r="19" spans="1:72" s="60" customFormat="1" x14ac:dyDescent="0.2">
      <c r="A19" s="4">
        <f t="shared" si="2"/>
        <v>7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57"/>
      <c r="AH19" s="57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57"/>
      <c r="BL19" s="57"/>
    </row>
    <row r="20" spans="1:72" s="53" customFormat="1" x14ac:dyDescent="0.2">
      <c r="A20" s="4">
        <f t="shared" si="2"/>
        <v>8</v>
      </c>
      <c r="B20" s="8" t="s">
        <v>33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5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5"/>
      <c r="BL20" s="55"/>
    </row>
    <row r="21" spans="1:72" s="53" customFormat="1" x14ac:dyDescent="0.2">
      <c r="A21" s="4">
        <f t="shared" si="2"/>
        <v>9</v>
      </c>
      <c r="B21" s="1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5"/>
      <c r="AH21" s="55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5"/>
      <c r="BL21" s="55"/>
    </row>
    <row r="22" spans="1:72" s="53" customFormat="1" x14ac:dyDescent="0.2">
      <c r="A22" s="4">
        <f t="shared" si="2"/>
        <v>10</v>
      </c>
      <c r="B22" s="8" t="s">
        <v>34</v>
      </c>
      <c r="C22" s="9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  <c r="AH22" s="55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5"/>
      <c r="BL22" s="55"/>
    </row>
    <row r="23" spans="1:72" s="53" customFormat="1" x14ac:dyDescent="0.2">
      <c r="A23" s="4">
        <f t="shared" si="2"/>
        <v>11</v>
      </c>
      <c r="B23" s="8" t="s">
        <v>35</v>
      </c>
      <c r="C23" s="61">
        <f>+'[4]Allocated (CBR)'!B18</f>
        <v>204174130.28999999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>
        <f>SUM('[2]Electric Adj'!F16:F17)</f>
        <v>1063362.3599999994</v>
      </c>
      <c r="Z23" s="61"/>
      <c r="AA23" s="61"/>
      <c r="AB23" s="61"/>
      <c r="AC23" s="61"/>
      <c r="AD23" s="61"/>
      <c r="AE23" s="61"/>
      <c r="AF23" s="61"/>
      <c r="AG23" s="62">
        <f>SUM(D23:AF23)</f>
        <v>1063362.3599999994</v>
      </c>
      <c r="AH23" s="62">
        <f>+AG23+C23</f>
        <v>205237492.64999998</v>
      </c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>
        <f>SUM('[2]Electric Adj'!H16:H17)</f>
        <v>-41481270.553759314</v>
      </c>
      <c r="BC23" s="61"/>
      <c r="BD23" s="61"/>
      <c r="BE23" s="61"/>
      <c r="BF23" s="61"/>
      <c r="BG23" s="61"/>
      <c r="BH23" s="61"/>
      <c r="BI23" s="61"/>
      <c r="BJ23" s="61"/>
      <c r="BK23" s="62">
        <f>SUM(AI23:BJ23)</f>
        <v>-41481270.553759314</v>
      </c>
      <c r="BL23" s="62">
        <f>+BK23+AH23</f>
        <v>163756222.09624067</v>
      </c>
    </row>
    <row r="24" spans="1:72" s="53" customFormat="1" x14ac:dyDescent="0.2">
      <c r="A24" s="4">
        <f t="shared" si="2"/>
        <v>12</v>
      </c>
      <c r="B24" s="8" t="s">
        <v>36</v>
      </c>
      <c r="C24" s="10">
        <f>+'[4]Allocated (CBR)'!B19</f>
        <v>591842797.56999886</v>
      </c>
      <c r="D24" s="10"/>
      <c r="E24" s="10"/>
      <c r="F24" s="10"/>
      <c r="G24" s="10"/>
      <c r="H24" s="10">
        <f>+'[2]Common Adj'!AL43</f>
        <v>0</v>
      </c>
      <c r="I24" s="10"/>
      <c r="J24" s="10"/>
      <c r="K24" s="10">
        <f>'[2]Common Adj'!BJ15</f>
        <v>-12929.322150284017</v>
      </c>
      <c r="L24" s="10"/>
      <c r="M24" s="10"/>
      <c r="N24" s="10"/>
      <c r="O24" s="10"/>
      <c r="P24" s="10"/>
      <c r="Q24" s="10"/>
      <c r="R24" s="10">
        <f>+'[2]Common Adj'!DN15</f>
        <v>6341.1377968182787</v>
      </c>
      <c r="S24" s="10"/>
      <c r="T24" s="10"/>
      <c r="U24" s="10"/>
      <c r="V24" s="10"/>
      <c r="W24" s="10"/>
      <c r="X24" s="10"/>
      <c r="Y24" s="10">
        <f>SUM('[2]Electric Adj'!F18:F19,'[2]Electric Adj'!F30)</f>
        <v>8543675.8544626534</v>
      </c>
      <c r="Z24" s="10"/>
      <c r="AA24" s="10"/>
      <c r="AB24" s="10"/>
      <c r="AC24" s="10"/>
      <c r="AD24" s="10"/>
      <c r="AE24" s="10"/>
      <c r="AF24" s="10"/>
      <c r="AG24" s="57">
        <f>SUM(D24:AF24)</f>
        <v>8537087.6701091882</v>
      </c>
      <c r="AH24" s="57">
        <f>+AG24+C24</f>
        <v>600379885.24010801</v>
      </c>
      <c r="AI24" s="10"/>
      <c r="AJ24" s="10"/>
      <c r="AK24" s="10"/>
      <c r="AL24" s="10"/>
      <c r="AM24" s="10"/>
      <c r="AN24" s="10"/>
      <c r="AO24" s="10">
        <f>+'[2]Common Adj'!DP15</f>
        <v>245950.53762489464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>
        <f>SUM('[2]Electric Adj'!H18:H20,'[2]Electric Adj'!H30)</f>
        <v>-101901475.52130292</v>
      </c>
      <c r="BC24" s="10"/>
      <c r="BD24" s="10"/>
      <c r="BE24" s="10"/>
      <c r="BF24" s="10"/>
      <c r="BG24" s="10"/>
      <c r="BH24" s="10"/>
      <c r="BI24" s="10"/>
      <c r="BJ24" s="10"/>
      <c r="BK24" s="57">
        <f>SUM(AI24:BJ24)</f>
        <v>-101655524.98367803</v>
      </c>
      <c r="BL24" s="57">
        <f>+BK24+AH24</f>
        <v>498724360.25642997</v>
      </c>
    </row>
    <row r="25" spans="1:72" s="53" customFormat="1" x14ac:dyDescent="0.2">
      <c r="A25" s="4">
        <f t="shared" si="2"/>
        <v>13</v>
      </c>
      <c r="B25" s="8" t="s">
        <v>37</v>
      </c>
      <c r="C25" s="10">
        <f>+'[4]Allocated (CBR)'!B20</f>
        <v>115807777.5999999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57">
        <f>SUM(D25:AF25)</f>
        <v>0</v>
      </c>
      <c r="AH25" s="57">
        <f>+AG25+C25</f>
        <v>115807777.5999999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f>+'[2]Electric Adj'!H21</f>
        <v>-3499084.9908235967</v>
      </c>
      <c r="BC25" s="10"/>
      <c r="BD25" s="10"/>
      <c r="BE25" s="10"/>
      <c r="BF25" s="10"/>
      <c r="BG25" s="10"/>
      <c r="BH25" s="10"/>
      <c r="BI25" s="10"/>
      <c r="BJ25" s="10"/>
      <c r="BK25" s="57">
        <f>SUM(AI25:BJ25)</f>
        <v>-3499084.9908235967</v>
      </c>
      <c r="BL25" s="57">
        <f>+BK25+AH25</f>
        <v>112308692.60917631</v>
      </c>
    </row>
    <row r="26" spans="1:72" s="53" customFormat="1" x14ac:dyDescent="0.2">
      <c r="A26" s="4">
        <f t="shared" si="2"/>
        <v>14</v>
      </c>
      <c r="B26" s="14" t="s">
        <v>38</v>
      </c>
      <c r="C26" s="10">
        <f>+'[4]Allocated (CBR)'!B21</f>
        <v>-77453659.509999901</v>
      </c>
      <c r="D26" s="10"/>
      <c r="E26" s="10"/>
      <c r="F26" s="10"/>
      <c r="G26" s="10"/>
      <c r="H26" s="10">
        <f>+'[2]Common Adj'!AL41</f>
        <v>77453659.510000005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57">
        <f>SUM(D26:AF26)</f>
        <v>77453659.510000005</v>
      </c>
      <c r="AH26" s="57">
        <f>+AG26+C26</f>
        <v>0</v>
      </c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57">
        <f>SUM(AI26:BJ26)</f>
        <v>0</v>
      </c>
      <c r="BL26" s="57">
        <f>+BK26+AH26</f>
        <v>0</v>
      </c>
    </row>
    <row r="27" spans="1:72" s="53" customFormat="1" x14ac:dyDescent="0.2">
      <c r="A27" s="4">
        <f t="shared" si="2"/>
        <v>15</v>
      </c>
      <c r="B27" s="8" t="s">
        <v>39</v>
      </c>
      <c r="C27" s="63">
        <f t="shared" ref="C27:BL27" si="4">SUM(C22:C26)</f>
        <v>834371045.94999886</v>
      </c>
      <c r="D27" s="63">
        <f t="shared" si="4"/>
        <v>0</v>
      </c>
      <c r="E27" s="63">
        <f t="shared" si="4"/>
        <v>0</v>
      </c>
      <c r="F27" s="63">
        <f t="shared" si="4"/>
        <v>0</v>
      </c>
      <c r="G27" s="63">
        <f t="shared" si="4"/>
        <v>0</v>
      </c>
      <c r="H27" s="63">
        <f t="shared" si="4"/>
        <v>77453659.510000005</v>
      </c>
      <c r="I27" s="63">
        <f t="shared" si="4"/>
        <v>0</v>
      </c>
      <c r="J27" s="63">
        <f t="shared" si="4"/>
        <v>0</v>
      </c>
      <c r="K27" s="63">
        <f t="shared" si="4"/>
        <v>-12929.322150284017</v>
      </c>
      <c r="L27" s="63">
        <f t="shared" si="4"/>
        <v>0</v>
      </c>
      <c r="M27" s="63">
        <f t="shared" si="4"/>
        <v>0</v>
      </c>
      <c r="N27" s="63">
        <f t="shared" si="4"/>
        <v>0</v>
      </c>
      <c r="O27" s="63">
        <f t="shared" si="4"/>
        <v>0</v>
      </c>
      <c r="P27" s="63">
        <f t="shared" si="4"/>
        <v>0</v>
      </c>
      <c r="Q27" s="63">
        <f t="shared" si="4"/>
        <v>0</v>
      </c>
      <c r="R27" s="63">
        <f t="shared" si="4"/>
        <v>6341.1377968182787</v>
      </c>
      <c r="S27" s="63">
        <f t="shared" si="4"/>
        <v>0</v>
      </c>
      <c r="T27" s="63">
        <f t="shared" si="4"/>
        <v>0</v>
      </c>
      <c r="U27" s="63">
        <f t="shared" si="4"/>
        <v>0</v>
      </c>
      <c r="V27" s="63">
        <f t="shared" si="4"/>
        <v>0</v>
      </c>
      <c r="W27" s="63">
        <f t="shared" si="4"/>
        <v>0</v>
      </c>
      <c r="X27" s="63">
        <f t="shared" si="4"/>
        <v>0</v>
      </c>
      <c r="Y27" s="63">
        <f t="shared" si="4"/>
        <v>9607038.2144626528</v>
      </c>
      <c r="Z27" s="63">
        <f t="shared" si="4"/>
        <v>0</v>
      </c>
      <c r="AA27" s="63">
        <f t="shared" si="4"/>
        <v>0</v>
      </c>
      <c r="AB27" s="63">
        <f t="shared" si="4"/>
        <v>0</v>
      </c>
      <c r="AC27" s="63">
        <f t="shared" si="4"/>
        <v>0</v>
      </c>
      <c r="AD27" s="63">
        <f t="shared" si="4"/>
        <v>0</v>
      </c>
      <c r="AE27" s="63">
        <f t="shared" si="4"/>
        <v>0</v>
      </c>
      <c r="AF27" s="63">
        <f t="shared" si="4"/>
        <v>0</v>
      </c>
      <c r="AG27" s="64">
        <f t="shared" si="4"/>
        <v>87054109.540109187</v>
      </c>
      <c r="AH27" s="64">
        <f t="shared" si="4"/>
        <v>921425155.49010789</v>
      </c>
      <c r="AI27" s="63">
        <f t="shared" si="4"/>
        <v>0</v>
      </c>
      <c r="AJ27" s="63">
        <f t="shared" si="4"/>
        <v>0</v>
      </c>
      <c r="AK27" s="63">
        <f t="shared" si="4"/>
        <v>0</v>
      </c>
      <c r="AL27" s="63">
        <f t="shared" si="4"/>
        <v>0</v>
      </c>
      <c r="AM27" s="63">
        <f t="shared" si="4"/>
        <v>0</v>
      </c>
      <c r="AN27" s="63">
        <f t="shared" si="4"/>
        <v>0</v>
      </c>
      <c r="AO27" s="63">
        <f t="shared" si="4"/>
        <v>245950.53762489464</v>
      </c>
      <c r="AP27" s="63">
        <f t="shared" si="4"/>
        <v>0</v>
      </c>
      <c r="AQ27" s="63">
        <f t="shared" si="4"/>
        <v>0</v>
      </c>
      <c r="AR27" s="63">
        <f t="shared" si="4"/>
        <v>0</v>
      </c>
      <c r="AS27" s="63">
        <f t="shared" si="4"/>
        <v>0</v>
      </c>
      <c r="AT27" s="63">
        <f t="shared" si="4"/>
        <v>0</v>
      </c>
      <c r="AU27" s="63">
        <f t="shared" si="4"/>
        <v>0</v>
      </c>
      <c r="AV27" s="63">
        <f t="shared" si="4"/>
        <v>0</v>
      </c>
      <c r="AW27" s="63">
        <f t="shared" si="4"/>
        <v>0</v>
      </c>
      <c r="AX27" s="63">
        <f t="shared" si="4"/>
        <v>0</v>
      </c>
      <c r="AY27" s="63">
        <f t="shared" si="4"/>
        <v>0</v>
      </c>
      <c r="AZ27" s="63">
        <f t="shared" si="4"/>
        <v>0</v>
      </c>
      <c r="BA27" s="63">
        <f t="shared" si="4"/>
        <v>0</v>
      </c>
      <c r="BB27" s="63">
        <f t="shared" si="4"/>
        <v>-146881831.06588584</v>
      </c>
      <c r="BC27" s="63">
        <f t="shared" si="4"/>
        <v>0</v>
      </c>
      <c r="BD27" s="63">
        <f t="shared" si="4"/>
        <v>0</v>
      </c>
      <c r="BE27" s="63">
        <f t="shared" si="4"/>
        <v>0</v>
      </c>
      <c r="BF27" s="63">
        <f t="shared" si="4"/>
        <v>0</v>
      </c>
      <c r="BG27" s="63">
        <f t="shared" si="4"/>
        <v>0</v>
      </c>
      <c r="BH27" s="63">
        <f t="shared" si="4"/>
        <v>0</v>
      </c>
      <c r="BI27" s="63">
        <f t="shared" si="4"/>
        <v>0</v>
      </c>
      <c r="BJ27" s="63">
        <f t="shared" si="4"/>
        <v>0</v>
      </c>
      <c r="BK27" s="64">
        <f t="shared" si="4"/>
        <v>-146635880.52826095</v>
      </c>
      <c r="BL27" s="64">
        <f t="shared" si="4"/>
        <v>774789274.96184695</v>
      </c>
    </row>
    <row r="28" spans="1:72" s="53" customFormat="1" x14ac:dyDescent="0.2">
      <c r="A28" s="4">
        <f t="shared" si="2"/>
        <v>16</v>
      </c>
      <c r="B28" s="8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2"/>
      <c r="AH28" s="62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2"/>
      <c r="BL28" s="62"/>
    </row>
    <row r="29" spans="1:72" s="53" customFormat="1" x14ac:dyDescent="0.2">
      <c r="A29" s="4">
        <f t="shared" si="2"/>
        <v>17</v>
      </c>
      <c r="B29" s="19" t="s">
        <v>40</v>
      </c>
      <c r="C29" s="61">
        <f>+'[4]Allocated (CBR)'!B24</f>
        <v>127167992.89</v>
      </c>
      <c r="D29" s="61"/>
      <c r="E29" s="61"/>
      <c r="F29" s="61"/>
      <c r="G29" s="61"/>
      <c r="H29" s="61"/>
      <c r="I29" s="61"/>
      <c r="J29" s="61"/>
      <c r="K29" s="10">
        <f>'[2]Common Adj'!BJ16</f>
        <v>-43337.161375397118</v>
      </c>
      <c r="L29" s="61"/>
      <c r="M29" s="61"/>
      <c r="N29" s="61"/>
      <c r="O29" s="61"/>
      <c r="P29" s="61"/>
      <c r="Q29" s="61"/>
      <c r="R29" s="10">
        <f>'[2]Common Adj'!DN16</f>
        <v>7381.9615589678288</v>
      </c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57">
        <f t="shared" ref="AG29:AG43" si="5">SUM(D29:AF29)</f>
        <v>-35955.199816429289</v>
      </c>
      <c r="AH29" s="62">
        <f t="shared" ref="AH29:AH43" si="6">+AG29+C29</f>
        <v>127132037.69018357</v>
      </c>
      <c r="AI29" s="61"/>
      <c r="AJ29" s="61"/>
      <c r="AK29" s="61"/>
      <c r="AL29" s="61"/>
      <c r="AM29" s="61"/>
      <c r="AN29" s="61"/>
      <c r="AO29" s="10">
        <f>+'[2]Common Adj'!DP16</f>
        <v>691614.88958714157</v>
      </c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>
        <f>+'[2]Electric Adj'!H27</f>
        <v>-18605360.411643222</v>
      </c>
      <c r="BC29" s="61"/>
      <c r="BD29" s="61"/>
      <c r="BE29" s="61"/>
      <c r="BF29" s="61"/>
      <c r="BG29" s="61"/>
      <c r="BH29" s="61"/>
      <c r="BI29" s="61"/>
      <c r="BJ29" s="61"/>
      <c r="BK29" s="57">
        <f t="shared" ref="BK29:BK43" si="7">SUM(AI29:BJ29)</f>
        <v>-17913745.52205608</v>
      </c>
      <c r="BL29" s="62">
        <f t="shared" ref="BL29:BL43" si="8">+BK29+AH29</f>
        <v>109218292.16812748</v>
      </c>
    </row>
    <row r="30" spans="1:72" s="53" customFormat="1" x14ac:dyDescent="0.2">
      <c r="A30" s="4">
        <f t="shared" si="2"/>
        <v>18</v>
      </c>
      <c r="B30" s="8" t="s">
        <v>41</v>
      </c>
      <c r="C30" s="65">
        <f>+'[4]Allocated (CBR)'!B25</f>
        <v>24439502.479999997</v>
      </c>
      <c r="D30" s="10"/>
      <c r="E30" s="10"/>
      <c r="F30" s="10"/>
      <c r="G30" s="10"/>
      <c r="H30" s="10"/>
      <c r="I30" s="10"/>
      <c r="J30" s="10"/>
      <c r="K30" s="10">
        <f>'[2]Common Adj'!BJ17</f>
        <v>-18706.718945487402</v>
      </c>
      <c r="L30" s="10"/>
      <c r="M30" s="10"/>
      <c r="N30" s="10"/>
      <c r="O30" s="10"/>
      <c r="P30" s="10"/>
      <c r="Q30" s="10"/>
      <c r="R30" s="10">
        <f>+'[2]Common Adj'!DN17</f>
        <v>6417.9413588624448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>
        <f>+'[2]Electric Adj'!AL17</f>
        <v>-107344.6766666667</v>
      </c>
      <c r="AD30" s="10"/>
      <c r="AE30" s="10"/>
      <c r="AF30" s="10"/>
      <c r="AG30" s="57">
        <f t="shared" si="5"/>
        <v>-119633.45425329165</v>
      </c>
      <c r="AH30" s="57">
        <f t="shared" si="6"/>
        <v>24319869.025746707</v>
      </c>
      <c r="AI30" s="10"/>
      <c r="AJ30" s="10"/>
      <c r="AK30" s="10"/>
      <c r="AL30" s="10"/>
      <c r="AM30" s="10"/>
      <c r="AN30" s="10"/>
      <c r="AO30" s="10">
        <f>+'[2]Common Adj'!DP17</f>
        <v>329177.9771651458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>
        <f>'[2]Common Adj'!HP14</f>
        <v>159208.47999999952</v>
      </c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57">
        <f t="shared" si="7"/>
        <v>488386.45716514532</v>
      </c>
      <c r="BL30" s="57">
        <f t="shared" si="8"/>
        <v>24808255.482911851</v>
      </c>
    </row>
    <row r="31" spans="1:72" s="53" customFormat="1" x14ac:dyDescent="0.2">
      <c r="A31" s="4">
        <f t="shared" si="2"/>
        <v>19</v>
      </c>
      <c r="B31" s="8" t="s">
        <v>42</v>
      </c>
      <c r="C31" s="65">
        <f>+'[4]Allocated (CBR)'!B26</f>
        <v>83251239.00999999</v>
      </c>
      <c r="D31" s="10"/>
      <c r="E31" s="10"/>
      <c r="F31" s="10"/>
      <c r="G31" s="10"/>
      <c r="H31" s="10"/>
      <c r="I31" s="10"/>
      <c r="J31" s="10"/>
      <c r="K31" s="10">
        <f>'[2]Common Adj'!BJ18</f>
        <v>-56877.492170206737</v>
      </c>
      <c r="L31" s="10"/>
      <c r="M31" s="10"/>
      <c r="N31" s="10"/>
      <c r="O31" s="10"/>
      <c r="P31" s="10"/>
      <c r="Q31" s="10"/>
      <c r="R31" s="10">
        <f>+'[2]Common Adj'!DN18</f>
        <v>5812.8265940360725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>
        <f>+'[2]Electric Adj'!AL15</f>
        <v>121269.80000000075</v>
      </c>
      <c r="AD31" s="10"/>
      <c r="AE31" s="10"/>
      <c r="AF31" s="10"/>
      <c r="AG31" s="57">
        <f t="shared" si="5"/>
        <v>70205.134423830081</v>
      </c>
      <c r="AH31" s="57">
        <f t="shared" si="6"/>
        <v>83321444.144423828</v>
      </c>
      <c r="AI31" s="10"/>
      <c r="AJ31" s="10"/>
      <c r="AK31" s="10"/>
      <c r="AL31" s="10"/>
      <c r="AM31" s="10"/>
      <c r="AN31" s="10"/>
      <c r="AO31" s="10">
        <f>+'[2]Common Adj'!DP18</f>
        <v>869408.50621556863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>
        <f>'[2]Common Adj'!HP15</f>
        <v>1377954.2199999988</v>
      </c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57">
        <f t="shared" si="7"/>
        <v>2247362.7262155674</v>
      </c>
      <c r="BL31" s="57">
        <f t="shared" si="8"/>
        <v>85568806.870639399</v>
      </c>
    </row>
    <row r="32" spans="1:72" s="53" customFormat="1" x14ac:dyDescent="0.2">
      <c r="A32" s="4">
        <f t="shared" si="2"/>
        <v>20</v>
      </c>
      <c r="B32" s="8" t="s">
        <v>43</v>
      </c>
      <c r="C32" s="65">
        <f>+'[4]Allocated (CBR)'!B27</f>
        <v>53199861.179999992</v>
      </c>
      <c r="D32" s="10">
        <f>'[2]Common Adj'!F42</f>
        <v>373453.32075531798</v>
      </c>
      <c r="E32" s="10">
        <f>'[2]Common Adj'!N20</f>
        <v>44745.039640000003</v>
      </c>
      <c r="F32" s="10"/>
      <c r="G32" s="10"/>
      <c r="H32" s="10">
        <f>+'[2]Common Adj'!AL31</f>
        <v>-1605619.9023454485</v>
      </c>
      <c r="I32" s="10"/>
      <c r="J32" s="10">
        <f>+'[2]Common Adj'!BB15</f>
        <v>-383738.93548899889</v>
      </c>
      <c r="K32" s="10">
        <f>'[2]Common Adj'!BJ19</f>
        <v>-22040.633999859798</v>
      </c>
      <c r="L32" s="10"/>
      <c r="M32" s="10"/>
      <c r="N32" s="10">
        <f>+'[2]Common Adj'!CH14</f>
        <v>803909.33835699933</v>
      </c>
      <c r="O32" s="10"/>
      <c r="P32" s="10"/>
      <c r="Q32" s="10"/>
      <c r="R32" s="10">
        <f>+'[2]Common Adj'!DN19</f>
        <v>3681.0816675275564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57">
        <f t="shared" si="5"/>
        <v>-785610.69141446229</v>
      </c>
      <c r="AH32" s="57">
        <f t="shared" si="6"/>
        <v>52414250.488585532</v>
      </c>
      <c r="AI32" s="10">
        <f>'[2]Common Adj'!H42</f>
        <v>-289877.39832737</v>
      </c>
      <c r="AJ32" s="10">
        <f>'[2]Common Adj'!P20</f>
        <v>77234.753134000115</v>
      </c>
      <c r="AK32" s="10"/>
      <c r="AL32" s="10"/>
      <c r="AM32" s="10"/>
      <c r="AN32" s="10"/>
      <c r="AO32" s="10">
        <f>+'[2]Common Adj'!DP19</f>
        <v>344111.48429154046</v>
      </c>
      <c r="AP32" s="10"/>
      <c r="AQ32" s="10"/>
      <c r="AR32" s="10"/>
      <c r="AS32" s="10"/>
      <c r="AT32" s="10"/>
      <c r="AU32" s="10"/>
      <c r="AV32" s="10"/>
      <c r="AW32" s="10">
        <f>'[2]Common Adj'!GR15</f>
        <v>-604216.168725</v>
      </c>
      <c r="AX32" s="10"/>
      <c r="AY32" s="10"/>
      <c r="AZ32" s="10">
        <f>'[2]Common Adj'!HP16</f>
        <v>146042.08000000007</v>
      </c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57">
        <f t="shared" si="7"/>
        <v>-326705.24962682935</v>
      </c>
      <c r="BL32" s="57">
        <f t="shared" si="8"/>
        <v>52087545.238958701</v>
      </c>
      <c r="BT32" s="66"/>
    </row>
    <row r="33" spans="1:72" s="53" customFormat="1" x14ac:dyDescent="0.2">
      <c r="A33" s="4">
        <f t="shared" si="2"/>
        <v>21</v>
      </c>
      <c r="B33" s="8" t="s">
        <v>44</v>
      </c>
      <c r="C33" s="65">
        <f>+'[4]Allocated (CBR)'!B28</f>
        <v>22140921.049999997</v>
      </c>
      <c r="D33" s="10"/>
      <c r="E33" s="10"/>
      <c r="F33" s="10"/>
      <c r="G33" s="10"/>
      <c r="H33" s="10">
        <f>+'[2]Common Adj'!AL40+'[2]Common Adj'!AL44</f>
        <v>-18123263</v>
      </c>
      <c r="I33" s="10"/>
      <c r="J33" s="10"/>
      <c r="K33" s="10">
        <f>'[2]Common Adj'!BJ20+'[2]Common Adj'!BJ21</f>
        <v>-3608.3649412231462</v>
      </c>
      <c r="L33" s="10"/>
      <c r="M33" s="10"/>
      <c r="N33" s="10"/>
      <c r="O33" s="10"/>
      <c r="P33" s="10"/>
      <c r="Q33" s="10"/>
      <c r="R33" s="10">
        <f>+'[2]Common Adj'!DN20+'[2]Common Adj'!DN21</f>
        <v>1631.5225314904237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57">
        <f t="shared" si="5"/>
        <v>-18125239.842409734</v>
      </c>
      <c r="AH33" s="57">
        <f t="shared" si="6"/>
        <v>4015681.2075902633</v>
      </c>
      <c r="AI33" s="10"/>
      <c r="AJ33" s="10"/>
      <c r="AK33" s="10"/>
      <c r="AL33" s="10"/>
      <c r="AM33" s="10"/>
      <c r="AN33" s="10"/>
      <c r="AO33" s="10">
        <f>+'[2]Common Adj'!DP20+'[2]Common Adj'!DP21</f>
        <v>67858.879361970816</v>
      </c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57">
        <f t="shared" si="7"/>
        <v>67858.879361970816</v>
      </c>
      <c r="BL33" s="57">
        <f t="shared" si="8"/>
        <v>4083540.0869522342</v>
      </c>
      <c r="BT33" s="66"/>
    </row>
    <row r="34" spans="1:72" s="53" customFormat="1" x14ac:dyDescent="0.2">
      <c r="A34" s="4">
        <f t="shared" si="2"/>
        <v>22</v>
      </c>
      <c r="B34" s="8" t="s">
        <v>45</v>
      </c>
      <c r="C34" s="65">
        <f>+'[4]Allocated (CBR)'!B29</f>
        <v>97087902.950000003</v>
      </c>
      <c r="D34" s="10"/>
      <c r="E34" s="10"/>
      <c r="F34" s="10"/>
      <c r="G34" s="10"/>
      <c r="H34" s="10">
        <f>+'[2]Common Adj'!AL37</f>
        <v>-97087902.950000003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57">
        <f t="shared" si="5"/>
        <v>-97087902.950000003</v>
      </c>
      <c r="AH34" s="57">
        <f t="shared" si="6"/>
        <v>0</v>
      </c>
      <c r="AI34" s="10"/>
      <c r="AJ34" s="10"/>
      <c r="AK34" s="10"/>
      <c r="AL34" s="10"/>
      <c r="AM34" s="10"/>
      <c r="AN34" s="10"/>
      <c r="AO34" s="61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57">
        <f t="shared" si="7"/>
        <v>0</v>
      </c>
      <c r="BL34" s="57">
        <f t="shared" si="8"/>
        <v>0</v>
      </c>
      <c r="BT34" s="66"/>
    </row>
    <row r="35" spans="1:72" s="53" customFormat="1" x14ac:dyDescent="0.2">
      <c r="A35" s="4">
        <f t="shared" si="2"/>
        <v>23</v>
      </c>
      <c r="B35" s="8" t="s">
        <v>46</v>
      </c>
      <c r="C35" s="65">
        <f>+'[4]Allocated (CBR)'!B30</f>
        <v>124825410.95999999</v>
      </c>
      <c r="D35" s="10">
        <f>'[2]Common Adj'!F43</f>
        <v>88089.001239607955</v>
      </c>
      <c r="E35" s="10">
        <f>'[2]Common Adj'!N21</f>
        <v>10554.32</v>
      </c>
      <c r="F35" s="10"/>
      <c r="G35" s="10"/>
      <c r="H35" s="10">
        <f>+'[2]Common Adj'!AL32+'[2]Common Adj'!AL45</f>
        <v>-408082.83062400005</v>
      </c>
      <c r="I35" s="10">
        <f>+'[2]Common Adj'!AT16</f>
        <v>-84300.474512874614</v>
      </c>
      <c r="J35" s="10"/>
      <c r="K35" s="10">
        <f>+'[2]Common Adj'!BJ22</f>
        <v>-56643.756348991301</v>
      </c>
      <c r="L35" s="10">
        <f>+'[2]Common Adj'!BR14</f>
        <v>14061.997781991959</v>
      </c>
      <c r="M35" s="10">
        <f>+'[2]Common Adj'!BZ16</f>
        <v>-6710.549906840708</v>
      </c>
      <c r="N35" s="10"/>
      <c r="O35" s="10">
        <f>+'[2]Common Adj'!CP20</f>
        <v>628553.90760300006</v>
      </c>
      <c r="P35" s="10">
        <f>'[2]Common Adj'!CX15</f>
        <v>2184999.0024255933</v>
      </c>
      <c r="Q35" s="10">
        <f>'[2]Common Adj'!DF16</f>
        <v>-405001.75899837748</v>
      </c>
      <c r="R35" s="10">
        <f>+'[2]Common Adj'!DN22</f>
        <v>27562.31451934576</v>
      </c>
      <c r="S35" s="10">
        <f>+'[2]Common Adj'!DV28</f>
        <v>16653.918911919929</v>
      </c>
      <c r="T35" s="10">
        <f>'[2]Common Adj'!ED21</f>
        <v>30190.192556923255</v>
      </c>
      <c r="U35" s="10"/>
      <c r="V35" s="10"/>
      <c r="W35" s="10">
        <f>+'[2]Common Adj'!FZ29-'[2]Common Adj'!FZ22-'[2]Common Adj'!FZ17</f>
        <v>-1290076.1837477004</v>
      </c>
      <c r="X35" s="10"/>
      <c r="Y35" s="10"/>
      <c r="Z35" s="10"/>
      <c r="AA35" s="10"/>
      <c r="AB35" s="10"/>
      <c r="AC35" s="10"/>
      <c r="AD35" s="10"/>
      <c r="AE35" s="10"/>
      <c r="AF35" s="10"/>
      <c r="AG35" s="57">
        <f t="shared" si="5"/>
        <v>749849.10089959786</v>
      </c>
      <c r="AH35" s="57">
        <f t="shared" si="6"/>
        <v>125575260.06089959</v>
      </c>
      <c r="AI35" s="10">
        <f>'[2]Common Adj'!H43</f>
        <v>-68375.374060000002</v>
      </c>
      <c r="AJ35" s="10">
        <f>'[2]Common Adj'!P21</f>
        <v>18217.891999999993</v>
      </c>
      <c r="AK35" s="10"/>
      <c r="AL35" s="10">
        <f>+'[2]Common Adj'!BT14</f>
        <v>-14061.997781991959</v>
      </c>
      <c r="AM35" s="10">
        <f>+'[2]Common Adj'!CB18</f>
        <v>6710.549906840708</v>
      </c>
      <c r="AN35" s="10">
        <f>'[2]Common Adj'!DH16</f>
        <v>560237.97633404168</v>
      </c>
      <c r="AO35" s="10">
        <f>+'[2]Common Adj'!DP22</f>
        <v>1071660.7177337781</v>
      </c>
      <c r="AP35" s="10">
        <f>+'[2]Common Adj'!DX28</f>
        <v>263515.60003291816</v>
      </c>
      <c r="AQ35" s="10">
        <f>'[2]Common Adj'!EF21</f>
        <v>874996.06141313724</v>
      </c>
      <c r="AR35" s="10"/>
      <c r="AS35" s="10"/>
      <c r="AT35" s="10"/>
      <c r="AU35" s="10">
        <f>+'[2]Common Adj'!GB29</f>
        <v>-499429.07517434994</v>
      </c>
      <c r="AV35" s="10"/>
      <c r="AW35" s="10"/>
      <c r="AX35" s="10"/>
      <c r="AY35" s="10"/>
      <c r="AZ35" s="10">
        <f>'[2]Common Adj'!HP17</f>
        <v>1258.4533669999946</v>
      </c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57">
        <f t="shared" si="7"/>
        <v>2214730.8037713738</v>
      </c>
      <c r="BL35" s="57">
        <f t="shared" si="8"/>
        <v>127789990.86467096</v>
      </c>
    </row>
    <row r="36" spans="1:72" s="53" customFormat="1" x14ac:dyDescent="0.2">
      <c r="A36" s="4">
        <f t="shared" si="2"/>
        <v>24</v>
      </c>
      <c r="B36" s="8" t="s">
        <v>47</v>
      </c>
      <c r="C36" s="65">
        <f>+'[4]Allocated (CBR)'!B31</f>
        <v>341625259.95999998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>
        <f>+'[2]Common Adj'!ET14+'[2]Common Adj'!ET15+'[2]Common Adj'!ET19</f>
        <v>5699417.5924432306</v>
      </c>
      <c r="W36" s="10"/>
      <c r="X36" s="10"/>
      <c r="Y36" s="10"/>
      <c r="Z36" s="10"/>
      <c r="AA36" s="10">
        <f>'[2]Electric Adj'!V24</f>
        <v>-212064</v>
      </c>
      <c r="AB36" s="10"/>
      <c r="AC36" s="10"/>
      <c r="AD36" s="67">
        <f>'[2]Electric Adj'!BB26+'[2]Electric Adj'!BB18</f>
        <v>-2348854.8283335716</v>
      </c>
      <c r="AE36" s="10"/>
      <c r="AF36" s="10"/>
      <c r="AG36" s="57">
        <f t="shared" si="5"/>
        <v>3138498.764109659</v>
      </c>
      <c r="AH36" s="57">
        <f t="shared" si="6"/>
        <v>344763758.72410965</v>
      </c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>
        <f>SUM('[2]Common Adj'!FS29:FS30)</f>
        <v>1288993.5097277348</v>
      </c>
      <c r="AU36" s="10">
        <f>+'[2]Common Adj'!GB22</f>
        <v>0</v>
      </c>
      <c r="AW36" s="10"/>
      <c r="AX36" s="10"/>
      <c r="AY36" s="10">
        <f>+'[2]Common Adj'!HH24</f>
        <v>375013.99657122983</v>
      </c>
      <c r="AZ36" s="10"/>
      <c r="BB36" s="10"/>
      <c r="BC36" s="10"/>
      <c r="BD36" s="10"/>
      <c r="BE36" s="10"/>
      <c r="BF36" s="10"/>
      <c r="BG36" s="10">
        <f>'[2]Electric Adj'!BT24</f>
        <v>370592.44987679686</v>
      </c>
      <c r="BI36" s="10">
        <f>+'[2]Electric Adj'!CJ15</f>
        <v>-57000</v>
      </c>
      <c r="BJ36" s="10"/>
      <c r="BK36" s="57">
        <f t="shared" si="7"/>
        <v>1977599.9561757615</v>
      </c>
      <c r="BL36" s="57">
        <f t="shared" si="8"/>
        <v>346741358.68028539</v>
      </c>
    </row>
    <row r="37" spans="1:72" s="53" customFormat="1" x14ac:dyDescent="0.2">
      <c r="A37" s="4">
        <f t="shared" si="2"/>
        <v>25</v>
      </c>
      <c r="B37" s="8" t="s">
        <v>48</v>
      </c>
      <c r="C37" s="65">
        <f>+'[4]Allocated (CBR)'!B32</f>
        <v>75292958.060000002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>
        <f>+'[2]Common Adj'!ET16+'[2]Common Adj'!ET17+'[2]Common Adj'!ET20</f>
        <v>15699257.697837964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57">
        <f t="shared" si="5"/>
        <v>15699257.697837964</v>
      </c>
      <c r="AH37" s="57">
        <f t="shared" si="6"/>
        <v>90992215.757837966</v>
      </c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>
        <f>'[2]Common Adj'!GJ30</f>
        <v>5248913.9956294717</v>
      </c>
      <c r="AW37" s="10"/>
      <c r="AX37" s="10"/>
      <c r="AY37" s="10"/>
      <c r="AZ37" s="10"/>
      <c r="BA37" s="10">
        <f>'[2]Common Adj'!HX24</f>
        <v>681757.00000000012</v>
      </c>
      <c r="BB37" s="10"/>
      <c r="BC37" s="10"/>
      <c r="BD37" s="10"/>
      <c r="BE37" s="10"/>
      <c r="BF37" s="10">
        <f>'[2]Electric Adj'!BL25</f>
        <v>-5669283.3340000007</v>
      </c>
      <c r="BG37" s="10"/>
      <c r="BH37" s="10">
        <f>'[2]Electric Adj'!CB24</f>
        <v>3090056.355</v>
      </c>
      <c r="BI37" s="10"/>
      <c r="BJ37" s="10"/>
      <c r="BK37" s="57">
        <f t="shared" si="7"/>
        <v>3351444.016629471</v>
      </c>
      <c r="BL37" s="57">
        <f t="shared" si="8"/>
        <v>94343659.774467438</v>
      </c>
    </row>
    <row r="38" spans="1:72" s="53" customFormat="1" x14ac:dyDescent="0.2">
      <c r="A38" s="4">
        <f t="shared" si="2"/>
        <v>26</v>
      </c>
      <c r="B38" s="19" t="s">
        <v>49</v>
      </c>
      <c r="C38" s="65">
        <f>+'[4]Allocated (CBR)'!B33</f>
        <v>35645161.039999902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57">
        <f t="shared" si="5"/>
        <v>0</v>
      </c>
      <c r="AH38" s="57">
        <f t="shared" si="6"/>
        <v>35645161.039999902</v>
      </c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>
        <f>+'[2]Electric Adj'!AN21</f>
        <v>13521271.800000004</v>
      </c>
      <c r="BE38" s="10">
        <f>'[2]Electric Adj'!AV48+'[2]Electric Adj'!AV47</f>
        <v>-6016033.5165937655</v>
      </c>
      <c r="BF38" s="10"/>
      <c r="BG38" s="10"/>
      <c r="BH38" s="10"/>
      <c r="BI38" s="10"/>
      <c r="BJ38" s="10"/>
      <c r="BK38" s="57">
        <f t="shared" si="7"/>
        <v>7505238.283406239</v>
      </c>
      <c r="BL38" s="57">
        <f t="shared" si="8"/>
        <v>43150399.323406145</v>
      </c>
    </row>
    <row r="39" spans="1:72" s="53" customFormat="1" x14ac:dyDescent="0.2">
      <c r="A39" s="4">
        <f t="shared" si="2"/>
        <v>27</v>
      </c>
      <c r="B39" s="8" t="s">
        <v>50</v>
      </c>
      <c r="C39" s="65">
        <f>+'[4]Allocated (CBR)'!B34</f>
        <v>-21632953.829999994</v>
      </c>
      <c r="D39" s="10">
        <f>'[2]Common Adj'!F39</f>
        <v>31349866.02</v>
      </c>
      <c r="E39" s="10"/>
      <c r="F39" s="10"/>
      <c r="G39" s="10"/>
      <c r="H39" s="10">
        <f>+'[2]Common Adj'!AL42</f>
        <v>83311.960000000006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57">
        <f t="shared" si="5"/>
        <v>31433177.98</v>
      </c>
      <c r="AH39" s="57">
        <f t="shared" si="6"/>
        <v>9800224.150000006</v>
      </c>
      <c r="AI39" s="10"/>
      <c r="AJ39" s="10"/>
      <c r="AK39" s="10"/>
      <c r="AL39" s="10"/>
      <c r="AM39" s="10"/>
      <c r="AN39" s="10"/>
      <c r="AO39" s="10"/>
      <c r="AP39" s="10"/>
      <c r="AQ39" s="10"/>
      <c r="AR39" s="10">
        <f>+'[2]Common Adj'!FD17</f>
        <v>-3533963.9933333327</v>
      </c>
      <c r="AS39" s="10">
        <f>'[2]Common Adj'!FL15</f>
        <v>152047.66032121028</v>
      </c>
      <c r="AT39" s="10">
        <f>SUM('[2]Common Adj'!FS31:FS32)</f>
        <v>4868445.0880221995</v>
      </c>
      <c r="AU39" s="10"/>
      <c r="AV39" s="10">
        <f>'[2]Common Adj'!GJ31+'[2]Common Adj'!GJ32</f>
        <v>7034671.9484617077</v>
      </c>
      <c r="AW39" s="10"/>
      <c r="AX39" s="10"/>
      <c r="AY39" s="10"/>
      <c r="AZ39" s="10"/>
      <c r="BA39" s="10"/>
      <c r="BB39" s="10"/>
      <c r="BC39" s="10"/>
      <c r="BD39" s="10"/>
      <c r="BE39" s="10">
        <f>'[2]Electric Adj'!AV51-BE38</f>
        <v>-5503100.002442643</v>
      </c>
      <c r="BF39" s="10"/>
      <c r="BG39" s="10"/>
      <c r="BH39" s="10"/>
      <c r="BI39" s="10"/>
      <c r="BJ39" s="10"/>
      <c r="BK39" s="57">
        <f t="shared" si="7"/>
        <v>3018100.7010291405</v>
      </c>
      <c r="BL39" s="57">
        <f t="shared" si="8"/>
        <v>12818324.851029146</v>
      </c>
    </row>
    <row r="40" spans="1:72" s="53" customFormat="1" x14ac:dyDescent="0.2">
      <c r="A40" s="4">
        <f t="shared" si="2"/>
        <v>28</v>
      </c>
      <c r="B40" s="14" t="s">
        <v>51</v>
      </c>
      <c r="C40" s="65">
        <f>+'[4]Allocated (CBR)'!B35</f>
        <v>-41661500.859999999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f>+'[2]Electric Adj'!AD15</f>
        <v>41661500.859999999</v>
      </c>
      <c r="AC40" s="10"/>
      <c r="AD40" s="10"/>
      <c r="AE40" s="10"/>
      <c r="AF40" s="10"/>
      <c r="AG40" s="57">
        <f t="shared" si="5"/>
        <v>41661500.859999999</v>
      </c>
      <c r="AH40" s="57">
        <f t="shared" si="6"/>
        <v>0</v>
      </c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57">
        <f t="shared" si="7"/>
        <v>0</v>
      </c>
      <c r="BL40" s="57">
        <f t="shared" si="8"/>
        <v>0</v>
      </c>
    </row>
    <row r="41" spans="1:72" s="53" customFormat="1" x14ac:dyDescent="0.2">
      <c r="A41" s="4">
        <f t="shared" si="2"/>
        <v>29</v>
      </c>
      <c r="B41" s="8" t="s">
        <v>52</v>
      </c>
      <c r="C41" s="65">
        <f>+'[4]Allocated (CBR)'!B36</f>
        <v>234440433.30000001</v>
      </c>
      <c r="D41" s="10">
        <f>'[2]Common Adj'!F44</f>
        <v>1691573.0908041918</v>
      </c>
      <c r="E41" s="10">
        <f>'[2]Common Adj'!N22</f>
        <v>202674.60696</v>
      </c>
      <c r="F41" s="10"/>
      <c r="G41" s="10"/>
      <c r="H41" s="10">
        <f>+'[2]Common Adj'!AL33+'[2]Common Adj'!AL38+'[2]Common Adj'!AL39+'[2]Common Adj'!AL46</f>
        <v>-148546495.51061568</v>
      </c>
      <c r="I41" s="10"/>
      <c r="J41" s="10"/>
      <c r="K41" s="10">
        <f>+'[2]Common Adj'!BJ25</f>
        <v>-18951.694391689729</v>
      </c>
      <c r="L41" s="10">
        <f>+'[2]Common Adj'!BR15</f>
        <v>-104992.07986000087</v>
      </c>
      <c r="M41" s="10"/>
      <c r="N41" s="10"/>
      <c r="O41" s="10"/>
      <c r="P41" s="10"/>
      <c r="Q41" s="10"/>
      <c r="R41" s="10">
        <f>+'[2]Common Adj'!DN25</f>
        <v>19412.258474519269</v>
      </c>
      <c r="S41" s="10"/>
      <c r="T41" s="10"/>
      <c r="U41" s="10"/>
      <c r="V41" s="10"/>
      <c r="W41" s="10"/>
      <c r="X41" s="10"/>
      <c r="Y41" s="10">
        <f>-'[2]Electric Adj'!F33</f>
        <v>0</v>
      </c>
      <c r="Z41" s="10">
        <f>+'[2]Electric Adj'!N19</f>
        <v>86860.814999999944</v>
      </c>
      <c r="AA41" s="10"/>
      <c r="AB41" s="10"/>
      <c r="AC41" s="10"/>
      <c r="AD41" s="10"/>
      <c r="AE41" s="10"/>
      <c r="AF41" s="10"/>
      <c r="AG41" s="57">
        <f t="shared" si="5"/>
        <v>-146669918.51362866</v>
      </c>
      <c r="AH41" s="57">
        <f t="shared" si="6"/>
        <v>87770514.78637135</v>
      </c>
      <c r="AI41" s="10">
        <f>'[2]Common Adj'!H44</f>
        <v>-1313012.30807418</v>
      </c>
      <c r="AJ41" s="10">
        <f>'[2]Common Adj'!P22</f>
        <v>349838.18007599935</v>
      </c>
      <c r="AK41" s="10"/>
      <c r="AL41" s="10">
        <f>+'[2]Common Adj'!BT15</f>
        <v>104992.07986000087</v>
      </c>
      <c r="AM41" s="10"/>
      <c r="AN41" s="10"/>
      <c r="AO41" s="10">
        <f>+'[2]Common Adj'!DP25</f>
        <v>182188.09454757578</v>
      </c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>
        <f>+'[2]Electric Adj'!H33</f>
        <v>56751.381884112845</v>
      </c>
      <c r="BC41" s="10">
        <f>+'[2]Electric Adj'!P19</f>
        <v>-666966.23858081084</v>
      </c>
      <c r="BD41" s="10"/>
      <c r="BE41" s="10"/>
      <c r="BF41" s="10"/>
      <c r="BG41" s="10"/>
      <c r="BH41" s="10"/>
      <c r="BI41" s="10"/>
      <c r="BJ41" s="10"/>
      <c r="BK41" s="57">
        <f t="shared" si="7"/>
        <v>-1286208.8102873019</v>
      </c>
      <c r="BL41" s="57">
        <f t="shared" si="8"/>
        <v>86484305.976084054</v>
      </c>
    </row>
    <row r="42" spans="1:72" s="53" customFormat="1" x14ac:dyDescent="0.2">
      <c r="A42" s="4">
        <f t="shared" si="2"/>
        <v>30</v>
      </c>
      <c r="B42" s="8" t="s">
        <v>53</v>
      </c>
      <c r="C42" s="65">
        <f>+'[4]Allocated (CBR)'!B37</f>
        <v>22841555.030000001</v>
      </c>
      <c r="D42" s="10">
        <f>'[2]Common Adj'!F49</f>
        <v>2213719.029271021</v>
      </c>
      <c r="E42" s="10">
        <f>'[2]Common Adj'!N27</f>
        <v>1054029.0670139999</v>
      </c>
      <c r="F42" s="10">
        <f>+'[2]Common Adj'!V14</f>
        <v>96903246.731522843</v>
      </c>
      <c r="G42" s="10">
        <f>+'[2]Common Adj'!AD21</f>
        <v>-33152988.38277762</v>
      </c>
      <c r="H42" s="10">
        <f>+'[2]Common Adj'!AL50</f>
        <v>-519945.70634724048</v>
      </c>
      <c r="I42" s="10">
        <f>+'[2]Common Adj'!AT19</f>
        <v>17703.099647703668</v>
      </c>
      <c r="J42" s="10">
        <f>+'[2]Common Adj'!BB18</f>
        <v>80585.176452689804</v>
      </c>
      <c r="K42" s="10">
        <f>+'[2]Common Adj'!BJ28</f>
        <v>48949.980307859136</v>
      </c>
      <c r="L42" s="10">
        <f>+'[2]Common Adj'!BR19</f>
        <v>19095.317236382514</v>
      </c>
      <c r="M42" s="10">
        <f>+'[2]Common Adj'!BZ20</f>
        <v>1409.2154804365487</v>
      </c>
      <c r="N42" s="10"/>
      <c r="O42" s="10">
        <f>+'[2]Common Adj'!CP22</f>
        <v>-131996.32059662999</v>
      </c>
      <c r="P42" s="10">
        <f>+'[2]Common Adj'!CX17</f>
        <v>-458849.79050937446</v>
      </c>
      <c r="Q42" s="10">
        <f>'[2]Common Adj'!DF18</f>
        <v>85050.369389659259</v>
      </c>
      <c r="R42" s="10">
        <f>+'[2]Common Adj'!DN29</f>
        <v>-16430.619345331426</v>
      </c>
      <c r="S42" s="10">
        <f>+'[2]Common Adj'!DV32</f>
        <v>-3497.3229715031848</v>
      </c>
      <c r="T42" s="10">
        <f>'[2]Common Adj'!ED23</f>
        <v>-6339.9404369538834</v>
      </c>
      <c r="U42" s="10"/>
      <c r="V42" s="10">
        <f>'[2]Common Adj'!ET25</f>
        <v>-4493721.8109590504</v>
      </c>
      <c r="W42" s="10">
        <f>+'[2]Common Adj'!FZ31</f>
        <v>90617.111287017076</v>
      </c>
      <c r="X42" s="10"/>
      <c r="Y42" s="10">
        <f>'[2]Electric Adj'!F36</f>
        <v>-2017478.0250371571</v>
      </c>
      <c r="Z42" s="10">
        <f>+'[2]Electric Adj'!N21</f>
        <v>-18240.771149999986</v>
      </c>
      <c r="AA42" s="10">
        <f>'[2]Electric Adj'!V26</f>
        <v>44533.439999999995</v>
      </c>
      <c r="AB42" s="10"/>
      <c r="AC42" s="10">
        <f>'[2]Electric Adj'!AL25</f>
        <v>-2924.2759000001502</v>
      </c>
      <c r="AD42" s="68">
        <f>'[2]Electric Adj'!BB27+'[2]Electric Adj'!BB28+'[2]Electric Adj'!BB19+'[2]Electric Adj'!BB20</f>
        <v>680428.34983163839</v>
      </c>
      <c r="AE42" s="10"/>
      <c r="AF42" s="10"/>
      <c r="AG42" s="57">
        <f t="shared" si="5"/>
        <v>60416953.921410412</v>
      </c>
      <c r="AH42" s="57">
        <f t="shared" si="6"/>
        <v>83258508.951410413</v>
      </c>
      <c r="AI42" s="10">
        <f>'[2]Common Adj'!H49</f>
        <v>-6828448.6094030747</v>
      </c>
      <c r="AJ42" s="10">
        <f>'[2]Common Adj'!P27</f>
        <v>1819367.5867059231</v>
      </c>
      <c r="AK42" s="10">
        <f>+'[2]Common Adj'!AF21</f>
        <v>390109.21111976978</v>
      </c>
      <c r="AL42" s="10">
        <f>+'[2]Common Adj'!BT19</f>
        <v>-19095.31723638187</v>
      </c>
      <c r="AM42" s="10">
        <f>+'[2]Common Adj'!CB20</f>
        <v>-1409.2154804365487</v>
      </c>
      <c r="AN42" s="10">
        <f>'[2]Common Adj'!DH18</f>
        <v>-117649.97503014863</v>
      </c>
      <c r="AO42" s="10">
        <f>+'[2]Common Adj'!DP29</f>
        <v>-798413.9281708037</v>
      </c>
      <c r="AP42" s="10">
        <f>+'[2]Common Adj'!DX32</f>
        <v>-55338.276006912813</v>
      </c>
      <c r="AQ42" s="10">
        <f>'[2]Common Adj'!EF23</f>
        <v>-183749.17289675883</v>
      </c>
      <c r="AR42" s="10">
        <f>+'[2]Common Adj'!FD19</f>
        <v>742132.43859999988</v>
      </c>
      <c r="AS42" s="10">
        <f>'[2]Common Adj'!FL18</f>
        <v>-31930.008667454156</v>
      </c>
      <c r="AT42" s="10">
        <f>+'[2]Common Adj'!FS37</f>
        <v>-1293062.105527486</v>
      </c>
      <c r="AU42" s="10">
        <f>+'[2]Common Adj'!GB31</f>
        <v>104880.10578661348</v>
      </c>
      <c r="AV42" s="10">
        <f>'[2]Common Adj'!GJ37</f>
        <v>-2579553.0482591474</v>
      </c>
      <c r="AW42" s="10">
        <f>'[2]Common Adj'!GR19</f>
        <v>126885.39543224999</v>
      </c>
      <c r="AX42" s="10"/>
      <c r="AY42" s="10">
        <f>+'[2]Common Adj'!HH26</f>
        <v>-78752.939279958257</v>
      </c>
      <c r="AZ42" s="10">
        <f>'[2]Common Adj'!HP20</f>
        <v>-353737.27900707163</v>
      </c>
      <c r="BA42" s="10">
        <f>'[2]Common Adj'!HX29</f>
        <v>-143168.97000000003</v>
      </c>
      <c r="BB42" s="10">
        <f>+'[2]Electric Adj'!H36</f>
        <v>-4487754.6519602817</v>
      </c>
      <c r="BC42" s="10">
        <f>+'[2]Electric Adj'!P21</f>
        <v>140062.91010197028</v>
      </c>
      <c r="BD42" s="10">
        <f>+'[2]Electric Adj'!AN25</f>
        <v>-2839467.0780000007</v>
      </c>
      <c r="BE42" s="10">
        <f>'[2]Electric Adj'!AV53</f>
        <v>2419018.0389976455</v>
      </c>
      <c r="BF42" s="10">
        <f>'[2]Electric Adj'!BI27</f>
        <v>1190549.5001400001</v>
      </c>
      <c r="BG42" s="10">
        <f>'[2]Electric Adj'!BT28</f>
        <v>-77824.414474127334</v>
      </c>
      <c r="BH42" s="10">
        <f>'[2]Electric Adj'!CB28</f>
        <v>-648911.83455000003</v>
      </c>
      <c r="BI42" s="10">
        <f>+'[2]Electric Adj'!CJ16</f>
        <v>11970</v>
      </c>
      <c r="BJ42" s="10"/>
      <c r="BK42" s="57">
        <f t="shared" si="7"/>
        <v>-13593291.637065871</v>
      </c>
      <c r="BL42" s="57">
        <f t="shared" si="8"/>
        <v>69665217.31434454</v>
      </c>
    </row>
    <row r="43" spans="1:72" s="53" customFormat="1" x14ac:dyDescent="0.2">
      <c r="A43" s="4">
        <f t="shared" si="2"/>
        <v>31</v>
      </c>
      <c r="B43" s="14" t="s">
        <v>54</v>
      </c>
      <c r="C43" s="65">
        <f>+'[4]Allocated (CBR)'!B38</f>
        <v>38907707.560000002</v>
      </c>
      <c r="D43" s="10"/>
      <c r="E43" s="10"/>
      <c r="F43" s="10">
        <f>+'[2]Common Adj'!V15</f>
        <v>-81967593.284695342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>
        <f>+'[2]Electric Adj'!AD21</f>
        <v>-8748915.1805999987</v>
      </c>
      <c r="AC43" s="10"/>
      <c r="AD43" s="10"/>
      <c r="AE43" s="10"/>
      <c r="AF43" s="10"/>
      <c r="AG43" s="57">
        <f t="shared" si="5"/>
        <v>-90716508.465295345</v>
      </c>
      <c r="AH43" s="57">
        <f t="shared" si="6"/>
        <v>-51808800.905295342</v>
      </c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>
        <f>'[2]Common Adj'!GY19</f>
        <v>-9006372.2399999984</v>
      </c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57">
        <f t="shared" si="7"/>
        <v>-9006372.2399999984</v>
      </c>
      <c r="BL43" s="57">
        <f t="shared" si="8"/>
        <v>-60815173.145295337</v>
      </c>
    </row>
    <row r="44" spans="1:72" s="53" customFormat="1" x14ac:dyDescent="0.2">
      <c r="A44" s="4">
        <f t="shared" si="2"/>
        <v>32</v>
      </c>
      <c r="B44" s="8" t="s">
        <v>55</v>
      </c>
      <c r="C44" s="63">
        <f t="shared" ref="C44:AI44" si="9">SUM(C27:C43)</f>
        <v>2051942496.7299988</v>
      </c>
      <c r="D44" s="63">
        <f t="shared" si="9"/>
        <v>35716700.462070137</v>
      </c>
      <c r="E44" s="63">
        <f t="shared" si="9"/>
        <v>1312003.0336139998</v>
      </c>
      <c r="F44" s="63">
        <f t="shared" si="9"/>
        <v>14935653.446827501</v>
      </c>
      <c r="G44" s="63">
        <f t="shared" si="9"/>
        <v>-33152988.38277762</v>
      </c>
      <c r="H44" s="63">
        <f t="shared" si="9"/>
        <v>-188754338.42993236</v>
      </c>
      <c r="I44" s="63">
        <f t="shared" si="9"/>
        <v>-66597.374865170947</v>
      </c>
      <c r="J44" s="63">
        <f t="shared" si="9"/>
        <v>-303153.75903630909</v>
      </c>
      <c r="K44" s="63">
        <f t="shared" si="9"/>
        <v>-184145.16401528011</v>
      </c>
      <c r="L44" s="63">
        <f t="shared" si="9"/>
        <v>-71834.764841626398</v>
      </c>
      <c r="M44" s="63">
        <f t="shared" si="9"/>
        <v>-5301.3344264041589</v>
      </c>
      <c r="N44" s="63">
        <f t="shared" si="9"/>
        <v>803909.33835699933</v>
      </c>
      <c r="O44" s="63">
        <f t="shared" si="9"/>
        <v>496557.58700637007</v>
      </c>
      <c r="P44" s="63">
        <f t="shared" si="9"/>
        <v>1726149.211916219</v>
      </c>
      <c r="Q44" s="63">
        <f t="shared" si="9"/>
        <v>-319951.38960871822</v>
      </c>
      <c r="R44" s="63">
        <f t="shared" si="9"/>
        <v>61810.425156236211</v>
      </c>
      <c r="S44" s="63">
        <f t="shared" si="9"/>
        <v>13156.595940416744</v>
      </c>
      <c r="T44" s="63">
        <f t="shared" si="9"/>
        <v>23850.252119969373</v>
      </c>
      <c r="U44" s="63">
        <f t="shared" si="9"/>
        <v>0</v>
      </c>
      <c r="V44" s="63">
        <f t="shared" si="9"/>
        <v>16904953.479322143</v>
      </c>
      <c r="W44" s="63">
        <f t="shared" si="9"/>
        <v>-1199459.0724606833</v>
      </c>
      <c r="X44" s="63">
        <f t="shared" ref="X44" si="10">SUM(X27:X43)</f>
        <v>0</v>
      </c>
      <c r="Y44" s="63">
        <f t="shared" si="9"/>
        <v>7589560.1894254955</v>
      </c>
      <c r="Z44" s="63">
        <f t="shared" si="9"/>
        <v>68620.043849999958</v>
      </c>
      <c r="AA44" s="63">
        <f t="shared" si="9"/>
        <v>-167530.56</v>
      </c>
      <c r="AB44" s="63">
        <f t="shared" si="9"/>
        <v>32912585.679400001</v>
      </c>
      <c r="AC44" s="63">
        <f t="shared" si="9"/>
        <v>11000.8474333339</v>
      </c>
      <c r="AD44" s="63">
        <f t="shared" si="9"/>
        <v>-1668426.4785019332</v>
      </c>
      <c r="AE44" s="63">
        <f t="shared" si="9"/>
        <v>0</v>
      </c>
      <c r="AF44" s="63">
        <f t="shared" si="9"/>
        <v>0</v>
      </c>
      <c r="AG44" s="64">
        <f t="shared" si="9"/>
        <v>-113317216.11802727</v>
      </c>
      <c r="AH44" s="64">
        <f t="shared" si="9"/>
        <v>1938625280.6119714</v>
      </c>
      <c r="AI44" s="63">
        <f t="shared" si="9"/>
        <v>-8499713.6898646243</v>
      </c>
      <c r="AJ44" s="63">
        <f t="shared" ref="AJ44:BL44" si="11">SUM(AJ27:AJ43)</f>
        <v>2264658.4119159225</v>
      </c>
      <c r="AK44" s="63">
        <f t="shared" si="11"/>
        <v>390109.21111976978</v>
      </c>
      <c r="AL44" s="63">
        <f t="shared" si="11"/>
        <v>71834.764841627039</v>
      </c>
      <c r="AM44" s="63">
        <f t="shared" si="11"/>
        <v>5301.3344264041589</v>
      </c>
      <c r="AN44" s="63">
        <f t="shared" si="11"/>
        <v>442588.00130389305</v>
      </c>
      <c r="AO44" s="63">
        <f t="shared" si="11"/>
        <v>3003557.1583568119</v>
      </c>
      <c r="AP44" s="63">
        <f t="shared" si="11"/>
        <v>208177.32402600534</v>
      </c>
      <c r="AQ44" s="63">
        <f t="shared" si="11"/>
        <v>691246.88851637836</v>
      </c>
      <c r="AR44" s="63">
        <f t="shared" si="11"/>
        <v>-2791831.5547333327</v>
      </c>
      <c r="AS44" s="63">
        <f t="shared" si="11"/>
        <v>120117.65165375613</v>
      </c>
      <c r="AT44" s="63">
        <f t="shared" si="11"/>
        <v>4864376.4922224488</v>
      </c>
      <c r="AU44" s="63">
        <f t="shared" si="11"/>
        <v>-394548.96938773646</v>
      </c>
      <c r="AV44" s="63">
        <f t="shared" si="11"/>
        <v>9704032.895832032</v>
      </c>
      <c r="AW44" s="63">
        <f t="shared" si="11"/>
        <v>-477330.77329275</v>
      </c>
      <c r="AX44" s="63">
        <f t="shared" si="11"/>
        <v>-9006372.2399999984</v>
      </c>
      <c r="AY44" s="63">
        <f t="shared" si="11"/>
        <v>296261.05729127157</v>
      </c>
      <c r="AZ44" s="63">
        <f t="shared" si="11"/>
        <v>1330725.9543599267</v>
      </c>
      <c r="BA44" s="63">
        <f t="shared" si="11"/>
        <v>538588.03</v>
      </c>
      <c r="BB44" s="63">
        <f t="shared" si="11"/>
        <v>-169918194.74760523</v>
      </c>
      <c r="BC44" s="63">
        <f t="shared" si="11"/>
        <v>-526903.32847884053</v>
      </c>
      <c r="BD44" s="63">
        <f t="shared" si="11"/>
        <v>10681804.722000003</v>
      </c>
      <c r="BE44" s="63">
        <f t="shared" si="11"/>
        <v>-9100115.4800387621</v>
      </c>
      <c r="BF44" s="63">
        <f t="shared" si="11"/>
        <v>-4478733.8338600006</v>
      </c>
      <c r="BG44" s="63">
        <f t="shared" si="11"/>
        <v>292768.03540266951</v>
      </c>
      <c r="BH44" s="63">
        <f t="shared" si="11"/>
        <v>2441144.5204499997</v>
      </c>
      <c r="BI44" s="63">
        <f t="shared" si="11"/>
        <v>-45030</v>
      </c>
      <c r="BJ44" s="63">
        <f t="shared" si="11"/>
        <v>0</v>
      </c>
      <c r="BK44" s="64">
        <f t="shared" si="11"/>
        <v>-167891482.16354233</v>
      </c>
      <c r="BL44" s="64">
        <f t="shared" si="11"/>
        <v>1770733798.4484291</v>
      </c>
    </row>
    <row r="45" spans="1:72" s="53" customFormat="1" x14ac:dyDescent="0.2">
      <c r="A45" s="4">
        <f t="shared" si="2"/>
        <v>33</v>
      </c>
      <c r="B45" s="14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70"/>
      <c r="AH45" s="70"/>
      <c r="AI45" s="69"/>
      <c r="AJ45" s="69"/>
      <c r="AK45" s="69"/>
      <c r="AL45" s="69">
        <f>+L45</f>
        <v>0</v>
      </c>
      <c r="AM45" s="69">
        <f>+M45</f>
        <v>0</v>
      </c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70"/>
      <c r="BL45" s="70"/>
    </row>
    <row r="46" spans="1:72" s="53" customFormat="1" ht="13.5" thickBot="1" x14ac:dyDescent="0.25">
      <c r="A46" s="4">
        <f t="shared" si="2"/>
        <v>34</v>
      </c>
      <c r="B46" s="14" t="s">
        <v>56</v>
      </c>
      <c r="C46" s="21">
        <f t="shared" ref="C46:BL46" si="12">+C18-C44</f>
        <v>391140691.10000062</v>
      </c>
      <c r="D46" s="21">
        <f t="shared" si="12"/>
        <v>8327800.1577338427</v>
      </c>
      <c r="E46" s="21">
        <f t="shared" si="12"/>
        <v>3965156.9663860002</v>
      </c>
      <c r="F46" s="21">
        <f t="shared" si="12"/>
        <v>-14935653.446827501</v>
      </c>
      <c r="G46" s="21">
        <f t="shared" si="12"/>
        <v>33152988.38277762</v>
      </c>
      <c r="H46" s="21">
        <f t="shared" si="12"/>
        <v>-1955986.2286396027</v>
      </c>
      <c r="I46" s="21">
        <f t="shared" si="12"/>
        <v>66597.374865170947</v>
      </c>
      <c r="J46" s="21">
        <f t="shared" si="12"/>
        <v>303153.75903630909</v>
      </c>
      <c r="K46" s="21">
        <f t="shared" si="12"/>
        <v>184145.16401528011</v>
      </c>
      <c r="L46" s="21">
        <f t="shared" si="12"/>
        <v>71834.764841626398</v>
      </c>
      <c r="M46" s="21">
        <f t="shared" si="12"/>
        <v>5301.3344264041589</v>
      </c>
      <c r="N46" s="21">
        <f t="shared" si="12"/>
        <v>-803909.33835699933</v>
      </c>
      <c r="O46" s="21">
        <f t="shared" si="12"/>
        <v>-496557.58700637007</v>
      </c>
      <c r="P46" s="21">
        <f t="shared" si="12"/>
        <v>-1726149.211916219</v>
      </c>
      <c r="Q46" s="21">
        <f t="shared" si="12"/>
        <v>319951.38960871822</v>
      </c>
      <c r="R46" s="21">
        <f t="shared" si="12"/>
        <v>-61810.425156236211</v>
      </c>
      <c r="S46" s="21">
        <f t="shared" si="12"/>
        <v>-13156.595940416744</v>
      </c>
      <c r="T46" s="21">
        <f t="shared" si="12"/>
        <v>-23850.252119969373</v>
      </c>
      <c r="U46" s="21">
        <f t="shared" si="12"/>
        <v>0</v>
      </c>
      <c r="V46" s="21">
        <f t="shared" si="12"/>
        <v>-16904953.479322143</v>
      </c>
      <c r="W46" s="21">
        <f t="shared" si="12"/>
        <v>340892.94246068329</v>
      </c>
      <c r="X46" s="21">
        <f t="shared" si="12"/>
        <v>0</v>
      </c>
      <c r="Y46" s="21">
        <f t="shared" si="12"/>
        <v>-7589560.1894254955</v>
      </c>
      <c r="Z46" s="21">
        <f t="shared" si="12"/>
        <v>-68620.043849999958</v>
      </c>
      <c r="AA46" s="21">
        <f t="shared" si="12"/>
        <v>167530.56</v>
      </c>
      <c r="AB46" s="21">
        <f t="shared" si="12"/>
        <v>-32912585.679400001</v>
      </c>
      <c r="AC46" s="21">
        <f t="shared" si="12"/>
        <v>-11000.8474333339</v>
      </c>
      <c r="AD46" s="21">
        <f t="shared" si="12"/>
        <v>1668426.4785019332</v>
      </c>
      <c r="AE46" s="21">
        <f t="shared" si="12"/>
        <v>0</v>
      </c>
      <c r="AF46" s="21">
        <f t="shared" si="12"/>
        <v>0</v>
      </c>
      <c r="AG46" s="71">
        <f t="shared" si="12"/>
        <v>-28930014.050740719</v>
      </c>
      <c r="AH46" s="71">
        <f t="shared" si="12"/>
        <v>362210677.04926062</v>
      </c>
      <c r="AI46" s="21">
        <f t="shared" si="12"/>
        <v>-25687973.340135377</v>
      </c>
      <c r="AJ46" s="21">
        <f t="shared" si="12"/>
        <v>6844287.5880840775</v>
      </c>
      <c r="AK46" s="21">
        <f t="shared" si="12"/>
        <v>-390109.21111976978</v>
      </c>
      <c r="AL46" s="21">
        <f t="shared" si="12"/>
        <v>-71834.764841627039</v>
      </c>
      <c r="AM46" s="21">
        <f t="shared" si="12"/>
        <v>-5301.3344264041589</v>
      </c>
      <c r="AN46" s="21">
        <f t="shared" si="12"/>
        <v>-442588.00130389305</v>
      </c>
      <c r="AO46" s="21">
        <f t="shared" si="12"/>
        <v>-3003557.1583568119</v>
      </c>
      <c r="AP46" s="21">
        <f t="shared" si="12"/>
        <v>-208177.32402600534</v>
      </c>
      <c r="AQ46" s="21">
        <f t="shared" si="12"/>
        <v>-691246.88851637836</v>
      </c>
      <c r="AR46" s="21">
        <f t="shared" si="12"/>
        <v>2791831.5547333327</v>
      </c>
      <c r="AS46" s="21">
        <f t="shared" si="12"/>
        <v>-120117.65165375613</v>
      </c>
      <c r="AT46" s="21">
        <f t="shared" si="12"/>
        <v>-4864376.4922224488</v>
      </c>
      <c r="AU46" s="21">
        <f t="shared" si="12"/>
        <v>394548.96938773646</v>
      </c>
      <c r="AV46" s="21">
        <f t="shared" si="12"/>
        <v>-9704032.895832032</v>
      </c>
      <c r="AW46" s="21">
        <f t="shared" si="12"/>
        <v>477330.77329275</v>
      </c>
      <c r="AX46" s="21">
        <f t="shared" si="12"/>
        <v>9006372.2399999984</v>
      </c>
      <c r="AY46" s="21">
        <f t="shared" si="12"/>
        <v>-296261.05729127157</v>
      </c>
      <c r="AZ46" s="21">
        <f t="shared" si="12"/>
        <v>-1330725.9543599267</v>
      </c>
      <c r="BA46" s="21">
        <f t="shared" si="12"/>
        <v>-538588.03</v>
      </c>
      <c r="BB46" s="21">
        <f t="shared" si="12"/>
        <v>-16882505.595469624</v>
      </c>
      <c r="BC46" s="21">
        <f t="shared" si="12"/>
        <v>526903.32847884053</v>
      </c>
      <c r="BD46" s="21">
        <f t="shared" si="12"/>
        <v>-10681804.722000003</v>
      </c>
      <c r="BE46" s="21">
        <f t="shared" si="12"/>
        <v>9100115.4800387621</v>
      </c>
      <c r="BF46" s="21">
        <f t="shared" si="12"/>
        <v>4478733.8338600006</v>
      </c>
      <c r="BG46" s="21">
        <f t="shared" si="12"/>
        <v>-292768.03540266951</v>
      </c>
      <c r="BH46" s="21">
        <f t="shared" si="12"/>
        <v>-2441144.5204499997</v>
      </c>
      <c r="BI46" s="21">
        <f t="shared" si="12"/>
        <v>45030</v>
      </c>
      <c r="BJ46" s="21">
        <f t="shared" si="12"/>
        <v>0</v>
      </c>
      <c r="BK46" s="71">
        <f t="shared" si="12"/>
        <v>-43987959.209532529</v>
      </c>
      <c r="BL46" s="71">
        <f t="shared" si="12"/>
        <v>318222717.83972788</v>
      </c>
    </row>
    <row r="47" spans="1:72" s="53" customFormat="1" ht="15.75" thickTop="1" x14ac:dyDescent="0.25">
      <c r="A47" s="4">
        <f t="shared" si="2"/>
        <v>35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67">
        <f>AE46</f>
        <v>0</v>
      </c>
      <c r="AF47" s="67">
        <f>AF46</f>
        <v>0</v>
      </c>
      <c r="AG47" s="55"/>
      <c r="AH47" s="55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5"/>
      <c r="BL47" s="55"/>
    </row>
    <row r="48" spans="1:72" s="66" customFormat="1" x14ac:dyDescent="0.2">
      <c r="A48" s="4">
        <f t="shared" si="2"/>
        <v>36</v>
      </c>
      <c r="B48" s="8" t="s">
        <v>57</v>
      </c>
      <c r="C48" s="61">
        <f t="shared" ref="C48:AE48" si="13">C59</f>
        <v>5208778506.3049917</v>
      </c>
      <c r="D48" s="61">
        <f t="shared" si="13"/>
        <v>0</v>
      </c>
      <c r="E48" s="61">
        <f t="shared" si="13"/>
        <v>0</v>
      </c>
      <c r="F48" s="61">
        <f t="shared" si="13"/>
        <v>0</v>
      </c>
      <c r="G48" s="61">
        <f t="shared" si="13"/>
        <v>0</v>
      </c>
      <c r="H48" s="61">
        <f t="shared" si="13"/>
        <v>0</v>
      </c>
      <c r="I48" s="61">
        <f t="shared" si="13"/>
        <v>0</v>
      </c>
      <c r="J48" s="61">
        <f t="shared" si="13"/>
        <v>0</v>
      </c>
      <c r="K48" s="61">
        <f t="shared" si="13"/>
        <v>0</v>
      </c>
      <c r="L48" s="61">
        <f t="shared" si="13"/>
        <v>0</v>
      </c>
      <c r="M48" s="61">
        <f t="shared" si="13"/>
        <v>0</v>
      </c>
      <c r="N48" s="61">
        <f t="shared" si="13"/>
        <v>0</v>
      </c>
      <c r="O48" s="61">
        <f t="shared" si="13"/>
        <v>0</v>
      </c>
      <c r="P48" s="61">
        <f t="shared" si="13"/>
        <v>0</v>
      </c>
      <c r="Q48" s="61">
        <f t="shared" si="13"/>
        <v>0</v>
      </c>
      <c r="R48" s="61">
        <f t="shared" si="13"/>
        <v>0</v>
      </c>
      <c r="S48" s="61">
        <f t="shared" si="13"/>
        <v>0</v>
      </c>
      <c r="T48" s="61">
        <f t="shared" si="13"/>
        <v>0</v>
      </c>
      <c r="U48" s="61">
        <f t="shared" si="13"/>
        <v>190746231.15314114</v>
      </c>
      <c r="V48" s="61">
        <f t="shared" si="13"/>
        <v>-16904953.479322143</v>
      </c>
      <c r="W48" s="61">
        <f t="shared" si="13"/>
        <v>0</v>
      </c>
      <c r="X48" s="61">
        <f t="shared" si="13"/>
        <v>-211405.47488111624</v>
      </c>
      <c r="Y48" s="61">
        <f t="shared" si="13"/>
        <v>0</v>
      </c>
      <c r="Z48" s="61">
        <f t="shared" si="13"/>
        <v>0</v>
      </c>
      <c r="AA48" s="61">
        <f t="shared" si="13"/>
        <v>-1615371.4300000002</v>
      </c>
      <c r="AB48" s="61">
        <f t="shared" si="13"/>
        <v>0</v>
      </c>
      <c r="AC48" s="61">
        <f t="shared" si="13"/>
        <v>0</v>
      </c>
      <c r="AD48" s="61">
        <f t="shared" si="13"/>
        <v>-11018406.688827798</v>
      </c>
      <c r="AE48" s="61">
        <f t="shared" si="13"/>
        <v>0</v>
      </c>
      <c r="AF48" s="61" t="e">
        <f>'[2]Electric Adj'!DF84+'[2]Electric Adj'!DF104</f>
        <v>#REF!</v>
      </c>
      <c r="AG48" s="62">
        <f t="shared" ref="AG48:BL48" si="14">AG59</f>
        <v>160996094.08011013</v>
      </c>
      <c r="AH48" s="62">
        <f t="shared" si="14"/>
        <v>5369774600.3851023</v>
      </c>
      <c r="AI48" s="61">
        <f t="shared" si="14"/>
        <v>0</v>
      </c>
      <c r="AJ48" s="61">
        <f t="shared" si="14"/>
        <v>0</v>
      </c>
      <c r="AK48" s="61">
        <f t="shared" si="14"/>
        <v>0</v>
      </c>
      <c r="AL48" s="61">
        <f t="shared" si="14"/>
        <v>0</v>
      </c>
      <c r="AM48" s="61">
        <f t="shared" si="14"/>
        <v>0</v>
      </c>
      <c r="AN48" s="61">
        <f t="shared" si="14"/>
        <v>0</v>
      </c>
      <c r="AO48" s="61">
        <f t="shared" si="14"/>
        <v>0</v>
      </c>
      <c r="AP48" s="61">
        <f t="shared" si="14"/>
        <v>0</v>
      </c>
      <c r="AQ48" s="61">
        <f t="shared" si="14"/>
        <v>0</v>
      </c>
      <c r="AR48" s="61">
        <f t="shared" si="14"/>
        <v>0</v>
      </c>
      <c r="AS48" s="61">
        <f t="shared" si="14"/>
        <v>0</v>
      </c>
      <c r="AT48" s="61">
        <f t="shared" si="14"/>
        <v>28244978.592898086</v>
      </c>
      <c r="AU48" s="61">
        <f t="shared" si="14"/>
        <v>0</v>
      </c>
      <c r="AV48" s="61">
        <f t="shared" si="14"/>
        <v>25877605.564484786</v>
      </c>
      <c r="AW48" s="61">
        <f t="shared" si="14"/>
        <v>0</v>
      </c>
      <c r="AX48" s="61">
        <f t="shared" si="14"/>
        <v>4503186.1200000085</v>
      </c>
      <c r="AY48" s="61">
        <f t="shared" si="14"/>
        <v>12855303.339327645</v>
      </c>
      <c r="AZ48" s="61">
        <f t="shared" si="14"/>
        <v>0</v>
      </c>
      <c r="BA48" s="61">
        <f t="shared" si="14"/>
        <v>5481049.5432116631</v>
      </c>
      <c r="BB48" s="61">
        <f t="shared" si="14"/>
        <v>0</v>
      </c>
      <c r="BC48" s="61">
        <f t="shared" si="14"/>
        <v>0</v>
      </c>
      <c r="BD48" s="61">
        <f t="shared" si="14"/>
        <v>0</v>
      </c>
      <c r="BE48" s="61">
        <f t="shared" si="14"/>
        <v>-23391891.903797138</v>
      </c>
      <c r="BF48" s="61">
        <f t="shared" si="14"/>
        <v>-3321469.9169705859</v>
      </c>
      <c r="BG48" s="61">
        <f t="shared" si="14"/>
        <v>11899759.55273651</v>
      </c>
      <c r="BH48" s="61">
        <f t="shared" si="14"/>
        <v>4644660.6473233327</v>
      </c>
      <c r="BI48" s="61">
        <f t="shared" si="14"/>
        <v>-550000</v>
      </c>
      <c r="BJ48" s="61">
        <f t="shared" si="14"/>
        <v>0</v>
      </c>
      <c r="BK48" s="62">
        <f t="shared" si="14"/>
        <v>66243181.539214298</v>
      </c>
      <c r="BL48" s="62">
        <f t="shared" si="14"/>
        <v>5436017781.9243155</v>
      </c>
    </row>
    <row r="49" spans="1:66" s="53" customFormat="1" ht="15" x14ac:dyDescent="0.25">
      <c r="A49" s="4">
        <f t="shared" si="2"/>
        <v>37</v>
      </c>
      <c r="B49" s="14"/>
      <c r="C49" s="54"/>
      <c r="D49" s="54"/>
      <c r="E49" s="54"/>
      <c r="F49" s="27"/>
      <c r="G49" s="27"/>
      <c r="H49" s="27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5"/>
      <c r="AH49" s="55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5"/>
      <c r="BL49" s="55"/>
    </row>
    <row r="50" spans="1:66" s="53" customFormat="1" ht="15" x14ac:dyDescent="0.25">
      <c r="A50" s="4">
        <f t="shared" si="2"/>
        <v>38</v>
      </c>
      <c r="B50" s="8" t="s">
        <v>58</v>
      </c>
      <c r="C50" s="23">
        <f>+C46/C48</f>
        <v>7.5092594286077327E-2</v>
      </c>
      <c r="D50" s="10"/>
      <c r="E50" s="10"/>
      <c r="F50" s="27"/>
      <c r="G50" s="27"/>
      <c r="H50" s="27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57"/>
      <c r="AH50" s="72">
        <f>+AH46/AH48</f>
        <v>6.7453609137203649E-2</v>
      </c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57"/>
      <c r="BL50" s="72">
        <f>+BL46/BL48</f>
        <v>5.8539675660714829E-2</v>
      </c>
    </row>
    <row r="51" spans="1:66" s="53" customFormat="1" ht="15" x14ac:dyDescent="0.25">
      <c r="A51" s="4">
        <f t="shared" si="2"/>
        <v>39</v>
      </c>
      <c r="B51" s="14"/>
      <c r="C51" s="10"/>
      <c r="D51" s="10"/>
      <c r="E51" s="10"/>
      <c r="F51" s="27"/>
      <c r="G51" s="27"/>
      <c r="H51" s="27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57"/>
      <c r="AH51" s="57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57"/>
      <c r="BL51" s="57"/>
    </row>
    <row r="52" spans="1:66" s="53" customFormat="1" ht="15" x14ac:dyDescent="0.25">
      <c r="A52" s="4">
        <f t="shared" si="2"/>
        <v>40</v>
      </c>
      <c r="B52" s="14" t="s">
        <v>60</v>
      </c>
      <c r="C52" s="10"/>
      <c r="D52" s="10"/>
      <c r="E52" s="10"/>
      <c r="F52" s="27"/>
      <c r="G52" s="27"/>
      <c r="H52" s="27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57"/>
      <c r="AH52" s="57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57"/>
      <c r="BL52" s="57"/>
    </row>
    <row r="53" spans="1:66" s="53" customFormat="1" x14ac:dyDescent="0.2">
      <c r="A53" s="4">
        <f t="shared" si="2"/>
        <v>41</v>
      </c>
      <c r="B53" s="24" t="s">
        <v>61</v>
      </c>
      <c r="C53" s="61">
        <f>+'[5]ERB AMA'!D92</f>
        <v>10572466950.394854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>
        <f>'[2]Common Adj'!EL14</f>
        <v>326078876.75844002</v>
      </c>
      <c r="X53" s="61">
        <f>+'[2]Common Adj'!ID16</f>
        <v>-227315.75601419382</v>
      </c>
      <c r="Y53" s="61"/>
      <c r="Z53" s="61"/>
      <c r="AA53" s="61">
        <f>'[2]Electric Adj'!V16</f>
        <v>-4539000</v>
      </c>
      <c r="AB53" s="61"/>
      <c r="AC53" s="61"/>
      <c r="AD53" s="61"/>
      <c r="AE53" s="61"/>
      <c r="AF53" s="61"/>
      <c r="AG53" s="62">
        <f t="shared" ref="AG53:AG58" si="15">SUM(D53:AF53)</f>
        <v>321312561.00242585</v>
      </c>
      <c r="AH53" s="62">
        <f t="shared" ref="AH53:AH58" si="16">+AG53+C53</f>
        <v>10893779511.39728</v>
      </c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>
        <f>+'[2]Common Adj'!FS16</f>
        <v>24644867.610000003</v>
      </c>
      <c r="AU53" s="61">
        <f>+'[2]Common Adj'!GB37</f>
        <v>0</v>
      </c>
      <c r="AV53" s="61">
        <f>'[2]Common Adj'!GJ16</f>
        <v>21484686.755701002</v>
      </c>
      <c r="AW53" s="61"/>
      <c r="AX53" s="61"/>
      <c r="AY53" s="61">
        <f>+'[2]Common Adj'!HH15</f>
        <v>13639436.15</v>
      </c>
      <c r="AZ53" s="61"/>
      <c r="BA53" s="61">
        <f>'[2]Common Adj'!HX16</f>
        <v>6817570</v>
      </c>
      <c r="BB53" s="61"/>
      <c r="BC53" s="61"/>
      <c r="BD53" s="61"/>
      <c r="BE53" s="61"/>
      <c r="BF53" s="61">
        <f>'[2]Electric Adj'!BL17</f>
        <v>-16990239.199999999</v>
      </c>
      <c r="BG53" s="61">
        <f>'[2]Electric Adj'!BT17</f>
        <v>12619474.160000008</v>
      </c>
      <c r="BH53" s="61">
        <f>'[2]Electric Adj'!CB17</f>
        <v>9659116.8499999996</v>
      </c>
      <c r="BI53" s="61">
        <f>+'[2]Electric Adj'!CJ20</f>
        <v>-3209000</v>
      </c>
      <c r="BJ53" s="61"/>
      <c r="BK53" s="62">
        <f t="shared" ref="BK53:BK58" si="17">SUM(AI53:BJ53)</f>
        <v>68665912.325701013</v>
      </c>
      <c r="BL53" s="62">
        <f t="shared" ref="BL53:BL58" si="18">+BK53+AH53</f>
        <v>10962445423.72298</v>
      </c>
    </row>
    <row r="54" spans="1:66" s="53" customFormat="1" x14ac:dyDescent="0.2">
      <c r="A54" s="4">
        <f t="shared" si="2"/>
        <v>42</v>
      </c>
      <c r="B54" s="24" t="s">
        <v>62</v>
      </c>
      <c r="C54" s="65">
        <f>+'[5]ERB AMA'!D93</f>
        <v>-4244925258.0010071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>
        <f>'[2]Common Adj'!EL15</f>
        <v>-143742277.5314436</v>
      </c>
      <c r="V54" s="65">
        <f>'[2]Common Adj'!ET30</f>
        <v>-21398675.290281195</v>
      </c>
      <c r="W54" s="65"/>
      <c r="X54" s="65"/>
      <c r="Y54" s="65"/>
      <c r="Z54" s="65"/>
      <c r="AA54" s="61">
        <f>'[2]Electric Adj'!V17</f>
        <v>2120000</v>
      </c>
      <c r="AB54" s="65"/>
      <c r="AC54" s="65"/>
      <c r="AD54" s="65">
        <f>'[2]Electric Adj'!BB32</f>
        <v>-16445383.11765343</v>
      </c>
      <c r="AE54" s="65"/>
      <c r="AF54" s="65"/>
      <c r="AG54" s="57">
        <f t="shared" si="15"/>
        <v>-179466335.93937823</v>
      </c>
      <c r="AH54" s="57">
        <f t="shared" si="16"/>
        <v>-4424391593.9403849</v>
      </c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>
        <f>+'[2]Common Adj'!FS17</f>
        <v>-2140347.6892875</v>
      </c>
      <c r="AU54" s="10">
        <f>+'[2]Common Adj'!GB38</f>
        <v>0</v>
      </c>
      <c r="AV54" s="10">
        <f>'[2]Common Adj'!GJ17</f>
        <v>-8848582.893215416</v>
      </c>
      <c r="AW54" s="10"/>
      <c r="AX54" s="10"/>
      <c r="AY54" s="61">
        <f>+'[2]Common Adj'!HH16</f>
        <v>-671553.6085628313</v>
      </c>
      <c r="AZ54" s="10"/>
      <c r="BA54" s="10">
        <f>'[2]Common Adj'!HX17</f>
        <v>-965822.41666666651</v>
      </c>
      <c r="BB54" s="10"/>
      <c r="BC54" s="10"/>
      <c r="BD54" s="10"/>
      <c r="BE54" s="10"/>
      <c r="BF54" s="10">
        <f>'[2]Electric Adj'!BL18</f>
        <v>12688074.934416663</v>
      </c>
      <c r="BG54" s="10">
        <f>'[2]Electric Adj'!BT18</f>
        <v>-631650.07127077854</v>
      </c>
      <c r="BH54" s="10">
        <f>'[2]Electric Adj'!CB18</f>
        <v>-5277574.0231666667</v>
      </c>
      <c r="BI54" s="10">
        <f>+'[2]Electric Adj'!CJ21</f>
        <v>2659000</v>
      </c>
      <c r="BJ54" s="10"/>
      <c r="BK54" s="57">
        <f t="shared" si="17"/>
        <v>-3188455.7677531959</v>
      </c>
      <c r="BL54" s="57">
        <f t="shared" si="18"/>
        <v>-4427580049.7081385</v>
      </c>
    </row>
    <row r="55" spans="1:66" s="53" customFormat="1" x14ac:dyDescent="0.2">
      <c r="A55" s="4">
        <f t="shared" si="2"/>
        <v>43</v>
      </c>
      <c r="B55" s="14" t="s">
        <v>63</v>
      </c>
      <c r="C55" s="65">
        <f>+'[5]ERB AMA'!D94</f>
        <v>285841342.02833331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>
        <f>'[2]Common Adj'!EL16</f>
        <v>-12697238.698333323</v>
      </c>
      <c r="V55" s="65"/>
      <c r="W55" s="65"/>
      <c r="X55" s="65"/>
      <c r="Y55" s="65"/>
      <c r="Z55" s="65"/>
      <c r="AA55" s="61"/>
      <c r="AB55" s="65"/>
      <c r="AC55" s="65"/>
      <c r="AD55" s="65"/>
      <c r="AE55" s="65"/>
      <c r="AF55" s="65"/>
      <c r="AG55" s="57">
        <f t="shared" si="15"/>
        <v>-12697238.698333323</v>
      </c>
      <c r="AH55" s="57">
        <f t="shared" si="16"/>
        <v>273144103.32999998</v>
      </c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>
        <f>+'[2]Common Adj'!FS21+'[2]Common Adj'!FS22</f>
        <v>9420126.0023907125</v>
      </c>
      <c r="AU55" s="10"/>
      <c r="AV55" s="10">
        <f>'[2]Common Adj'!GJ22+'[2]Common Adj'!GI23</f>
        <v>16851957.74198458</v>
      </c>
      <c r="AW55" s="10"/>
      <c r="AX55" s="10"/>
      <c r="AY55" s="61"/>
      <c r="AZ55" s="10"/>
      <c r="BA55" s="10">
        <f>'[2]Common Adj'!HX18</f>
        <v>-370698.04012167035</v>
      </c>
      <c r="BB55" s="10"/>
      <c r="BC55" s="10"/>
      <c r="BD55" s="10"/>
      <c r="BE55" s="10">
        <f>'[2]Electric Adj'!AR61</f>
        <v>-31039847.298310034</v>
      </c>
      <c r="BF55" s="10"/>
      <c r="BG55" s="10"/>
      <c r="BH55" s="10"/>
      <c r="BI55" s="10"/>
      <c r="BJ55" s="10"/>
      <c r="BK55" s="57">
        <f t="shared" si="17"/>
        <v>-5138461.5940564126</v>
      </c>
      <c r="BL55" s="57">
        <f t="shared" si="18"/>
        <v>268005641.73594356</v>
      </c>
    </row>
    <row r="56" spans="1:66" s="53" customFormat="1" x14ac:dyDescent="0.2">
      <c r="A56" s="4">
        <f t="shared" si="2"/>
        <v>44</v>
      </c>
      <c r="B56" s="14" t="s">
        <v>64</v>
      </c>
      <c r="C56" s="65">
        <f>+'[5]ERB AMA'!D95</f>
        <v>-1443684469.5857882</v>
      </c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>
        <f>'[2]Common Adj'!EL17</f>
        <v>22974386.588703156</v>
      </c>
      <c r="V56" s="65">
        <f>'[2]Common Adj'!ET31</f>
        <v>4493721.8109590504</v>
      </c>
      <c r="W56" s="65"/>
      <c r="X56" s="65">
        <f>+'[2]Common Adj'!ID17</f>
        <v>15910.281133077566</v>
      </c>
      <c r="Y56" s="65"/>
      <c r="Z56" s="65"/>
      <c r="AA56" s="61">
        <f>'[2]Electric Adj'!V18</f>
        <v>803628.57</v>
      </c>
      <c r="AB56" s="65"/>
      <c r="AC56" s="65"/>
      <c r="AD56" s="73">
        <f>SUM('[2]Electric Adj'!BB33:'[2]Electric Adj'!BB34)</f>
        <v>5426976.4288256317</v>
      </c>
      <c r="AE56" s="65"/>
      <c r="AF56" s="65"/>
      <c r="AG56" s="57">
        <f t="shared" si="15"/>
        <v>33714623.679620914</v>
      </c>
      <c r="AH56" s="57">
        <f t="shared" si="16"/>
        <v>-1409969845.9061673</v>
      </c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>
        <f>+'[2]Common Adj'!FS18+'[2]Common Adj'!FS23</f>
        <v>-3679667.3302051304</v>
      </c>
      <c r="AU56" s="10">
        <f>+'[2]Common Adj'!GB39</f>
        <v>0</v>
      </c>
      <c r="AV56" s="10">
        <f>'[2]Common Adj'!GJ18+'[2]Common Adj'!GJ24</f>
        <v>-3610456.0399853778</v>
      </c>
      <c r="AW56" s="10"/>
      <c r="AX56" s="10">
        <f>'[2]Common Adj'!GZ16</f>
        <v>4503186.1200000085</v>
      </c>
      <c r="AY56" s="61">
        <f>+'[2]Common Adj'!HH17</f>
        <v>-112579.20210952556</v>
      </c>
      <c r="AZ56" s="10"/>
      <c r="BA56" s="10"/>
      <c r="BB56" s="10"/>
      <c r="BC56" s="10"/>
      <c r="BD56" s="10"/>
      <c r="BE56" s="10">
        <f>'[2]Electric Adj'!AR62</f>
        <v>7647955.3945128955</v>
      </c>
      <c r="BF56" s="10">
        <f>'[2]Electric Adj'!BL19</f>
        <v>980694.34861275041</v>
      </c>
      <c r="BG56" s="10">
        <f>'[2]Electric Adj'!BT19</f>
        <v>-88064.535992719757</v>
      </c>
      <c r="BH56" s="10">
        <f>+'[2]Electric Adj'!CB19</f>
        <v>263117.82048999966</v>
      </c>
      <c r="BI56" s="10"/>
      <c r="BJ56" s="10"/>
      <c r="BK56" s="57">
        <f t="shared" si="17"/>
        <v>5904186.5753229</v>
      </c>
      <c r="BL56" s="57">
        <f t="shared" si="18"/>
        <v>-1404065659.3308444</v>
      </c>
    </row>
    <row r="57" spans="1:66" s="53" customFormat="1" x14ac:dyDescent="0.2">
      <c r="A57" s="4">
        <f t="shared" si="2"/>
        <v>45</v>
      </c>
      <c r="B57" s="14" t="s">
        <v>65</v>
      </c>
      <c r="C57" s="65">
        <f>+'[5]ERB AMA'!D96</f>
        <v>145303204.9988502</v>
      </c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90">
        <f>'[2]Common Adj'!EL18</f>
        <v>0</v>
      </c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74">
        <f t="shared" si="15"/>
        <v>0</v>
      </c>
      <c r="AH57" s="57">
        <f t="shared" si="16"/>
        <v>145303204.9988502</v>
      </c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57">
        <f t="shared" si="17"/>
        <v>0</v>
      </c>
      <c r="BL57" s="57">
        <f t="shared" si="18"/>
        <v>145303204.9988502</v>
      </c>
    </row>
    <row r="58" spans="1:66" s="53" customFormat="1" x14ac:dyDescent="0.2">
      <c r="A58" s="4">
        <f t="shared" si="2"/>
        <v>46</v>
      </c>
      <c r="B58" s="14" t="s">
        <v>66</v>
      </c>
      <c r="C58" s="65">
        <f>+'[5]ERB AMA'!D97</f>
        <v>-106223263.53024991</v>
      </c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>
        <f>'[2]Common Adj'!EL19</f>
        <v>-1867515.9642250985</v>
      </c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57">
        <f t="shared" si="15"/>
        <v>-1867515.9642250985</v>
      </c>
      <c r="AH58" s="57">
        <f t="shared" si="16"/>
        <v>-108090779.49447501</v>
      </c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57">
        <f t="shared" si="17"/>
        <v>0</v>
      </c>
      <c r="BL58" s="57">
        <f t="shared" si="18"/>
        <v>-108090779.49447501</v>
      </c>
    </row>
    <row r="59" spans="1:66" s="53" customFormat="1" ht="13.5" thickBot="1" x14ac:dyDescent="0.25">
      <c r="A59" s="4">
        <f t="shared" si="2"/>
        <v>47</v>
      </c>
      <c r="B59" s="14" t="s">
        <v>67</v>
      </c>
      <c r="C59" s="75">
        <f t="shared" ref="C59:AI59" si="19">SUM(C53:C58)</f>
        <v>5208778506.3049917</v>
      </c>
      <c r="D59" s="75">
        <f t="shared" si="19"/>
        <v>0</v>
      </c>
      <c r="E59" s="75">
        <f t="shared" si="19"/>
        <v>0</v>
      </c>
      <c r="F59" s="75">
        <f t="shared" si="19"/>
        <v>0</v>
      </c>
      <c r="G59" s="75">
        <f t="shared" si="19"/>
        <v>0</v>
      </c>
      <c r="H59" s="75">
        <f t="shared" si="19"/>
        <v>0</v>
      </c>
      <c r="I59" s="75">
        <f t="shared" si="19"/>
        <v>0</v>
      </c>
      <c r="J59" s="75">
        <f t="shared" si="19"/>
        <v>0</v>
      </c>
      <c r="K59" s="75">
        <f t="shared" si="19"/>
        <v>0</v>
      </c>
      <c r="L59" s="75">
        <f t="shared" si="19"/>
        <v>0</v>
      </c>
      <c r="M59" s="75">
        <f t="shared" si="19"/>
        <v>0</v>
      </c>
      <c r="N59" s="75">
        <f t="shared" si="19"/>
        <v>0</v>
      </c>
      <c r="O59" s="75">
        <f t="shared" si="19"/>
        <v>0</v>
      </c>
      <c r="P59" s="75">
        <f t="shared" si="19"/>
        <v>0</v>
      </c>
      <c r="Q59" s="75">
        <f t="shared" si="19"/>
        <v>0</v>
      </c>
      <c r="R59" s="75">
        <f t="shared" si="19"/>
        <v>0</v>
      </c>
      <c r="S59" s="75">
        <f t="shared" si="19"/>
        <v>0</v>
      </c>
      <c r="T59" s="75">
        <f t="shared" si="19"/>
        <v>0</v>
      </c>
      <c r="U59" s="75">
        <f t="shared" si="19"/>
        <v>190746231.15314114</v>
      </c>
      <c r="V59" s="75">
        <f t="shared" si="19"/>
        <v>-16904953.479322143</v>
      </c>
      <c r="W59" s="75">
        <f t="shared" si="19"/>
        <v>0</v>
      </c>
      <c r="X59" s="75">
        <f t="shared" ref="X59" si="20">SUM(X53:X58)</f>
        <v>-211405.47488111624</v>
      </c>
      <c r="Y59" s="75">
        <f t="shared" si="19"/>
        <v>0</v>
      </c>
      <c r="Z59" s="75">
        <f t="shared" si="19"/>
        <v>0</v>
      </c>
      <c r="AA59" s="75">
        <f t="shared" si="19"/>
        <v>-1615371.4300000002</v>
      </c>
      <c r="AB59" s="75">
        <f t="shared" si="19"/>
        <v>0</v>
      </c>
      <c r="AC59" s="75">
        <f t="shared" si="19"/>
        <v>0</v>
      </c>
      <c r="AD59" s="75">
        <f t="shared" si="19"/>
        <v>-11018406.688827798</v>
      </c>
      <c r="AE59" s="75">
        <f t="shared" si="19"/>
        <v>0</v>
      </c>
      <c r="AF59" s="75">
        <f t="shared" si="19"/>
        <v>0</v>
      </c>
      <c r="AG59" s="76">
        <f t="shared" si="19"/>
        <v>160996094.08011013</v>
      </c>
      <c r="AH59" s="76">
        <f t="shared" si="19"/>
        <v>5369774600.3851023</v>
      </c>
      <c r="AI59" s="75">
        <f t="shared" si="19"/>
        <v>0</v>
      </c>
      <c r="AJ59" s="75">
        <f t="shared" ref="AJ59:BL59" si="21">SUM(AJ53:AJ58)</f>
        <v>0</v>
      </c>
      <c r="AK59" s="75">
        <f t="shared" si="21"/>
        <v>0</v>
      </c>
      <c r="AL59" s="75">
        <f t="shared" si="21"/>
        <v>0</v>
      </c>
      <c r="AM59" s="75">
        <f t="shared" si="21"/>
        <v>0</v>
      </c>
      <c r="AN59" s="75">
        <f t="shared" si="21"/>
        <v>0</v>
      </c>
      <c r="AO59" s="75">
        <f t="shared" si="21"/>
        <v>0</v>
      </c>
      <c r="AP59" s="75">
        <f t="shared" si="21"/>
        <v>0</v>
      </c>
      <c r="AQ59" s="75">
        <f t="shared" si="21"/>
        <v>0</v>
      </c>
      <c r="AR59" s="75">
        <f t="shared" si="21"/>
        <v>0</v>
      </c>
      <c r="AS59" s="75">
        <f t="shared" si="21"/>
        <v>0</v>
      </c>
      <c r="AT59" s="75">
        <f t="shared" si="21"/>
        <v>28244978.592898086</v>
      </c>
      <c r="AU59" s="75">
        <f t="shared" si="21"/>
        <v>0</v>
      </c>
      <c r="AV59" s="75">
        <f t="shared" si="21"/>
        <v>25877605.564484786</v>
      </c>
      <c r="AW59" s="75">
        <f t="shared" si="21"/>
        <v>0</v>
      </c>
      <c r="AX59" s="75">
        <f t="shared" si="21"/>
        <v>4503186.1200000085</v>
      </c>
      <c r="AY59" s="75">
        <f t="shared" si="21"/>
        <v>12855303.339327645</v>
      </c>
      <c r="AZ59" s="75">
        <f t="shared" si="21"/>
        <v>0</v>
      </c>
      <c r="BA59" s="75">
        <f t="shared" si="21"/>
        <v>5481049.5432116631</v>
      </c>
      <c r="BB59" s="75">
        <f t="shared" si="21"/>
        <v>0</v>
      </c>
      <c r="BC59" s="75">
        <f t="shared" si="21"/>
        <v>0</v>
      </c>
      <c r="BD59" s="75">
        <f t="shared" si="21"/>
        <v>0</v>
      </c>
      <c r="BE59" s="75">
        <f t="shared" si="21"/>
        <v>-23391891.903797138</v>
      </c>
      <c r="BF59" s="75">
        <f t="shared" si="21"/>
        <v>-3321469.9169705859</v>
      </c>
      <c r="BG59" s="75">
        <f t="shared" si="21"/>
        <v>11899759.55273651</v>
      </c>
      <c r="BH59" s="75">
        <f t="shared" si="21"/>
        <v>4644660.6473233327</v>
      </c>
      <c r="BI59" s="75">
        <f t="shared" si="21"/>
        <v>-550000</v>
      </c>
      <c r="BJ59" s="75">
        <f t="shared" si="21"/>
        <v>0</v>
      </c>
      <c r="BK59" s="76">
        <f t="shared" si="21"/>
        <v>66243181.539214298</v>
      </c>
      <c r="BL59" s="76">
        <f t="shared" si="21"/>
        <v>5436017781.9243155</v>
      </c>
    </row>
    <row r="60" spans="1:66" ht="14.25" thickTop="1" thickBot="1" x14ac:dyDescent="0.25">
      <c r="A60" s="4">
        <f t="shared" si="2"/>
        <v>48</v>
      </c>
      <c r="G60" s="42" t="s">
        <v>218</v>
      </c>
      <c r="Y60" s="34"/>
      <c r="AG60" s="77"/>
      <c r="AH60" s="77"/>
      <c r="BK60" s="77"/>
      <c r="BL60" s="77"/>
    </row>
    <row r="61" spans="1:66" ht="14.25" thickBot="1" x14ac:dyDescent="0.3">
      <c r="A61" s="4">
        <f t="shared" si="2"/>
        <v>49</v>
      </c>
      <c r="B61" s="14" t="s">
        <v>68</v>
      </c>
      <c r="C61" s="160">
        <v>7.4800000000000005E-2</v>
      </c>
      <c r="D61" s="160">
        <v>7.4800000000000005E-2</v>
      </c>
      <c r="E61" s="160">
        <v>7.4800000000000005E-2</v>
      </c>
      <c r="F61" s="160">
        <v>7.4800000000000005E-2</v>
      </c>
      <c r="G61" s="91">
        <v>7.5999999999999998E-2</v>
      </c>
      <c r="H61" s="160">
        <v>7.4800000000000005E-2</v>
      </c>
      <c r="I61" s="160">
        <v>7.4800000000000005E-2</v>
      </c>
      <c r="J61" s="160">
        <v>7.4800000000000005E-2</v>
      </c>
      <c r="K61" s="160">
        <v>7.4800000000000005E-2</v>
      </c>
      <c r="L61" s="160">
        <v>7.4800000000000005E-2</v>
      </c>
      <c r="M61" s="160">
        <v>7.4800000000000005E-2</v>
      </c>
      <c r="N61" s="160">
        <v>7.4800000000000005E-2</v>
      </c>
      <c r="O61" s="160">
        <v>7.4800000000000005E-2</v>
      </c>
      <c r="P61" s="160">
        <v>7.4800000000000005E-2</v>
      </c>
      <c r="Q61" s="160">
        <v>7.4800000000000005E-2</v>
      </c>
      <c r="R61" s="160">
        <v>7.4800000000000005E-2</v>
      </c>
      <c r="S61" s="160">
        <v>7.4800000000000005E-2</v>
      </c>
      <c r="T61" s="160">
        <v>7.4800000000000005E-2</v>
      </c>
      <c r="U61" s="160">
        <v>7.4800000000000005E-2</v>
      </c>
      <c r="V61" s="160">
        <v>7.4800000000000005E-2</v>
      </c>
      <c r="W61" s="160">
        <v>7.4800000000000005E-2</v>
      </c>
      <c r="X61" s="160">
        <v>7.4800000000000005E-2</v>
      </c>
      <c r="Y61" s="160">
        <v>7.4800000000000005E-2</v>
      </c>
      <c r="Z61" s="160">
        <v>7.4800000000000005E-2</v>
      </c>
      <c r="AA61" s="160">
        <v>7.4800000000000005E-2</v>
      </c>
      <c r="AB61" s="160">
        <v>7.4800000000000005E-2</v>
      </c>
      <c r="AC61" s="160">
        <v>7.4800000000000005E-2</v>
      </c>
      <c r="AD61" s="160">
        <v>7.4800000000000005E-2</v>
      </c>
      <c r="AE61" s="160">
        <v>7.4800000000000005E-2</v>
      </c>
      <c r="AF61" s="160">
        <v>7.4800000000000005E-2</v>
      </c>
      <c r="AG61" s="162">
        <v>7.4800000000000005E-2</v>
      </c>
      <c r="AH61" s="162">
        <v>7.4800000000000005E-2</v>
      </c>
      <c r="AI61" s="160">
        <v>7.4800000000000005E-2</v>
      </c>
      <c r="AJ61" s="160">
        <v>7.4800000000000005E-2</v>
      </c>
      <c r="AK61" s="160">
        <v>7.4800000000000005E-2</v>
      </c>
      <c r="AL61" s="160">
        <v>7.4800000000000005E-2</v>
      </c>
      <c r="AM61" s="160">
        <v>7.4800000000000005E-2</v>
      </c>
      <c r="AN61" s="160">
        <v>7.4800000000000005E-2</v>
      </c>
      <c r="AO61" s="160">
        <v>7.4800000000000005E-2</v>
      </c>
      <c r="AP61" s="160">
        <v>7.4800000000000005E-2</v>
      </c>
      <c r="AQ61" s="160">
        <v>7.4800000000000005E-2</v>
      </c>
      <c r="AR61" s="160">
        <v>7.4800000000000005E-2</v>
      </c>
      <c r="AS61" s="160">
        <v>7.4800000000000005E-2</v>
      </c>
      <c r="AT61" s="160">
        <v>7.4800000000000005E-2</v>
      </c>
      <c r="AU61" s="160">
        <v>7.4800000000000005E-2</v>
      </c>
      <c r="AV61" s="160">
        <v>7.4800000000000005E-2</v>
      </c>
      <c r="AW61" s="160">
        <v>7.4800000000000005E-2</v>
      </c>
      <c r="AX61" s="160">
        <v>7.4800000000000005E-2</v>
      </c>
      <c r="AY61" s="160">
        <v>7.4800000000000005E-2</v>
      </c>
      <c r="AZ61" s="160">
        <v>7.4800000000000005E-2</v>
      </c>
      <c r="BA61" s="160">
        <v>7.4800000000000005E-2</v>
      </c>
      <c r="BB61" s="160">
        <v>7.4800000000000005E-2</v>
      </c>
      <c r="BC61" s="160">
        <v>7.4800000000000005E-2</v>
      </c>
      <c r="BD61" s="160">
        <v>7.4800000000000005E-2</v>
      </c>
      <c r="BE61" s="160">
        <v>7.4800000000000005E-2</v>
      </c>
      <c r="BF61" s="160">
        <v>7.4800000000000005E-2</v>
      </c>
      <c r="BG61" s="160">
        <v>7.4800000000000005E-2</v>
      </c>
      <c r="BH61" s="160">
        <v>7.4800000000000005E-2</v>
      </c>
      <c r="BI61" s="160">
        <v>7.4800000000000005E-2</v>
      </c>
      <c r="BJ61" s="160">
        <v>7.4800000000000005E-2</v>
      </c>
      <c r="BK61" s="162">
        <v>7.4800000000000005E-2</v>
      </c>
      <c r="BL61" s="162">
        <v>7.4800000000000005E-2</v>
      </c>
      <c r="BM61" s="53"/>
      <c r="BN61" s="89"/>
    </row>
    <row r="62" spans="1:66" x14ac:dyDescent="0.2">
      <c r="A62" s="4">
        <f t="shared" si="2"/>
        <v>50</v>
      </c>
      <c r="B62" s="14" t="s">
        <v>69</v>
      </c>
      <c r="C62" s="78">
        <v>0.75138099999999997</v>
      </c>
      <c r="D62" s="78">
        <v>0.75138099999999997</v>
      </c>
      <c r="E62" s="78">
        <v>0.75138099999999997</v>
      </c>
      <c r="F62" s="78">
        <v>0.75138099999999997</v>
      </c>
      <c r="G62" s="78">
        <v>0.75138099999999997</v>
      </c>
      <c r="H62" s="78">
        <v>0.75138099999999997</v>
      </c>
      <c r="I62" s="78">
        <v>0.75138099999999997</v>
      </c>
      <c r="J62" s="78">
        <v>0.75138099999999997</v>
      </c>
      <c r="K62" s="78">
        <v>0.75138099999999997</v>
      </c>
      <c r="L62" s="78">
        <v>0.75138099999999997</v>
      </c>
      <c r="M62" s="78">
        <v>0.75138099999999997</v>
      </c>
      <c r="N62" s="78">
        <v>0.75138099999999997</v>
      </c>
      <c r="O62" s="78">
        <v>0.75138099999999997</v>
      </c>
      <c r="P62" s="78">
        <v>0.75138099999999997</v>
      </c>
      <c r="Q62" s="78">
        <v>0.75138099999999997</v>
      </c>
      <c r="R62" s="78">
        <v>0.75138099999999997</v>
      </c>
      <c r="S62" s="78">
        <v>0.75138099999999997</v>
      </c>
      <c r="T62" s="78">
        <v>0.75138099999999997</v>
      </c>
      <c r="U62" s="78">
        <v>0.75138099999999997</v>
      </c>
      <c r="V62" s="78">
        <v>0.75138099999999997</v>
      </c>
      <c r="W62" s="78">
        <v>0.75138099999999997</v>
      </c>
      <c r="X62" s="78">
        <v>0.75138099999999997</v>
      </c>
      <c r="Y62" s="78">
        <v>0.75138099999999997</v>
      </c>
      <c r="Z62" s="78">
        <v>0.75138099999999997</v>
      </c>
      <c r="AA62" s="78">
        <v>0.75138099999999997</v>
      </c>
      <c r="AB62" s="78">
        <v>0.75138099999999997</v>
      </c>
      <c r="AC62" s="78">
        <v>0.75138099999999997</v>
      </c>
      <c r="AD62" s="78">
        <v>0.75138099999999997</v>
      </c>
      <c r="AE62" s="78">
        <v>0.75138099999999997</v>
      </c>
      <c r="AF62" s="78">
        <v>0.75138099999999997</v>
      </c>
      <c r="AG62" s="79">
        <v>0.75138099999999997</v>
      </c>
      <c r="AH62" s="79">
        <v>0.75138099999999997</v>
      </c>
      <c r="AI62" s="78">
        <v>0.75138099999999997</v>
      </c>
      <c r="AJ62" s="78">
        <v>0.75138099999999997</v>
      </c>
      <c r="AK62" s="78">
        <v>0.75138099999999997</v>
      </c>
      <c r="AL62" s="78">
        <v>0.75138099999999997</v>
      </c>
      <c r="AM62" s="78">
        <v>0.75138099999999997</v>
      </c>
      <c r="AN62" s="78">
        <v>0.75138099999999997</v>
      </c>
      <c r="AO62" s="78">
        <v>0.75138099999999997</v>
      </c>
      <c r="AP62" s="78">
        <v>0.75138099999999997</v>
      </c>
      <c r="AQ62" s="78">
        <v>0.75138099999999997</v>
      </c>
      <c r="AR62" s="78">
        <v>0.75138099999999997</v>
      </c>
      <c r="AS62" s="78">
        <v>0.75138099999999997</v>
      </c>
      <c r="AT62" s="78">
        <v>0.75138099999999997</v>
      </c>
      <c r="AU62" s="78">
        <v>0.75138099999999997</v>
      </c>
      <c r="AV62" s="78">
        <v>0.75138099999999997</v>
      </c>
      <c r="AW62" s="78">
        <v>0.75138099999999997</v>
      </c>
      <c r="AX62" s="78">
        <v>0.75138099999999997</v>
      </c>
      <c r="AY62" s="78">
        <v>0.75138099999999997</v>
      </c>
      <c r="AZ62" s="78">
        <v>0.75138099999999997</v>
      </c>
      <c r="BA62" s="78">
        <v>0.75138099999999997</v>
      </c>
      <c r="BB62" s="78">
        <v>0.75138099999999997</v>
      </c>
      <c r="BC62" s="78">
        <v>0.75138099999999997</v>
      </c>
      <c r="BD62" s="78">
        <v>0.75138099999999997</v>
      </c>
      <c r="BE62" s="78">
        <v>0.75138099999999997</v>
      </c>
      <c r="BF62" s="78">
        <v>0.75138099999999997</v>
      </c>
      <c r="BG62" s="78">
        <v>0.75138099999999997</v>
      </c>
      <c r="BH62" s="78">
        <v>0.75138099999999997</v>
      </c>
      <c r="BI62" s="78">
        <v>0.75138099999999997</v>
      </c>
      <c r="BJ62" s="78">
        <v>0.75138099999999997</v>
      </c>
      <c r="BK62" s="79">
        <v>0.75138099999999997</v>
      </c>
      <c r="BL62" s="79">
        <v>0.75138099999999997</v>
      </c>
    </row>
    <row r="63" spans="1:66" x14ac:dyDescent="0.2">
      <c r="A63" s="4">
        <f t="shared" si="2"/>
        <v>51</v>
      </c>
      <c r="B63" s="14" t="s">
        <v>70</v>
      </c>
      <c r="C63" s="66">
        <f>+C46-(C59*C61)</f>
        <v>1524058.8283872008</v>
      </c>
      <c r="D63" s="80">
        <f>+D46-(D59*D61)</f>
        <v>8327800.1577338427</v>
      </c>
      <c r="E63" s="80">
        <f>+E46-(E59*E61)</f>
        <v>3965156.9663860002</v>
      </c>
      <c r="F63" s="80">
        <f t="shared" ref="F63:AF63" si="22">+F46-(F59*F61)</f>
        <v>-14935653.446827501</v>
      </c>
      <c r="G63" s="80">
        <f t="shared" si="22"/>
        <v>33152988.38277762</v>
      </c>
      <c r="H63" s="80">
        <f t="shared" si="22"/>
        <v>-1955986.2286396027</v>
      </c>
      <c r="I63" s="80">
        <f t="shared" si="22"/>
        <v>66597.374865170947</v>
      </c>
      <c r="J63" s="80">
        <f t="shared" si="22"/>
        <v>303153.75903630909</v>
      </c>
      <c r="K63" s="80">
        <f t="shared" si="22"/>
        <v>184145.16401528011</v>
      </c>
      <c r="L63" s="80">
        <f t="shared" si="22"/>
        <v>71834.764841626398</v>
      </c>
      <c r="M63" s="80">
        <f t="shared" si="22"/>
        <v>5301.3344264041589</v>
      </c>
      <c r="N63" s="80">
        <f t="shared" si="22"/>
        <v>-803909.33835699933</v>
      </c>
      <c r="O63" s="80">
        <f t="shared" si="22"/>
        <v>-496557.58700637007</v>
      </c>
      <c r="P63" s="80">
        <f t="shared" si="22"/>
        <v>-1726149.211916219</v>
      </c>
      <c r="Q63" s="80">
        <f t="shared" si="22"/>
        <v>319951.38960871822</v>
      </c>
      <c r="R63" s="80">
        <f t="shared" si="22"/>
        <v>-61810.425156236211</v>
      </c>
      <c r="S63" s="80">
        <f t="shared" si="22"/>
        <v>-13156.595940416744</v>
      </c>
      <c r="T63" s="80">
        <f t="shared" si="22"/>
        <v>-23850.252119969373</v>
      </c>
      <c r="U63" s="66">
        <f>+U46-(U59*U61)</f>
        <v>-14267818.090254959</v>
      </c>
      <c r="V63" s="66">
        <f>+V46-(V59*V61)</f>
        <v>-15640462.959068846</v>
      </c>
      <c r="W63" s="80">
        <f t="shared" si="22"/>
        <v>340892.94246068329</v>
      </c>
      <c r="X63" s="66">
        <f t="shared" si="22"/>
        <v>15813.129521107496</v>
      </c>
      <c r="Y63" s="80">
        <f t="shared" si="22"/>
        <v>-7589560.1894254955</v>
      </c>
      <c r="Z63" s="80">
        <f t="shared" si="22"/>
        <v>-68620.043849999958</v>
      </c>
      <c r="AA63" s="66">
        <f t="shared" si="22"/>
        <v>288360.34296400001</v>
      </c>
      <c r="AB63" s="80">
        <f t="shared" si="22"/>
        <v>-32912585.679400001</v>
      </c>
      <c r="AC63" s="80">
        <f t="shared" si="22"/>
        <v>-11000.8474333339</v>
      </c>
      <c r="AD63" s="66">
        <f t="shared" si="22"/>
        <v>2492603.2988262526</v>
      </c>
      <c r="AE63" s="66">
        <f t="shared" si="22"/>
        <v>0</v>
      </c>
      <c r="AF63" s="66">
        <f t="shared" si="22"/>
        <v>0</v>
      </c>
      <c r="AG63" s="57">
        <f>SUM(D63:AF63)</f>
        <v>-40972521.887932934</v>
      </c>
      <c r="AH63" s="57">
        <f>+AG63+C63</f>
        <v>-39448463.059545733</v>
      </c>
      <c r="AI63" s="80">
        <f t="shared" ref="AI63:BJ63" si="23">+AI46-(AI59*AI61)</f>
        <v>-25687973.340135377</v>
      </c>
      <c r="AJ63" s="80">
        <f t="shared" si="23"/>
        <v>6844287.5880840775</v>
      </c>
      <c r="AK63" s="80">
        <f t="shared" si="23"/>
        <v>-390109.21111976978</v>
      </c>
      <c r="AL63" s="80">
        <f t="shared" si="23"/>
        <v>-71834.764841627039</v>
      </c>
      <c r="AM63" s="80">
        <f t="shared" si="23"/>
        <v>-5301.3344264041589</v>
      </c>
      <c r="AN63" s="80">
        <f t="shared" si="23"/>
        <v>-442588.00130389305</v>
      </c>
      <c r="AO63" s="80">
        <f t="shared" si="23"/>
        <v>-3003557.1583568119</v>
      </c>
      <c r="AP63" s="80">
        <f t="shared" si="23"/>
        <v>-208177.32402600534</v>
      </c>
      <c r="AQ63" s="80">
        <f t="shared" si="23"/>
        <v>-691246.88851637836</v>
      </c>
      <c r="AR63" s="80">
        <f t="shared" si="23"/>
        <v>2791831.5547333327</v>
      </c>
      <c r="AS63" s="80">
        <f t="shared" si="23"/>
        <v>-120117.65165375613</v>
      </c>
      <c r="AT63" s="66">
        <f t="shared" si="23"/>
        <v>-6977100.8909712257</v>
      </c>
      <c r="AU63" s="80">
        <f t="shared" si="23"/>
        <v>394548.96938773646</v>
      </c>
      <c r="AV63" s="66">
        <f t="shared" si="23"/>
        <v>-11639677.792055495</v>
      </c>
      <c r="AW63" s="80">
        <f t="shared" si="23"/>
        <v>477330.77329275</v>
      </c>
      <c r="AX63" s="66">
        <f t="shared" si="23"/>
        <v>8669533.9182239976</v>
      </c>
      <c r="AY63" s="66">
        <f t="shared" si="23"/>
        <v>-1257837.7470729793</v>
      </c>
      <c r="AZ63" s="80">
        <f t="shared" si="23"/>
        <v>-1330725.9543599267</v>
      </c>
      <c r="BA63" s="66">
        <f t="shared" si="23"/>
        <v>-948570.53583223245</v>
      </c>
      <c r="BB63" s="80">
        <f t="shared" si="23"/>
        <v>-16882505.595469624</v>
      </c>
      <c r="BC63" s="80">
        <f t="shared" si="23"/>
        <v>526903.32847884053</v>
      </c>
      <c r="BD63" s="80">
        <f t="shared" si="23"/>
        <v>-10681804.722000003</v>
      </c>
      <c r="BE63" s="66">
        <f t="shared" si="23"/>
        <v>10849828.994442789</v>
      </c>
      <c r="BF63" s="66">
        <f t="shared" si="23"/>
        <v>4727179.7836494008</v>
      </c>
      <c r="BG63" s="66">
        <f t="shared" si="23"/>
        <v>-1182870.0499473605</v>
      </c>
      <c r="BH63" s="66">
        <f t="shared" si="23"/>
        <v>-2788565.1368697849</v>
      </c>
      <c r="BI63" s="66">
        <f t="shared" si="23"/>
        <v>86170</v>
      </c>
      <c r="BJ63" s="66">
        <f t="shared" si="23"/>
        <v>0</v>
      </c>
      <c r="BK63" s="57">
        <f>SUM(AI63:BJ63)</f>
        <v>-48942949.188665733</v>
      </c>
      <c r="BL63" s="57">
        <f>+BK63+AH63</f>
        <v>-88391412.248211473</v>
      </c>
    </row>
    <row r="64" spans="1:66" s="34" customFormat="1" x14ac:dyDescent="0.2">
      <c r="A64" s="4">
        <f t="shared" si="2"/>
        <v>52</v>
      </c>
      <c r="B64" s="14" t="s">
        <v>71</v>
      </c>
      <c r="C64" s="161">
        <f>-C63/C62</f>
        <v>-2028343.5812020812</v>
      </c>
      <c r="D64" s="81">
        <f t="shared" ref="D64:BJ64" si="24">-D63/D62</f>
        <v>-11083325.44705528</v>
      </c>
      <c r="E64" s="81">
        <f t="shared" si="24"/>
        <v>-5277158.9465078311</v>
      </c>
      <c r="F64" s="81">
        <f t="shared" si="24"/>
        <v>19877603.302222844</v>
      </c>
      <c r="G64" s="81">
        <f t="shared" si="24"/>
        <v>-44122739.838747084</v>
      </c>
      <c r="H64" s="81">
        <f t="shared" si="24"/>
        <v>2603188.30079494</v>
      </c>
      <c r="I64" s="81">
        <f t="shared" si="24"/>
        <v>-88633.296377165447</v>
      </c>
      <c r="J64" s="81">
        <f t="shared" si="24"/>
        <v>-403462.10382789705</v>
      </c>
      <c r="K64" s="81">
        <f t="shared" si="24"/>
        <v>-245075.6194464328</v>
      </c>
      <c r="L64" s="81">
        <f t="shared" si="24"/>
        <v>-95603.64827115192</v>
      </c>
      <c r="M64" s="81">
        <f t="shared" si="24"/>
        <v>-7055.4544583961524</v>
      </c>
      <c r="N64" s="81">
        <f t="shared" si="24"/>
        <v>1069909.0585961042</v>
      </c>
      <c r="O64" s="81">
        <f t="shared" si="24"/>
        <v>660859.91927713121</v>
      </c>
      <c r="P64" s="81">
        <f t="shared" si="24"/>
        <v>2297302.1834678003</v>
      </c>
      <c r="Q64" s="81">
        <f t="shared" si="24"/>
        <v>-425817.78033876052</v>
      </c>
      <c r="R64" s="81">
        <f t="shared" si="24"/>
        <v>82262.427658187007</v>
      </c>
      <c r="S64" s="81">
        <f t="shared" si="24"/>
        <v>17509.886383095585</v>
      </c>
      <c r="T64" s="81">
        <f t="shared" si="24"/>
        <v>31741.888762118517</v>
      </c>
      <c r="U64" s="161">
        <f>-U63/U62</f>
        <v>18988792.756610774</v>
      </c>
      <c r="V64" s="161">
        <f t="shared" si="24"/>
        <v>20815622.113240615</v>
      </c>
      <c r="W64" s="81">
        <f t="shared" si="24"/>
        <v>-453688.53146497358</v>
      </c>
      <c r="X64" s="161">
        <f t="shared" si="24"/>
        <v>-21045.421059499105</v>
      </c>
      <c r="Y64" s="81">
        <f t="shared" si="24"/>
        <v>10100814.619248418</v>
      </c>
      <c r="Z64" s="81">
        <f t="shared" si="24"/>
        <v>91325.231606867834</v>
      </c>
      <c r="AA64" s="161">
        <f t="shared" si="24"/>
        <v>-383773.80179163435</v>
      </c>
      <c r="AB64" s="81">
        <f t="shared" si="24"/>
        <v>43802792.03147272</v>
      </c>
      <c r="AC64" s="81">
        <f t="shared" si="24"/>
        <v>14640.837914897902</v>
      </c>
      <c r="AD64" s="161">
        <f t="shared" si="24"/>
        <v>-3317362.6945933588</v>
      </c>
      <c r="AE64" s="161">
        <f t="shared" si="24"/>
        <v>0</v>
      </c>
      <c r="AF64" s="161">
        <f t="shared" si="24"/>
        <v>0</v>
      </c>
      <c r="AG64" s="163">
        <f t="shared" si="24"/>
        <v>54529621.973317049</v>
      </c>
      <c r="AH64" s="163">
        <f t="shared" si="24"/>
        <v>52501278.392114967</v>
      </c>
      <c r="AI64" s="81">
        <f t="shared" si="24"/>
        <v>34187680.205029644</v>
      </c>
      <c r="AJ64" s="81">
        <f t="shared" si="24"/>
        <v>-9108944.1815591268</v>
      </c>
      <c r="AK64" s="81">
        <f t="shared" si="24"/>
        <v>519189.61368436227</v>
      </c>
      <c r="AL64" s="81">
        <f t="shared" si="24"/>
        <v>95603.648271152779</v>
      </c>
      <c r="AM64" s="81">
        <f t="shared" si="24"/>
        <v>7055.4544583961524</v>
      </c>
      <c r="AN64" s="81">
        <f t="shared" si="24"/>
        <v>589032.7294726551</v>
      </c>
      <c r="AO64" s="81">
        <f t="shared" si="24"/>
        <v>3997382.3644154058</v>
      </c>
      <c r="AP64" s="81">
        <f t="shared" si="24"/>
        <v>277059.60627964424</v>
      </c>
      <c r="AQ64" s="81">
        <f t="shared" si="24"/>
        <v>919968.54926645523</v>
      </c>
      <c r="AR64" s="81">
        <f t="shared" si="24"/>
        <v>-3715600.4140819809</v>
      </c>
      <c r="AS64" s="81">
        <f t="shared" si="24"/>
        <v>159862.50870564484</v>
      </c>
      <c r="AT64" s="161">
        <f t="shared" si="24"/>
        <v>9285703.1132956855</v>
      </c>
      <c r="AU64" s="81">
        <f t="shared" si="24"/>
        <v>-525098.41130895843</v>
      </c>
      <c r="AV64" s="161">
        <f t="shared" si="24"/>
        <v>15491046.209653286</v>
      </c>
      <c r="AW64" s="81">
        <f t="shared" si="24"/>
        <v>-635271.28486446955</v>
      </c>
      <c r="AX64" s="161">
        <f t="shared" si="24"/>
        <v>-11538133.00871861</v>
      </c>
      <c r="AY64" s="161">
        <f t="shared" si="24"/>
        <v>1674034.5404967379</v>
      </c>
      <c r="AZ64" s="81">
        <f t="shared" si="24"/>
        <v>1771040.1971302533</v>
      </c>
      <c r="BA64" s="161">
        <f t="shared" si="24"/>
        <v>1262436.148681205</v>
      </c>
      <c r="BB64" s="81">
        <f t="shared" si="24"/>
        <v>22468635.21365276</v>
      </c>
      <c r="BC64" s="81">
        <f t="shared" si="24"/>
        <v>-701246.54267121549</v>
      </c>
      <c r="BD64" s="81">
        <f t="shared" si="24"/>
        <v>14216229.4787864</v>
      </c>
      <c r="BE64" s="161">
        <f t="shared" si="24"/>
        <v>-14439850.08197278</v>
      </c>
      <c r="BF64" s="161">
        <f t="shared" si="24"/>
        <v>-6291321.9573683674</v>
      </c>
      <c r="BG64" s="161">
        <f t="shared" si="24"/>
        <v>1574261.3267401766</v>
      </c>
      <c r="BH64" s="161">
        <f t="shared" si="24"/>
        <v>3711253.1949434243</v>
      </c>
      <c r="BI64" s="161">
        <f t="shared" si="24"/>
        <v>-114682.16523973856</v>
      </c>
      <c r="BJ64" s="161">
        <f t="shared" si="24"/>
        <v>0</v>
      </c>
      <c r="BK64" s="163">
        <f>SUM(AI64:BJ64)</f>
        <v>65137326.055178046</v>
      </c>
      <c r="BL64" s="163">
        <f>-BL63/BL62</f>
        <v>117638604.44729303</v>
      </c>
    </row>
    <row r="65" spans="2:64" x14ac:dyDescent="0.2">
      <c r="B65" s="14"/>
      <c r="X65" s="53"/>
      <c r="Y65" s="34"/>
      <c r="AA65" s="53"/>
      <c r="AD65" s="53"/>
      <c r="AE65" s="53"/>
      <c r="AF65" s="53"/>
      <c r="AG65" s="53"/>
      <c r="AH65" s="53"/>
      <c r="AT65" s="53"/>
      <c r="BE65" s="53"/>
      <c r="BF65" s="53"/>
      <c r="BG65" s="53"/>
      <c r="BH65" s="53"/>
      <c r="BI65" s="53"/>
      <c r="BJ65" s="53"/>
      <c r="BK65" s="53"/>
      <c r="BL65" s="53"/>
    </row>
    <row r="66" spans="2:64" x14ac:dyDescent="0.2">
      <c r="Y66" s="34"/>
      <c r="AD66" s="53"/>
      <c r="AE66" s="53"/>
      <c r="AF66" s="53"/>
      <c r="AG66" s="53"/>
      <c r="AH66" s="53"/>
      <c r="BE66" s="53"/>
      <c r="BF66" s="53"/>
      <c r="BG66" s="53"/>
      <c r="BH66" s="53"/>
      <c r="BI66" s="53"/>
      <c r="BJ66" s="53"/>
      <c r="BK66" s="53"/>
      <c r="BL66" s="53"/>
    </row>
    <row r="67" spans="2:64" x14ac:dyDescent="0.2">
      <c r="Y67" s="34"/>
    </row>
    <row r="68" spans="2:64" x14ac:dyDescent="0.2">
      <c r="Y68" s="34"/>
    </row>
    <row r="69" spans="2:64" customFormat="1" ht="15" x14ac:dyDescent="0.25"/>
    <row r="70" spans="2:64" customFormat="1" ht="15" x14ac:dyDescent="0.25"/>
    <row r="71" spans="2:64" customFormat="1" ht="15" x14ac:dyDescent="0.25"/>
    <row r="72" spans="2:64" customFormat="1" ht="15" x14ac:dyDescent="0.25"/>
    <row r="73" spans="2:64" customFormat="1" ht="15" x14ac:dyDescent="0.25"/>
    <row r="74" spans="2:64" customFormat="1" ht="15" x14ac:dyDescent="0.25"/>
    <row r="75" spans="2:64" customFormat="1" ht="15" x14ac:dyDescent="0.25"/>
    <row r="76" spans="2:64" customFormat="1" ht="15" customHeight="1" x14ac:dyDescent="0.25"/>
    <row r="77" spans="2:64" customFormat="1" ht="15.75" customHeight="1" x14ac:dyDescent="0.25"/>
    <row r="78" spans="2:64" customFormat="1" ht="15" x14ac:dyDescent="0.25"/>
    <row r="79" spans="2:64" customFormat="1" ht="15" x14ac:dyDescent="0.25"/>
    <row r="80" spans="2:64" customFormat="1" ht="15" x14ac:dyDescent="0.25"/>
    <row r="81" spans="1:66" customFormat="1" ht="15" x14ac:dyDescent="0.25">
      <c r="A81" s="5"/>
    </row>
    <row r="82" spans="1:66" s="84" customFormat="1" x14ac:dyDescent="0.2">
      <c r="A82" s="5"/>
      <c r="B82" s="82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Y82" s="83"/>
      <c r="Z82" s="83"/>
      <c r="AA82" s="83"/>
      <c r="AB82" s="83"/>
      <c r="AC82" s="83"/>
      <c r="AD82" s="83"/>
      <c r="AE82" s="83"/>
      <c r="AF82" s="83"/>
      <c r="AG82" s="30"/>
      <c r="AH82" s="30"/>
      <c r="AI82" s="83"/>
      <c r="AJ82" s="30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5"/>
      <c r="BN82" s="85"/>
    </row>
    <row r="83" spans="1:66" s="84" customFormat="1" x14ac:dyDescent="0.2">
      <c r="A83" s="5"/>
      <c r="B83" s="82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5"/>
      <c r="BN83" s="85"/>
    </row>
    <row r="84" spans="1:66" s="84" customFormat="1" x14ac:dyDescent="0.2">
      <c r="A84" s="5"/>
      <c r="B84" s="87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5"/>
      <c r="BN84" s="85"/>
    </row>
    <row r="85" spans="1:66" s="84" customFormat="1" x14ac:dyDescent="0.2">
      <c r="A85" s="5"/>
      <c r="B85" s="87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30"/>
      <c r="AH85" s="30"/>
      <c r="AI85" s="88"/>
      <c r="AJ85" s="30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3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5"/>
      <c r="BN85" s="85"/>
    </row>
    <row r="86" spans="1:66" s="84" customFormat="1" x14ac:dyDescent="0.2">
      <c r="A86" s="5"/>
      <c r="B86" s="87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30"/>
      <c r="AH86" s="30"/>
      <c r="AI86" s="88"/>
      <c r="AJ86" s="30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5"/>
      <c r="BN86" s="85"/>
    </row>
    <row r="87" spans="1:66" s="84" customFormat="1" x14ac:dyDescent="0.2">
      <c r="A87" s="5"/>
      <c r="B87" s="87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30"/>
      <c r="AH87" s="30"/>
      <c r="AI87" s="88"/>
      <c r="AJ87" s="30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5"/>
      <c r="BN87" s="85"/>
    </row>
    <row r="88" spans="1:66" s="84" customFormat="1" x14ac:dyDescent="0.2">
      <c r="A88" s="5"/>
      <c r="B88" s="87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30"/>
      <c r="AH88" s="30"/>
      <c r="AI88" s="83"/>
      <c r="AJ88" s="30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5"/>
      <c r="BN88" s="85"/>
    </row>
    <row r="89" spans="1:66" s="84" customFormat="1" x14ac:dyDescent="0.2">
      <c r="AG89" s="30"/>
      <c r="AH89" s="30"/>
      <c r="AJ89" s="30"/>
      <c r="BK89" s="85"/>
      <c r="BL89" s="85"/>
      <c r="BM89" s="85"/>
      <c r="BN89" s="85"/>
    </row>
    <row r="90" spans="1:66" s="84" customFormat="1" x14ac:dyDescent="0.2">
      <c r="AG90" s="30"/>
      <c r="AH90" s="30"/>
      <c r="AJ90" s="30"/>
      <c r="BK90" s="85"/>
      <c r="BL90" s="85"/>
      <c r="BM90" s="85"/>
      <c r="BN90" s="85"/>
    </row>
    <row r="91" spans="1:66" s="84" customFormat="1" x14ac:dyDescent="0.2">
      <c r="A91" s="5"/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30"/>
      <c r="AH91" s="30"/>
      <c r="AI91" s="88"/>
      <c r="AJ91" s="30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5"/>
      <c r="BN91" s="85"/>
    </row>
    <row r="92" spans="1:66" s="84" customFormat="1" x14ac:dyDescent="0.2">
      <c r="A92" s="5"/>
      <c r="B92" s="82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Y92" s="83"/>
      <c r="Z92" s="83"/>
      <c r="AA92" s="83"/>
      <c r="AB92" s="83"/>
      <c r="AC92" s="83"/>
      <c r="AD92" s="83"/>
      <c r="AE92" s="83"/>
      <c r="AF92" s="83"/>
      <c r="AG92" s="30"/>
      <c r="AH92" s="30"/>
      <c r="AI92" s="83"/>
      <c r="AJ92" s="30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5"/>
      <c r="BN92" s="85"/>
    </row>
    <row r="93" spans="1:66" s="84" customFormat="1" x14ac:dyDescent="0.2">
      <c r="A93" s="5"/>
      <c r="B93" s="82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30"/>
      <c r="AH93" s="30"/>
      <c r="AI93" s="88"/>
      <c r="AJ93" s="30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3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5"/>
      <c r="BN93" s="85"/>
    </row>
    <row r="94" spans="1:66" s="84" customFormat="1" x14ac:dyDescent="0.2">
      <c r="A94" s="5"/>
      <c r="B94" s="87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30"/>
      <c r="AH94" s="30"/>
      <c r="AI94" s="88"/>
      <c r="AJ94" s="30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3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5"/>
      <c r="BN94" s="85"/>
    </row>
    <row r="95" spans="1:66" s="84" customFormat="1" x14ac:dyDescent="0.2">
      <c r="A95" s="5"/>
      <c r="B95" s="87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30"/>
      <c r="AH95" s="30"/>
      <c r="AI95" s="88"/>
      <c r="AJ95" s="30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3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5"/>
      <c r="BN95" s="85"/>
    </row>
    <row r="96" spans="1:66" s="84" customFormat="1" x14ac:dyDescent="0.2">
      <c r="A96" s="5"/>
      <c r="B96" s="87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30"/>
      <c r="AH96" s="30"/>
      <c r="AI96" s="88"/>
      <c r="AJ96" s="30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5"/>
      <c r="BN96" s="85"/>
    </row>
    <row r="97" spans="1:66" s="84" customFormat="1" x14ac:dyDescent="0.2">
      <c r="A97" s="5"/>
      <c r="B97" s="87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30"/>
      <c r="AH97" s="30"/>
      <c r="AI97" s="88"/>
      <c r="AJ97" s="30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5"/>
      <c r="BN97" s="85"/>
    </row>
    <row r="98" spans="1:66" s="84" customFormat="1" x14ac:dyDescent="0.2">
      <c r="A98" s="5"/>
      <c r="B98" s="87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30"/>
      <c r="AH98" s="30"/>
      <c r="AI98" s="83"/>
      <c r="AJ98" s="30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5"/>
      <c r="BN98" s="85"/>
    </row>
    <row r="99" spans="1:66" x14ac:dyDescent="0.2">
      <c r="BK99" s="34"/>
      <c r="BL99" s="34"/>
      <c r="BM99" s="34"/>
      <c r="BN99" s="34"/>
    </row>
    <row r="100" spans="1:66" x14ac:dyDescent="0.2">
      <c r="BK100" s="34"/>
      <c r="BL100" s="34"/>
      <c r="BM100" s="34"/>
      <c r="BN100" s="34"/>
    </row>
    <row r="101" spans="1:66" x14ac:dyDescent="0.2">
      <c r="BK101" s="34"/>
      <c r="BL101" s="34"/>
      <c r="BM101" s="34"/>
      <c r="BN101" s="34"/>
    </row>
    <row r="102" spans="1:66" x14ac:dyDescent="0.2">
      <c r="BK102" s="34"/>
      <c r="BL102" s="34"/>
      <c r="BM102" s="34"/>
      <c r="BN102" s="34"/>
    </row>
    <row r="103" spans="1:66" x14ac:dyDescent="0.2">
      <c r="BK103" s="34"/>
      <c r="BL103" s="34"/>
      <c r="BM103" s="34"/>
      <c r="BN103" s="34"/>
    </row>
  </sheetData>
  <pageMargins left="0.2" right="0.2" top="0.5" bottom="0.5" header="0.05" footer="0.05"/>
  <pageSetup scale="63" fitToWidth="0" orientation="landscape" r:id="rId1"/>
  <colBreaks count="4" manualBreakCount="4">
    <brk id="12" max="63" man="1"/>
    <brk id="22" max="63" man="1"/>
    <brk id="35" max="63" man="1"/>
    <brk id="45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4"/>
  <sheetViews>
    <sheetView zoomScale="85" zoomScaleNormal="85" workbookViewId="0">
      <pane xSplit="2" ySplit="11" topLeftCell="C36" activePane="bottomRight" state="frozen"/>
      <selection activeCell="E62" sqref="E62"/>
      <selection pane="topRight" activeCell="E62" sqref="E62"/>
      <selection pane="bottomLeft" activeCell="E62" sqref="E62"/>
      <selection pane="bottomRight" activeCell="I48" sqref="I48"/>
    </sheetView>
  </sheetViews>
  <sheetFormatPr defaultColWidth="9.140625" defaultRowHeight="15" x14ac:dyDescent="0.25"/>
  <cols>
    <col min="1" max="1" width="4.5703125" style="93" bestFit="1" customWidth="1"/>
    <col min="2" max="2" width="38.7109375" style="93" customWidth="1"/>
    <col min="3" max="3" width="17.28515625" style="94" bestFit="1" customWidth="1"/>
    <col min="4" max="4" width="15.28515625" style="94" customWidth="1"/>
    <col min="5" max="5" width="17" style="94" customWidth="1"/>
    <col min="6" max="6" width="15.28515625" style="94" customWidth="1"/>
    <col min="7" max="7" width="17" style="93" customWidth="1"/>
    <col min="8" max="8" width="15.28515625" style="94" customWidth="1"/>
    <col min="9" max="9" width="17.140625" style="93" customWidth="1"/>
    <col min="10" max="10" width="12.5703125" style="93" bestFit="1" customWidth="1"/>
    <col min="11" max="11" width="16.28515625" bestFit="1" customWidth="1"/>
    <col min="12" max="12" width="16.42578125" bestFit="1" customWidth="1"/>
    <col min="13" max="13" width="17.5703125" bestFit="1" customWidth="1"/>
    <col min="14" max="14" width="16.42578125" bestFit="1" customWidth="1"/>
    <col min="15" max="15" width="17.5703125" bestFit="1" customWidth="1"/>
    <col min="16" max="16" width="14.5703125" bestFit="1" customWidth="1"/>
    <col min="17" max="17" width="17.5703125" bestFit="1" customWidth="1"/>
    <col min="31" max="16384" width="9.140625" style="93"/>
  </cols>
  <sheetData>
    <row r="1" spans="1:30" x14ac:dyDescent="0.25">
      <c r="A1" s="92" t="s">
        <v>0</v>
      </c>
      <c r="C1" s="92"/>
      <c r="H1" s="31" t="s">
        <v>259</v>
      </c>
      <c r="I1" s="32"/>
    </row>
    <row r="2" spans="1:30" x14ac:dyDescent="0.25">
      <c r="A2" s="92" t="s">
        <v>219</v>
      </c>
      <c r="C2" s="92"/>
    </row>
    <row r="3" spans="1:30" x14ac:dyDescent="0.25">
      <c r="A3" s="92" t="s">
        <v>2</v>
      </c>
      <c r="C3" s="92"/>
    </row>
    <row r="4" spans="1:30" x14ac:dyDescent="0.25">
      <c r="A4" s="92" t="str">
        <f>CASE_GAS</f>
        <v>2019 GENERAL RATE CASE</v>
      </c>
      <c r="C4" s="92"/>
    </row>
    <row r="5" spans="1:30" x14ac:dyDescent="0.25">
      <c r="A5" s="92" t="str">
        <f>TESTYEAR_GAS</f>
        <v>12 MONTHS ENDED DECEMBER 31, 2018</v>
      </c>
      <c r="C5" s="92"/>
    </row>
    <row r="6" spans="1:30" x14ac:dyDescent="0.25">
      <c r="C6" s="95"/>
      <c r="D6" s="95"/>
      <c r="E6" s="95"/>
      <c r="F6" s="95"/>
    </row>
    <row r="9" spans="1:30" x14ac:dyDescent="0.25">
      <c r="C9" s="96" t="s">
        <v>3</v>
      </c>
      <c r="D9" s="96"/>
      <c r="E9" s="96" t="s">
        <v>4</v>
      </c>
      <c r="F9" s="96"/>
      <c r="G9" s="96" t="s">
        <v>5</v>
      </c>
      <c r="H9" s="41" t="s">
        <v>6</v>
      </c>
      <c r="I9" s="96" t="s">
        <v>7</v>
      </c>
    </row>
    <row r="10" spans="1:30" ht="13.5" customHeight="1" x14ac:dyDescent="0.25">
      <c r="A10" s="96" t="s">
        <v>8</v>
      </c>
      <c r="B10" s="96" t="s">
        <v>9</v>
      </c>
      <c r="C10" s="96" t="s">
        <v>10</v>
      </c>
      <c r="D10" s="96" t="s">
        <v>11</v>
      </c>
      <c r="E10" s="96" t="s">
        <v>10</v>
      </c>
      <c r="F10" s="96" t="s">
        <v>12</v>
      </c>
      <c r="G10" s="96" t="s">
        <v>10</v>
      </c>
      <c r="H10" s="41" t="s">
        <v>13</v>
      </c>
      <c r="I10" s="96" t="s">
        <v>14</v>
      </c>
    </row>
    <row r="11" spans="1:30" x14ac:dyDescent="0.25">
      <c r="A11" s="96" t="s">
        <v>15</v>
      </c>
      <c r="C11" s="96" t="s">
        <v>16</v>
      </c>
      <c r="D11" s="96" t="s">
        <v>17</v>
      </c>
      <c r="E11" s="96" t="s">
        <v>18</v>
      </c>
      <c r="F11" s="96" t="s">
        <v>17</v>
      </c>
      <c r="G11" s="97" t="s">
        <v>18</v>
      </c>
      <c r="H11" s="98" t="s">
        <v>19</v>
      </c>
      <c r="I11" s="97" t="str">
        <f>IF(H17&lt;0,"DECREASE","INCREASE")</f>
        <v>INCREASE</v>
      </c>
    </row>
    <row r="12" spans="1:30" x14ac:dyDescent="0.25">
      <c r="C12" s="99" t="s">
        <v>20</v>
      </c>
      <c r="D12" s="99" t="s">
        <v>21</v>
      </c>
      <c r="E12" s="99" t="s">
        <v>22</v>
      </c>
      <c r="F12" s="99" t="s">
        <v>23</v>
      </c>
      <c r="G12" s="100" t="s">
        <v>24</v>
      </c>
      <c r="H12" s="99" t="s">
        <v>25</v>
      </c>
      <c r="I12" s="100" t="s">
        <v>26</v>
      </c>
    </row>
    <row r="13" spans="1:30" s="1" customFormat="1" x14ac:dyDescent="0.25">
      <c r="A13" s="101">
        <v>1</v>
      </c>
      <c r="B13" s="102" t="s">
        <v>27</v>
      </c>
      <c r="C13" s="2"/>
      <c r="D13" s="2"/>
      <c r="E13" s="2"/>
      <c r="F13" s="2"/>
      <c r="G13" s="2"/>
      <c r="H13" s="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1" customFormat="1" x14ac:dyDescent="0.25">
      <c r="A14" s="101">
        <f t="shared" ref="A14:A62" si="0">A13+1</f>
        <v>2</v>
      </c>
      <c r="B14" s="102" t="s">
        <v>28</v>
      </c>
      <c r="C14" s="103">
        <f>+'SEF-19G (BR-02) p2-5'!C14</f>
        <v>876657675.66999984</v>
      </c>
      <c r="D14" s="103">
        <f>+'SEF-19G (BR-02) p2-5'!Y14</f>
        <v>-151471854.23645425</v>
      </c>
      <c r="E14" s="103">
        <f>SUM(C14:D14)</f>
        <v>725185821.43354559</v>
      </c>
      <c r="F14" s="103">
        <f>+'SEF-19G (BR-02) p2-5'!AV14</f>
        <v>28192498.745988008</v>
      </c>
      <c r="G14" s="103">
        <f>SUM(E14:F14)</f>
        <v>753378320.1795336</v>
      </c>
      <c r="H14" s="103">
        <f>'[3]COC, Def, ConvF'!C21</f>
        <v>81680762</v>
      </c>
      <c r="I14" s="103">
        <f>SUM(G14:H14)</f>
        <v>835059082.1795336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1" customFormat="1" x14ac:dyDescent="0.25">
      <c r="A15" s="101">
        <f t="shared" si="0"/>
        <v>3</v>
      </c>
      <c r="B15" s="102" t="s">
        <v>220</v>
      </c>
      <c r="C15" s="104">
        <f>+'SEF-19G (BR-02) p2-5'!C15</f>
        <v>0</v>
      </c>
      <c r="D15" s="104">
        <f>+'SEF-19G (BR-02) p2-5'!Y15</f>
        <v>0</v>
      </c>
      <c r="E15" s="104">
        <f>SUM(C15:D15)</f>
        <v>0</v>
      </c>
      <c r="F15" s="104">
        <f>+'SEF-19G (BR-02) p2-5'!AV15</f>
        <v>0</v>
      </c>
      <c r="G15" s="104">
        <f>SUM(E15:F15)</f>
        <v>0</v>
      </c>
      <c r="H15" s="104"/>
      <c r="I15" s="104">
        <f>SUM(G15:H15)</f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1" customFormat="1" x14ac:dyDescent="0.25">
      <c r="A16" s="101">
        <f t="shared" si="0"/>
        <v>4</v>
      </c>
      <c r="B16" s="102" t="s">
        <v>31</v>
      </c>
      <c r="C16" s="104">
        <f>+'SEF-19G (BR-02) p2-5'!C16</f>
        <v>-25909998.579999998</v>
      </c>
      <c r="D16" s="104">
        <f>+'SEF-19G (BR-02) p2-5'!Y16</f>
        <v>46115261.559999995</v>
      </c>
      <c r="E16" s="104">
        <f>SUM(C16:D16)</f>
        <v>20205262.979999997</v>
      </c>
      <c r="F16" s="104">
        <f>+'SEF-19G (BR-02) p2-5'!AV16</f>
        <v>-9854969.0099999998</v>
      </c>
      <c r="G16" s="104">
        <f>SUM(E16:F16)</f>
        <v>10350293.969999997</v>
      </c>
      <c r="H16" s="104"/>
      <c r="I16" s="104">
        <f>SUM(G16:H16)</f>
        <v>10350293.969999997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s="1" customFormat="1" x14ac:dyDescent="0.25">
      <c r="A17" s="101">
        <f t="shared" si="0"/>
        <v>5</v>
      </c>
      <c r="B17" s="102" t="s">
        <v>32</v>
      </c>
      <c r="C17" s="11">
        <f t="shared" ref="C17:I17" si="1">SUM(C14:C16)</f>
        <v>850747677.08999979</v>
      </c>
      <c r="D17" s="11">
        <f t="shared" si="1"/>
        <v>-105356592.67645425</v>
      </c>
      <c r="E17" s="11">
        <f t="shared" si="1"/>
        <v>745391084.41354561</v>
      </c>
      <c r="F17" s="11">
        <f t="shared" si="1"/>
        <v>18337529.735988006</v>
      </c>
      <c r="G17" s="11">
        <f t="shared" si="1"/>
        <v>763728614.14953363</v>
      </c>
      <c r="H17" s="11">
        <f t="shared" si="1"/>
        <v>81680762</v>
      </c>
      <c r="I17" s="11">
        <f t="shared" si="1"/>
        <v>845409376.14953363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s="13" customFormat="1" x14ac:dyDescent="0.25">
      <c r="A18" s="101">
        <f t="shared" si="0"/>
        <v>6</v>
      </c>
      <c r="B18" s="105"/>
      <c r="C18" s="104"/>
      <c r="D18" s="104"/>
      <c r="E18" s="104"/>
      <c r="F18" s="104"/>
      <c r="G18" s="104"/>
      <c r="H18" s="104"/>
      <c r="I18" s="104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1" customFormat="1" x14ac:dyDescent="0.25">
      <c r="A19" s="101">
        <f t="shared" si="0"/>
        <v>7</v>
      </c>
      <c r="B19" s="102" t="s">
        <v>33</v>
      </c>
      <c r="C19" s="2"/>
      <c r="D19" s="2"/>
      <c r="E19" s="2"/>
      <c r="F19" s="104"/>
      <c r="G19" s="104"/>
      <c r="H19" s="2"/>
      <c r="I19" s="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1" customFormat="1" x14ac:dyDescent="0.25">
      <c r="A20" s="101">
        <f t="shared" si="0"/>
        <v>8</v>
      </c>
      <c r="B20" s="106"/>
      <c r="C20" s="2"/>
      <c r="D20" s="2"/>
      <c r="E20" s="2"/>
      <c r="F20" s="2"/>
      <c r="G20" s="2"/>
      <c r="H20" s="2"/>
      <c r="I20" s="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1" customFormat="1" x14ac:dyDescent="0.25">
      <c r="A21" s="101">
        <f t="shared" si="0"/>
        <v>9</v>
      </c>
      <c r="B21" s="102" t="s">
        <v>221</v>
      </c>
      <c r="C21" s="2"/>
      <c r="D21" s="2"/>
      <c r="E21" s="2"/>
      <c r="F21" s="2"/>
      <c r="G21" s="2"/>
      <c r="H21" s="2"/>
      <c r="I21" s="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s="1" customFormat="1" x14ac:dyDescent="0.25">
      <c r="A22" s="101">
        <f t="shared" si="0"/>
        <v>10</v>
      </c>
      <c r="B22" s="102"/>
      <c r="C22" s="15">
        <f>+'SEF-19G (BR-02) p2-5'!C22</f>
        <v>0</v>
      </c>
      <c r="D22" s="15">
        <f>+'SEF-19G (BR-02) p2-5'!Y22</f>
        <v>0</v>
      </c>
      <c r="E22" s="15">
        <f>SUM(C22:D22)</f>
        <v>0</v>
      </c>
      <c r="F22" s="15">
        <f>+'SEF-19G (BR-02) p2-5'!AV22</f>
        <v>0</v>
      </c>
      <c r="G22" s="15">
        <f>SUM(E22:F22)</f>
        <v>0</v>
      </c>
      <c r="H22" s="16"/>
      <c r="I22" s="15">
        <f>SUM(G22:H22)</f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1" customFormat="1" x14ac:dyDescent="0.25">
      <c r="A23" s="101">
        <f t="shared" si="0"/>
        <v>11</v>
      </c>
      <c r="B23" s="102" t="s">
        <v>222</v>
      </c>
      <c r="C23" s="104">
        <f>+'SEF-19G (BR-02) p2-5'!C23</f>
        <v>296699052.05999887</v>
      </c>
      <c r="D23" s="104">
        <f>+'SEF-19G (BR-02) p2-5'!Y23</f>
        <v>-19369201.32055793</v>
      </c>
      <c r="E23" s="104">
        <f>SUM(C23:D23)</f>
        <v>277329850.73944092</v>
      </c>
      <c r="F23" s="104">
        <f>+'SEF-19G (BR-02) p2-5'!AV23</f>
        <v>16597941.863749802</v>
      </c>
      <c r="G23" s="104">
        <f>SUM(E23:F23)</f>
        <v>293927792.60319072</v>
      </c>
      <c r="H23" s="107"/>
      <c r="I23" s="104">
        <f>SUM(G23:H23)</f>
        <v>293927792.60319072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1" customFormat="1" x14ac:dyDescent="0.25">
      <c r="A24" s="101">
        <f t="shared" si="0"/>
        <v>12</v>
      </c>
      <c r="B24" s="106"/>
      <c r="C24" s="104">
        <f>+'SEF-19G (BR-02) p2-5'!C24</f>
        <v>0</v>
      </c>
      <c r="D24" s="104">
        <f>+'SEF-19G (BR-02) p2-5'!Y24</f>
        <v>0</v>
      </c>
      <c r="E24" s="104">
        <f>SUM(C24:D24)</f>
        <v>0</v>
      </c>
      <c r="F24" s="104">
        <f>+'SEF-19G (BR-02) p2-5'!AV24</f>
        <v>0</v>
      </c>
      <c r="G24" s="104">
        <f>SUM(E24:F24)</f>
        <v>0</v>
      </c>
      <c r="H24" s="107"/>
      <c r="I24" s="104">
        <f>SUM(G24:H24)</f>
        <v>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1" customFormat="1" x14ac:dyDescent="0.25">
      <c r="A25" s="101">
        <f t="shared" si="0"/>
        <v>13</v>
      </c>
      <c r="B25" s="102" t="s">
        <v>39</v>
      </c>
      <c r="C25" s="18">
        <f t="shared" ref="C25:I25" si="2">SUM(C21:C24)</f>
        <v>296699052.05999887</v>
      </c>
      <c r="D25" s="18">
        <f t="shared" si="2"/>
        <v>-19369201.32055793</v>
      </c>
      <c r="E25" s="18">
        <f t="shared" si="2"/>
        <v>277329850.73944092</v>
      </c>
      <c r="F25" s="18">
        <f t="shared" si="2"/>
        <v>16597941.863749802</v>
      </c>
      <c r="G25" s="18">
        <f t="shared" si="2"/>
        <v>293927792.60319072</v>
      </c>
      <c r="H25" s="11">
        <f t="shared" si="2"/>
        <v>0</v>
      </c>
      <c r="I25" s="18">
        <f t="shared" si="2"/>
        <v>293927792.60319072</v>
      </c>
      <c r="J25" s="2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s="1" customFormat="1" x14ac:dyDescent="0.25">
      <c r="A26" s="101">
        <f t="shared" si="0"/>
        <v>14</v>
      </c>
      <c r="B26" s="102"/>
      <c r="C26" s="15"/>
      <c r="D26" s="15"/>
      <c r="E26" s="15"/>
      <c r="F26" s="15"/>
      <c r="G26" s="15"/>
      <c r="H26" s="16"/>
      <c r="I26" s="1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s="1" customFormat="1" x14ac:dyDescent="0.25">
      <c r="A27" s="101">
        <f t="shared" si="0"/>
        <v>15</v>
      </c>
      <c r="B27" s="108" t="s">
        <v>40</v>
      </c>
      <c r="C27" s="15">
        <f>+'SEF-19G (BR-02) p2-5'!C27</f>
        <v>6042805.129999999</v>
      </c>
      <c r="D27" s="15">
        <f>+'SEF-19G (BR-02) p2-5'!Y27</f>
        <v>18583.731398664269</v>
      </c>
      <c r="E27" s="15">
        <f t="shared" ref="E27:E41" si="3">SUM(C27:D27)</f>
        <v>6061388.8613986634</v>
      </c>
      <c r="F27" s="15">
        <f>+'SEF-19G (BR-02) p2-5'!AV27</f>
        <v>110776.01203954894</v>
      </c>
      <c r="G27" s="15">
        <f t="shared" ref="G27:G41" si="4">SUM(E27:F27)</f>
        <v>6172164.8734382121</v>
      </c>
      <c r="H27" s="16"/>
      <c r="I27" s="15">
        <f t="shared" ref="I27:I41" si="5">SUM(G27:H27)</f>
        <v>6172164.8734382121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s="1" customFormat="1" x14ac:dyDescent="0.25">
      <c r="A28" s="101">
        <f t="shared" si="0"/>
        <v>16</v>
      </c>
      <c r="B28" s="102" t="s">
        <v>41</v>
      </c>
      <c r="C28" s="104">
        <f>+'SEF-19G (BR-02) p2-5'!C28</f>
        <v>2110.77</v>
      </c>
      <c r="D28" s="104">
        <f>+'SEF-19G (BR-02) p2-5'!Y28</f>
        <v>0</v>
      </c>
      <c r="E28" s="104">
        <f t="shared" si="3"/>
        <v>2110.77</v>
      </c>
      <c r="F28" s="104">
        <f>+'SEF-19G (BR-02) p2-5'!AV28</f>
        <v>57.75</v>
      </c>
      <c r="G28" s="104">
        <f t="shared" si="4"/>
        <v>2168.52</v>
      </c>
      <c r="H28" s="107"/>
      <c r="I28" s="104">
        <f t="shared" si="5"/>
        <v>2168.52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s="1" customFormat="1" x14ac:dyDescent="0.25">
      <c r="A29" s="101">
        <f t="shared" si="0"/>
        <v>17</v>
      </c>
      <c r="B29" s="102" t="s">
        <v>42</v>
      </c>
      <c r="C29" s="104">
        <f>+'SEF-19G (BR-02) p2-5'!C29</f>
        <v>60174168.099999979</v>
      </c>
      <c r="D29" s="104">
        <f>+'SEF-19G (BR-02) p2-5'!Y29</f>
        <v>523457.26844154485</v>
      </c>
      <c r="E29" s="104">
        <f t="shared" si="3"/>
        <v>60697625.368441522</v>
      </c>
      <c r="F29" s="104">
        <f>+'SEF-19G (BR-02) p2-5'!AV29</f>
        <v>1628823.3921382427</v>
      </c>
      <c r="G29" s="104">
        <f t="shared" si="4"/>
        <v>62326448.760579765</v>
      </c>
      <c r="H29" s="107"/>
      <c r="I29" s="104">
        <f t="shared" si="5"/>
        <v>62326448.760579765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s="1" customFormat="1" x14ac:dyDescent="0.25">
      <c r="A30" s="101">
        <f t="shared" si="0"/>
        <v>18</v>
      </c>
      <c r="B30" s="102" t="s">
        <v>43</v>
      </c>
      <c r="C30" s="104">
        <f>+'SEF-19G (BR-02) p2-5'!C30</f>
        <v>29807451.619999997</v>
      </c>
      <c r="D30" s="104">
        <f>+'SEF-19G (BR-02) p2-5'!Y30</f>
        <v>-134141.16919942183</v>
      </c>
      <c r="E30" s="104">
        <f t="shared" si="3"/>
        <v>29673310.450800575</v>
      </c>
      <c r="F30" s="104">
        <f>+'SEF-19G (BR-02) p2-5'!AV30</f>
        <v>38029.742556495243</v>
      </c>
      <c r="G30" s="104">
        <f t="shared" si="4"/>
        <v>29711340.193357069</v>
      </c>
      <c r="H30" s="107">
        <f>'[3]COC, Def, ConvF'!C21*'[3]COC, Def, ConvF'!M12</f>
        <v>418532.22448799998</v>
      </c>
      <c r="I30" s="104">
        <f t="shared" si="5"/>
        <v>30129872.41784507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1" customFormat="1" x14ac:dyDescent="0.25">
      <c r="A31" s="101">
        <f t="shared" si="0"/>
        <v>19</v>
      </c>
      <c r="B31" s="102" t="s">
        <v>44</v>
      </c>
      <c r="C31" s="104">
        <f>+'SEF-19G (BR-02) p2-5'!C31</f>
        <v>6574431.0799999991</v>
      </c>
      <c r="D31" s="104">
        <f>+'SEF-19G (BR-02) p2-5'!Y31</f>
        <v>-4811195.0053552855</v>
      </c>
      <c r="E31" s="104">
        <f t="shared" si="3"/>
        <v>1763236.0746447137</v>
      </c>
      <c r="F31" s="104">
        <f>+'SEF-19G (BR-02) p2-5'!AV31</f>
        <v>31612.10595257883</v>
      </c>
      <c r="G31" s="104">
        <f t="shared" si="4"/>
        <v>1794848.1805972925</v>
      </c>
      <c r="H31" s="107"/>
      <c r="I31" s="104">
        <f t="shared" si="5"/>
        <v>1794848.1805972925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1" customFormat="1" x14ac:dyDescent="0.25">
      <c r="A32" s="101">
        <f t="shared" si="0"/>
        <v>20</v>
      </c>
      <c r="B32" s="102" t="s">
        <v>45</v>
      </c>
      <c r="C32" s="104">
        <f>+'SEF-19G (BR-02) p2-5'!C32</f>
        <v>14625833.34</v>
      </c>
      <c r="D32" s="104">
        <f>+'SEF-19G (BR-02) p2-5'!Y32</f>
        <v>-14625833.34</v>
      </c>
      <c r="E32" s="104">
        <f t="shared" si="3"/>
        <v>0</v>
      </c>
      <c r="F32" s="104">
        <f>+'SEF-19G (BR-02) p2-5'!AV32</f>
        <v>0</v>
      </c>
      <c r="G32" s="104">
        <f t="shared" si="4"/>
        <v>0</v>
      </c>
      <c r="H32" s="107"/>
      <c r="I32" s="104">
        <f t="shared" si="5"/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1" customFormat="1" x14ac:dyDescent="0.25">
      <c r="A33" s="101">
        <f t="shared" si="0"/>
        <v>21</v>
      </c>
      <c r="B33" s="102" t="s">
        <v>46</v>
      </c>
      <c r="C33" s="104">
        <f>+'SEF-19G (BR-02) p2-5'!C33</f>
        <v>57249534.549999997</v>
      </c>
      <c r="D33" s="104">
        <f>+'SEF-19G (BR-02) p2-5'!Y33</f>
        <v>2453690.3400985408</v>
      </c>
      <c r="E33" s="104">
        <f t="shared" si="3"/>
        <v>59703224.890098535</v>
      </c>
      <c r="F33" s="104">
        <f>+'SEF-19G (BR-02) p2-5'!AV33</f>
        <v>910091.58461704839</v>
      </c>
      <c r="G33" s="104">
        <f t="shared" si="4"/>
        <v>60613316.474715583</v>
      </c>
      <c r="H33" s="107">
        <f>'[3]COC, Def, ConvF'!C21*'[3]COC, Def, ConvF'!M13</f>
        <v>163361.524</v>
      </c>
      <c r="I33" s="104">
        <f t="shared" si="5"/>
        <v>60776677.99871558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1" customFormat="1" x14ac:dyDescent="0.25">
      <c r="A34" s="101">
        <f t="shared" si="0"/>
        <v>22</v>
      </c>
      <c r="B34" s="102" t="s">
        <v>47</v>
      </c>
      <c r="C34" s="104">
        <f>+'SEF-19G (BR-02) p2-5'!C34</f>
        <v>116957730.5099999</v>
      </c>
      <c r="D34" s="104">
        <f>+'SEF-19G (BR-02) p2-5'!Y34</f>
        <v>4136955.6219727392</v>
      </c>
      <c r="E34" s="104">
        <f t="shared" si="3"/>
        <v>121094686.13197264</v>
      </c>
      <c r="F34" s="104">
        <f>+'SEF-19G (BR-02) p2-5'!AV34</f>
        <v>725519.24705398711</v>
      </c>
      <c r="G34" s="104">
        <f t="shared" si="4"/>
        <v>121820205.37902662</v>
      </c>
      <c r="H34" s="107"/>
      <c r="I34" s="104">
        <f t="shared" si="5"/>
        <v>121820205.37902662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1" customFormat="1" x14ac:dyDescent="0.25">
      <c r="A35" s="101">
        <f t="shared" si="0"/>
        <v>23</v>
      </c>
      <c r="B35" s="102" t="s">
        <v>48</v>
      </c>
      <c r="C35" s="104">
        <f>+'SEF-19G (BR-02) p2-5'!C35</f>
        <v>26117569.960000001</v>
      </c>
      <c r="D35" s="104">
        <f>+'SEF-19G (BR-02) p2-5'!Y35</f>
        <v>8190016.0321619846</v>
      </c>
      <c r="E35" s="104">
        <f t="shared" si="3"/>
        <v>34307585.992161989</v>
      </c>
      <c r="F35" s="104">
        <f>+'SEF-19G (BR-02) p2-5'!AV35</f>
        <v>3029400.0054726158</v>
      </c>
      <c r="G35" s="104">
        <f t="shared" si="4"/>
        <v>37336985.997634605</v>
      </c>
      <c r="H35" s="107"/>
      <c r="I35" s="104">
        <f t="shared" si="5"/>
        <v>37336985.997634605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s="1" customFormat="1" x14ac:dyDescent="0.25">
      <c r="A36" s="101">
        <f t="shared" si="0"/>
        <v>24</v>
      </c>
      <c r="B36" s="108" t="s">
        <v>49</v>
      </c>
      <c r="C36" s="104">
        <f>+'SEF-19G (BR-02) p2-5'!C36</f>
        <v>0</v>
      </c>
      <c r="D36" s="104">
        <f>+'SEF-19G (BR-02) p2-5'!Y36</f>
        <v>0</v>
      </c>
      <c r="E36" s="104">
        <f t="shared" si="3"/>
        <v>0</v>
      </c>
      <c r="F36" s="104">
        <f>+'SEF-19G (BR-02) p2-5'!AV36</f>
        <v>0</v>
      </c>
      <c r="G36" s="104">
        <f t="shared" si="4"/>
        <v>0</v>
      </c>
      <c r="H36" s="107"/>
      <c r="I36" s="104">
        <f t="shared" si="5"/>
        <v>0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s="1" customFormat="1" x14ac:dyDescent="0.25">
      <c r="A37" s="101">
        <f t="shared" si="0"/>
        <v>25</v>
      </c>
      <c r="B37" s="102" t="s">
        <v>50</v>
      </c>
      <c r="C37" s="104">
        <f>+'SEF-19G (BR-02) p2-5'!C37</f>
        <v>8769360.9199999981</v>
      </c>
      <c r="D37" s="104">
        <f>+'SEF-19G (BR-02) p2-5'!Y37</f>
        <v>0</v>
      </c>
      <c r="E37" s="104">
        <f t="shared" si="3"/>
        <v>8769360.9199999981</v>
      </c>
      <c r="F37" s="104">
        <f>+'SEF-19G (BR-02) p2-5'!AV37</f>
        <v>6424150.6220281217</v>
      </c>
      <c r="G37" s="104">
        <f t="shared" si="4"/>
        <v>15193511.54202812</v>
      </c>
      <c r="H37" s="107"/>
      <c r="I37" s="104">
        <f t="shared" si="5"/>
        <v>15193511.54202812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s="1" customFormat="1" x14ac:dyDescent="0.25">
      <c r="A38" s="101">
        <f t="shared" si="0"/>
        <v>26</v>
      </c>
      <c r="B38" s="106" t="s">
        <v>51</v>
      </c>
      <c r="C38" s="104">
        <f>+'SEF-19G (BR-02) p2-5'!C38</f>
        <v>0</v>
      </c>
      <c r="D38" s="104">
        <f>+'SEF-19G (BR-02) p2-5'!Y38</f>
        <v>0</v>
      </c>
      <c r="E38" s="104">
        <f t="shared" si="3"/>
        <v>0</v>
      </c>
      <c r="F38" s="104">
        <f>+'SEF-19G (BR-02) p2-5'!AV38</f>
        <v>0</v>
      </c>
      <c r="G38" s="104">
        <f t="shared" si="4"/>
        <v>0</v>
      </c>
      <c r="H38" s="107"/>
      <c r="I38" s="104">
        <f t="shared" si="5"/>
        <v>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s="1" customFormat="1" x14ac:dyDescent="0.25">
      <c r="A39" s="101">
        <f t="shared" si="0"/>
        <v>27</v>
      </c>
      <c r="B39" s="102" t="s">
        <v>52</v>
      </c>
      <c r="C39" s="104">
        <f>+'SEF-19G (BR-02) p2-5'!C39</f>
        <v>101477296.77</v>
      </c>
      <c r="D39" s="104">
        <f>+'SEF-19G (BR-02) p2-5'!Y39</f>
        <v>-65983091.285338022</v>
      </c>
      <c r="E39" s="104">
        <f t="shared" si="3"/>
        <v>35494205.484661974</v>
      </c>
      <c r="F39" s="104">
        <f>+'SEF-19G (BR-02) p2-5'!AV39</f>
        <v>943258.47807991097</v>
      </c>
      <c r="G39" s="104">
        <f t="shared" si="4"/>
        <v>36437463.962741882</v>
      </c>
      <c r="H39" s="107">
        <f>'[3]COC, Def, ConvF'!C21*'[3]COC, Def, ConvF'!M14</f>
        <v>3130251.8421260002</v>
      </c>
      <c r="I39" s="104">
        <f t="shared" si="5"/>
        <v>39567715.804867879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s="1" customFormat="1" x14ac:dyDescent="0.25">
      <c r="A40" s="101">
        <f t="shared" si="0"/>
        <v>28</v>
      </c>
      <c r="B40" s="102" t="s">
        <v>53</v>
      </c>
      <c r="C40" s="104">
        <f>+'SEF-19G (BR-02) p2-5'!C40</f>
        <v>31944158.879999999</v>
      </c>
      <c r="D40" s="104">
        <f>+'SEF-19G (BR-02) p2-5'!Y40</f>
        <v>-27485521.939024631</v>
      </c>
      <c r="E40" s="104">
        <f t="shared" si="3"/>
        <v>4458636.940975368</v>
      </c>
      <c r="F40" s="104">
        <f>+'SEF-19G (BR-02) p2-5'!AV40</f>
        <v>-2357296.0245608082</v>
      </c>
      <c r="G40" s="104">
        <f t="shared" si="4"/>
        <v>2101340.9164145598</v>
      </c>
      <c r="H40" s="107">
        <f>'[3]COC, Def, ConvF'!C21*'[3]COC, Def, ConvF'!M19</f>
        <v>16373398.827471999</v>
      </c>
      <c r="I40" s="104">
        <f t="shared" si="5"/>
        <v>18474739.74388656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s="1" customFormat="1" x14ac:dyDescent="0.25">
      <c r="A41" s="101">
        <f t="shared" si="0"/>
        <v>29</v>
      </c>
      <c r="B41" s="106" t="s">
        <v>54</v>
      </c>
      <c r="C41" s="104">
        <f>+'SEF-19G (BR-02) p2-5'!C41</f>
        <v>-9558130.5899999961</v>
      </c>
      <c r="D41" s="104">
        <f>+'SEF-19G (BR-02) p2-5'!Y41</f>
        <v>10081450.108688122</v>
      </c>
      <c r="E41" s="104">
        <f t="shared" si="3"/>
        <v>523319.51868812554</v>
      </c>
      <c r="F41" s="104">
        <f>+'SEF-19G (BR-02) p2-5'!AV41</f>
        <v>-722630.37767299998</v>
      </c>
      <c r="G41" s="104">
        <f t="shared" si="4"/>
        <v>-199310.85898487445</v>
      </c>
      <c r="H41" s="104"/>
      <c r="I41" s="104">
        <f t="shared" si="5"/>
        <v>-199310.85898487445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s="1" customFormat="1" x14ac:dyDescent="0.25">
      <c r="A42" s="101">
        <f t="shared" si="0"/>
        <v>30</v>
      </c>
      <c r="B42" s="102" t="s">
        <v>55</v>
      </c>
      <c r="C42" s="18">
        <f t="shared" ref="C42:I42" si="6">SUM(C25:C41)</f>
        <v>746883373.09999859</v>
      </c>
      <c r="D42" s="18">
        <f t="shared" si="6"/>
        <v>-107004830.95671371</v>
      </c>
      <c r="E42" s="18">
        <f t="shared" si="6"/>
        <v>639878542.14328492</v>
      </c>
      <c r="F42" s="18">
        <f t="shared" si="6"/>
        <v>27359734.401454542</v>
      </c>
      <c r="G42" s="18">
        <f t="shared" si="6"/>
        <v>667238276.5447396</v>
      </c>
      <c r="H42" s="18">
        <f t="shared" si="6"/>
        <v>20085544.418086</v>
      </c>
      <c r="I42" s="18">
        <f t="shared" si="6"/>
        <v>687323820.96282566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s="1" customFormat="1" x14ac:dyDescent="0.25">
      <c r="A43" s="101">
        <f t="shared" si="0"/>
        <v>31</v>
      </c>
      <c r="B43" s="106"/>
      <c r="C43" s="20"/>
      <c r="D43" s="20"/>
      <c r="E43" s="20"/>
      <c r="F43" s="20"/>
      <c r="G43" s="20"/>
      <c r="H43" s="20"/>
      <c r="I43" s="20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s="1" customFormat="1" ht="15.75" thickBot="1" x14ac:dyDescent="0.3">
      <c r="A44" s="101">
        <f t="shared" si="0"/>
        <v>32</v>
      </c>
      <c r="B44" s="106" t="s">
        <v>56</v>
      </c>
      <c r="C44" s="109">
        <f t="shared" ref="C44:I44" si="7">+C17-C42</f>
        <v>103864303.9900012</v>
      </c>
      <c r="D44" s="109">
        <f t="shared" si="7"/>
        <v>1648238.2802594602</v>
      </c>
      <c r="E44" s="109">
        <f t="shared" si="7"/>
        <v>105512542.27026069</v>
      </c>
      <c r="F44" s="109">
        <f t="shared" si="7"/>
        <v>-9022204.6654665358</v>
      </c>
      <c r="G44" s="109">
        <f t="shared" si="7"/>
        <v>96490337.604794025</v>
      </c>
      <c r="H44" s="109">
        <f t="shared" si="7"/>
        <v>61595217.581914</v>
      </c>
      <c r="I44" s="109">
        <f t="shared" si="7"/>
        <v>158085555.18670797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s="1" customFormat="1" ht="15.75" thickTop="1" x14ac:dyDescent="0.25">
      <c r="A45" s="101">
        <f t="shared" si="0"/>
        <v>33</v>
      </c>
      <c r="C45" s="2"/>
      <c r="D45" s="2"/>
      <c r="E45" s="2"/>
      <c r="F45" s="2"/>
      <c r="G45" s="2"/>
      <c r="H45" s="2"/>
      <c r="I45" s="2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s="22" customFormat="1" x14ac:dyDescent="0.25">
      <c r="A46" s="101">
        <f t="shared" si="0"/>
        <v>34</v>
      </c>
      <c r="B46" s="102" t="s">
        <v>57</v>
      </c>
      <c r="C46" s="15">
        <f>C57</f>
        <v>1951252143.2591095</v>
      </c>
      <c r="D46" s="15">
        <f>D57</f>
        <v>141697963.49288648</v>
      </c>
      <c r="E46" s="15">
        <f>E57</f>
        <v>2092950106.7519956</v>
      </c>
      <c r="F46" s="15">
        <f>F57</f>
        <v>20493141.867642116</v>
      </c>
      <c r="G46" s="15">
        <f>G57</f>
        <v>2113443248.6196377</v>
      </c>
      <c r="H46" s="15"/>
      <c r="I46" s="15">
        <f>I57</f>
        <v>2113443248.6196377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s="1" customFormat="1" x14ac:dyDescent="0.25">
      <c r="A47" s="101">
        <f t="shared" si="0"/>
        <v>35</v>
      </c>
      <c r="B47" s="106"/>
      <c r="C47" s="2"/>
      <c r="D47" s="2"/>
      <c r="E47" s="2"/>
      <c r="F47" s="2"/>
      <c r="G47" s="2"/>
      <c r="H47" s="2"/>
      <c r="I47" s="2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s="1" customFormat="1" x14ac:dyDescent="0.25">
      <c r="A48" s="101">
        <f t="shared" si="0"/>
        <v>36</v>
      </c>
      <c r="B48" s="102" t="s">
        <v>58</v>
      </c>
      <c r="C48" s="110">
        <f>+C44/C46</f>
        <v>5.3229565614477801E-2</v>
      </c>
      <c r="D48" s="110"/>
      <c r="E48" s="110">
        <f>+E44/E46</f>
        <v>5.0413309868147474E-2</v>
      </c>
      <c r="F48" s="110"/>
      <c r="G48" s="110">
        <f>+G44/G46</f>
        <v>4.5655513895542343E-2</v>
      </c>
      <c r="H48" s="104"/>
      <c r="I48" s="110">
        <f>+I44/I46</f>
        <v>7.4800000089881316E-2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s="1" customFormat="1" x14ac:dyDescent="0.25">
      <c r="A49" s="101">
        <f t="shared" si="0"/>
        <v>37</v>
      </c>
      <c r="B49" s="106"/>
      <c r="C49" s="104"/>
      <c r="D49" s="104"/>
      <c r="E49" s="104"/>
      <c r="F49" s="104" t="s">
        <v>59</v>
      </c>
      <c r="G49" s="104"/>
      <c r="H49" s="104"/>
      <c r="I49" s="104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s="1" customFormat="1" x14ac:dyDescent="0.25">
      <c r="A50" s="101">
        <f t="shared" si="0"/>
        <v>38</v>
      </c>
      <c r="B50" s="106" t="s">
        <v>60</v>
      </c>
      <c r="C50" s="104"/>
      <c r="D50" s="104"/>
      <c r="E50" s="104"/>
      <c r="F50" s="104"/>
      <c r="G50" s="104"/>
      <c r="H50" s="104"/>
      <c r="I50" s="104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s="1" customFormat="1" x14ac:dyDescent="0.25">
      <c r="A51" s="101">
        <f t="shared" si="0"/>
        <v>39</v>
      </c>
      <c r="B51" s="111" t="s">
        <v>61</v>
      </c>
      <c r="C51" s="15">
        <f>+'SEF-19G (BR-02) p2-5'!C51</f>
        <v>4100600279.3772311</v>
      </c>
      <c r="D51" s="15">
        <f>+'SEF-19G (BR-02) p2-5'!Y51</f>
        <v>200226769.56548771</v>
      </c>
      <c r="E51" s="15">
        <f t="shared" ref="E51:E56" si="8">SUM(C51:D51)</f>
        <v>4300827048.9427185</v>
      </c>
      <c r="F51" s="15">
        <f>+'SEF-19G (BR-02) p2-5'!AV51</f>
        <v>23808893.914298996</v>
      </c>
      <c r="G51" s="15">
        <f t="shared" ref="G51:G56" si="9">SUM(E51:F51)</f>
        <v>4324635942.8570175</v>
      </c>
      <c r="H51" s="15"/>
      <c r="I51" s="15">
        <f t="shared" ref="I51:I56" si="10">SUM(G51:H51)</f>
        <v>4324635942.8570175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s="1" customFormat="1" x14ac:dyDescent="0.25">
      <c r="A52" s="101">
        <f t="shared" si="0"/>
        <v>40</v>
      </c>
      <c r="B52" s="111" t="s">
        <v>223</v>
      </c>
      <c r="C52" s="104">
        <f>+'SEF-19G (BR-02) p2-5'!C52</f>
        <v>-1569795173.3202429</v>
      </c>
      <c r="D52" s="104">
        <f>+'SEF-19G (BR-02) p2-5'!Y52</f>
        <v>-67842753.331441611</v>
      </c>
      <c r="E52" s="104">
        <f t="shared" si="8"/>
        <v>-1637637926.6516845</v>
      </c>
      <c r="F52" s="104">
        <f>+'SEF-19G (BR-02) p2-5'!AV52</f>
        <v>-11911210.068776742</v>
      </c>
      <c r="G52" s="104">
        <f t="shared" si="9"/>
        <v>-1649549136.7204614</v>
      </c>
      <c r="H52" s="104"/>
      <c r="I52" s="104">
        <f t="shared" si="10"/>
        <v>-1649549136.7204614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s="1" customFormat="1" x14ac:dyDescent="0.25">
      <c r="A53" s="101">
        <f t="shared" si="0"/>
        <v>41</v>
      </c>
      <c r="B53" s="106" t="s">
        <v>224</v>
      </c>
      <c r="C53" s="104">
        <f>+'SEF-19G (BR-02) p2-5'!C53</f>
        <v>-604032300.68879509</v>
      </c>
      <c r="D53" s="104">
        <f>+'SEF-19G (BR-02) p2-5'!Y53</f>
        <v>6355141.8021153035</v>
      </c>
      <c r="E53" s="104">
        <f t="shared" si="8"/>
        <v>-597677158.88667977</v>
      </c>
      <c r="F53" s="104">
        <f>+'SEF-19G (BR-02) p2-5'!AV53</f>
        <v>-4143209.6745957471</v>
      </c>
      <c r="G53" s="104">
        <f t="shared" si="9"/>
        <v>-601820368.56127548</v>
      </c>
      <c r="H53" s="104"/>
      <c r="I53" s="104">
        <f t="shared" si="10"/>
        <v>-601820368.56127548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s="1" customFormat="1" x14ac:dyDescent="0.25">
      <c r="A54" s="101">
        <f t="shared" si="0"/>
        <v>42</v>
      </c>
      <c r="B54" s="106" t="s">
        <v>225</v>
      </c>
      <c r="C54" s="104">
        <f>+'SEF-19G (BR-02) p2-5'!C54</f>
        <v>-29952462.162250079</v>
      </c>
      <c r="D54" s="104">
        <f>+'SEF-19G (BR-02) p2-5'!Y54</f>
        <v>2958805.4567250796</v>
      </c>
      <c r="E54" s="104">
        <f t="shared" si="8"/>
        <v>-26993656.705525</v>
      </c>
      <c r="F54" s="104">
        <f>+'SEF-19G (BR-02) p2-5'!AV54</f>
        <v>-57733.95656081185</v>
      </c>
      <c r="G54" s="104">
        <f t="shared" si="9"/>
        <v>-27051390.662085813</v>
      </c>
      <c r="H54" s="104"/>
      <c r="I54" s="104">
        <f t="shared" si="10"/>
        <v>-27051390.662085813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s="1" customFormat="1" x14ac:dyDescent="0.25">
      <c r="A55" s="101">
        <f t="shared" si="0"/>
        <v>43</v>
      </c>
      <c r="B55" s="106" t="s">
        <v>65</v>
      </c>
      <c r="C55" s="104">
        <f>+'SEF-19G (BR-02) p2-5'!C55</f>
        <v>54431800.053166389</v>
      </c>
      <c r="D55" s="104">
        <f>+'SEF-19G (BR-02) p2-5'!Y55</f>
        <v>0</v>
      </c>
      <c r="E55" s="104">
        <f t="shared" si="8"/>
        <v>54431800.053166389</v>
      </c>
      <c r="F55" s="104">
        <f>+'SEF-19G (BR-02) p2-5'!AV55</f>
        <v>0</v>
      </c>
      <c r="G55" s="104">
        <f t="shared" si="9"/>
        <v>54431800.053166389</v>
      </c>
      <c r="H55" s="104"/>
      <c r="I55" s="104">
        <f t="shared" si="10"/>
        <v>54431800.053166389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s="1" customFormat="1" x14ac:dyDescent="0.25">
      <c r="A56" s="101">
        <f t="shared" si="0"/>
        <v>44</v>
      </c>
      <c r="B56" s="106" t="s">
        <v>66</v>
      </c>
      <c r="C56" s="104">
        <f>+'SEF-19G (BR-02) p2-5'!C56</f>
        <v>0</v>
      </c>
      <c r="D56" s="104">
        <f>+'SEF-19G (BR-02) p2-5'!Y56</f>
        <v>0</v>
      </c>
      <c r="E56" s="104">
        <f t="shared" si="8"/>
        <v>0</v>
      </c>
      <c r="F56" s="104">
        <f>+'SEF-19G (BR-02) p2-5'!AV56</f>
        <v>12796401.653276419</v>
      </c>
      <c r="G56" s="104">
        <f t="shared" si="9"/>
        <v>12796401.653276419</v>
      </c>
      <c r="H56" s="104"/>
      <c r="I56" s="104">
        <f t="shared" si="10"/>
        <v>12796401.653276419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s="1" customFormat="1" ht="15.75" thickBot="1" x14ac:dyDescent="0.3">
      <c r="A57" s="101">
        <f t="shared" si="0"/>
        <v>45</v>
      </c>
      <c r="B57" s="106" t="s">
        <v>67</v>
      </c>
      <c r="C57" s="25">
        <f>SUM(C51:C56)</f>
        <v>1951252143.2591095</v>
      </c>
      <c r="D57" s="25">
        <f>SUM(D51:D56)</f>
        <v>141697963.49288648</v>
      </c>
      <c r="E57" s="25">
        <f>SUM(E51:E56)</f>
        <v>2092950106.7519956</v>
      </c>
      <c r="F57" s="112">
        <f>SUM(F51:F56)</f>
        <v>20493141.867642116</v>
      </c>
      <c r="G57" s="25">
        <f>SUM(G51:G56)</f>
        <v>2113443248.6196377</v>
      </c>
      <c r="H57" s="25"/>
      <c r="I57" s="25">
        <f>SUM(I51:I56)</f>
        <v>2113443248.6196377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5.75" thickTop="1" x14ac:dyDescent="0.25">
      <c r="A58" s="101">
        <f t="shared" si="0"/>
        <v>46</v>
      </c>
    </row>
    <row r="59" spans="1:30" x14ac:dyDescent="0.25">
      <c r="A59" s="101">
        <f t="shared" si="0"/>
        <v>47</v>
      </c>
      <c r="B59" s="106" t="s">
        <v>68</v>
      </c>
      <c r="C59" s="164">
        <f>+'[3]COC, Def, ConvF'!$C$13</f>
        <v>7.4800000000000005E-2</v>
      </c>
      <c r="D59" s="164">
        <f>+'[3]COC, Def, ConvF'!$C$13</f>
        <v>7.4800000000000005E-2</v>
      </c>
      <c r="E59" s="164">
        <f>+'[3]COC, Def, ConvF'!$C$13</f>
        <v>7.4800000000000005E-2</v>
      </c>
      <c r="F59" s="164">
        <f>+'[3]COC, Def, ConvF'!$C$13</f>
        <v>7.4800000000000005E-2</v>
      </c>
      <c r="G59" s="164">
        <f>+'[3]COC, Def, ConvF'!$C$13</f>
        <v>7.4800000000000005E-2</v>
      </c>
      <c r="H59" s="164">
        <f>+'[3]COC, Def, ConvF'!$C$13</f>
        <v>7.4800000000000005E-2</v>
      </c>
      <c r="I59" s="164">
        <f>+'[3]COC, Def, ConvF'!$C$13</f>
        <v>7.4800000000000005E-2</v>
      </c>
      <c r="J59" s="1"/>
    </row>
    <row r="60" spans="1:30" x14ac:dyDescent="0.25">
      <c r="A60" s="101">
        <f t="shared" si="0"/>
        <v>48</v>
      </c>
      <c r="B60" s="106" t="s">
        <v>69</v>
      </c>
      <c r="C60" s="113">
        <f>+'[3]COC, Def, ConvF'!$M$20</f>
        <v>0.75409700000000002</v>
      </c>
      <c r="D60" s="113">
        <f>+'[3]COC, Def, ConvF'!$M$20</f>
        <v>0.75409700000000002</v>
      </c>
      <c r="E60" s="113">
        <f>+'[3]COC, Def, ConvF'!$M$20</f>
        <v>0.75409700000000002</v>
      </c>
      <c r="F60" s="113">
        <f>+'[3]COC, Def, ConvF'!$M$20</f>
        <v>0.75409700000000002</v>
      </c>
      <c r="G60" s="113">
        <f>+'[3]COC, Def, ConvF'!$M$20</f>
        <v>0.75409700000000002</v>
      </c>
      <c r="H60" s="113">
        <f>+'[3]COC, Def, ConvF'!$M$20</f>
        <v>0.75409700000000002</v>
      </c>
      <c r="I60" s="113">
        <f>+'[3]COC, Def, ConvF'!$M$20</f>
        <v>0.75409700000000002</v>
      </c>
    </row>
    <row r="61" spans="1:30" x14ac:dyDescent="0.25">
      <c r="A61" s="101">
        <f t="shared" si="0"/>
        <v>49</v>
      </c>
      <c r="B61" s="106" t="s">
        <v>70</v>
      </c>
      <c r="C61" s="22">
        <f t="shared" ref="C61:I61" si="11">+C44-(C57*C59)</f>
        <v>-42089356.325780213</v>
      </c>
      <c r="D61" s="22">
        <f t="shared" si="11"/>
        <v>-8950769.3890084494</v>
      </c>
      <c r="E61" s="22">
        <f t="shared" si="11"/>
        <v>-51040125.714788586</v>
      </c>
      <c r="F61" s="22">
        <f t="shared" si="11"/>
        <v>-10555091.677166166</v>
      </c>
      <c r="G61" s="22">
        <f t="shared" si="11"/>
        <v>-61595217.391954899</v>
      </c>
      <c r="H61" s="22">
        <f t="shared" si="11"/>
        <v>61595217.581914</v>
      </c>
      <c r="I61" s="114">
        <f t="shared" si="11"/>
        <v>0.18995904922485352</v>
      </c>
    </row>
    <row r="62" spans="1:30" x14ac:dyDescent="0.25">
      <c r="A62" s="101">
        <f t="shared" si="0"/>
        <v>50</v>
      </c>
      <c r="B62" s="106" t="s">
        <v>71</v>
      </c>
      <c r="C62" s="22">
        <f t="shared" ref="C62:I62" si="12">-C61/C60</f>
        <v>55814247.140328385</v>
      </c>
      <c r="D62" s="22">
        <f t="shared" si="12"/>
        <v>11869519.954340687</v>
      </c>
      <c r="E62" s="22">
        <f t="shared" si="12"/>
        <v>67683767.09466897</v>
      </c>
      <c r="F62" s="22">
        <f t="shared" si="12"/>
        <v>13996994.653428094</v>
      </c>
      <c r="G62" s="22">
        <f t="shared" si="12"/>
        <v>81680761.748097256</v>
      </c>
      <c r="H62" s="22">
        <f t="shared" si="12"/>
        <v>-81680762</v>
      </c>
      <c r="I62" s="114">
        <f t="shared" si="12"/>
        <v>-0.25190267197038779</v>
      </c>
    </row>
    <row r="63" spans="1:30" x14ac:dyDescent="0.25">
      <c r="B63" s="106"/>
      <c r="C63" s="2"/>
      <c r="D63" s="2"/>
      <c r="E63" s="2"/>
      <c r="F63" s="2"/>
      <c r="G63" s="1"/>
      <c r="H63" s="2"/>
    </row>
    <row r="64" spans="1:30" x14ac:dyDescent="0.25">
      <c r="C64" s="2"/>
      <c r="D64" s="2"/>
      <c r="E64" s="2"/>
      <c r="F64" s="2"/>
      <c r="G64" s="1"/>
      <c r="H64" s="2"/>
    </row>
    <row r="65" spans="1:8" x14ac:dyDescent="0.25">
      <c r="B65"/>
      <c r="C65" s="27"/>
      <c r="D65" s="27"/>
      <c r="E65" s="27"/>
      <c r="F65" s="27"/>
      <c r="G65" s="27"/>
      <c r="H65" s="2"/>
    </row>
    <row r="66" spans="1:8" x14ac:dyDescent="0.25">
      <c r="B66"/>
      <c r="C66" s="27"/>
      <c r="D66" s="27"/>
      <c r="E66" s="27"/>
      <c r="F66" s="27"/>
      <c r="G66" s="27"/>
      <c r="H66" s="2"/>
    </row>
    <row r="67" spans="1:8" x14ac:dyDescent="0.25">
      <c r="B67"/>
      <c r="C67" s="27"/>
      <c r="D67" s="27"/>
      <c r="E67" s="27"/>
      <c r="F67" s="27"/>
      <c r="G67" s="27"/>
      <c r="H67" s="1"/>
    </row>
    <row r="68" spans="1:8" x14ac:dyDescent="0.25">
      <c r="B68"/>
      <c r="C68"/>
      <c r="D68"/>
      <c r="E68"/>
      <c r="F68"/>
      <c r="G68"/>
      <c r="H68" s="93"/>
    </row>
    <row r="69" spans="1:8" x14ac:dyDescent="0.25">
      <c r="B69"/>
      <c r="C69"/>
      <c r="D69"/>
      <c r="E69"/>
      <c r="F69"/>
      <c r="G69"/>
      <c r="H69" s="93"/>
    </row>
    <row r="70" spans="1:8" x14ac:dyDescent="0.25">
      <c r="C70" s="93"/>
      <c r="D70" s="93"/>
      <c r="E70" s="93"/>
      <c r="F70" s="93"/>
      <c r="H70" s="93"/>
    </row>
    <row r="71" spans="1:8" x14ac:dyDescent="0.25">
      <c r="C71" s="93"/>
      <c r="D71" s="93"/>
      <c r="E71" s="93"/>
      <c r="F71" s="93"/>
      <c r="H71" s="93"/>
    </row>
    <row r="72" spans="1:8" x14ac:dyDescent="0.25">
      <c r="C72" s="93"/>
      <c r="D72" s="93"/>
      <c r="E72" s="93"/>
      <c r="F72" s="93"/>
      <c r="H72" s="93"/>
    </row>
    <row r="73" spans="1:8" x14ac:dyDescent="0.25">
      <c r="C73" s="93"/>
      <c r="D73" s="93"/>
      <c r="E73" s="93"/>
      <c r="F73" s="93"/>
      <c r="H73" s="93"/>
    </row>
    <row r="74" spans="1:8" x14ac:dyDescent="0.25">
      <c r="C74" s="93"/>
      <c r="D74" s="93"/>
      <c r="E74" s="93"/>
      <c r="F74" s="93"/>
      <c r="H74" s="93"/>
    </row>
    <row r="75" spans="1:8" x14ac:dyDescent="0.25">
      <c r="C75" s="93"/>
      <c r="D75" s="93"/>
      <c r="E75" s="93"/>
      <c r="F75" s="93"/>
      <c r="H75" s="93"/>
    </row>
    <row r="76" spans="1:8" x14ac:dyDescent="0.25">
      <c r="A76" s="93">
        <v>4</v>
      </c>
      <c r="C76" s="93"/>
      <c r="D76" s="93"/>
      <c r="E76" s="93"/>
      <c r="F76" s="93"/>
      <c r="H76" s="93"/>
    </row>
    <row r="77" spans="1:8" x14ac:dyDescent="0.25">
      <c r="C77" s="93"/>
      <c r="D77" s="93"/>
      <c r="E77" s="93"/>
      <c r="F77" s="93"/>
      <c r="H77" s="93"/>
    </row>
    <row r="78" spans="1:8" x14ac:dyDescent="0.25">
      <c r="C78" s="93"/>
      <c r="D78" s="93"/>
      <c r="E78" s="93"/>
      <c r="F78" s="93"/>
      <c r="H78" s="93"/>
    </row>
    <row r="79" spans="1:8" x14ac:dyDescent="0.25">
      <c r="C79" s="93"/>
      <c r="D79" s="93"/>
      <c r="E79" s="93"/>
      <c r="F79" s="93"/>
      <c r="H79" s="93"/>
    </row>
    <row r="80" spans="1:8" x14ac:dyDescent="0.25">
      <c r="C80" s="93"/>
      <c r="D80" s="93"/>
      <c r="E80" s="93"/>
      <c r="F80" s="93"/>
      <c r="H80" s="93"/>
    </row>
    <row r="81" spans="3:8" x14ac:dyDescent="0.25">
      <c r="C81" s="93"/>
      <c r="D81" s="93"/>
      <c r="E81" s="93"/>
      <c r="F81" s="93"/>
      <c r="H81" s="93"/>
    </row>
    <row r="82" spans="3:8" x14ac:dyDescent="0.25">
      <c r="C82" s="93"/>
      <c r="D82" s="93"/>
      <c r="E82" s="93"/>
      <c r="F82" s="93"/>
      <c r="H82" s="93"/>
    </row>
    <row r="83" spans="3:8" x14ac:dyDescent="0.25">
      <c r="C83" s="93"/>
      <c r="D83" s="93"/>
      <c r="E83" s="93"/>
      <c r="F83" s="93"/>
      <c r="H83" s="93"/>
    </row>
    <row r="84" spans="3:8" x14ac:dyDescent="0.25">
      <c r="C84" s="93"/>
      <c r="D84" s="93"/>
      <c r="E84" s="93"/>
      <c r="F84" s="93"/>
      <c r="H84" s="93"/>
    </row>
    <row r="85" spans="3:8" x14ac:dyDescent="0.25">
      <c r="C85" s="93"/>
      <c r="D85" s="93"/>
      <c r="E85" s="93"/>
      <c r="F85" s="93"/>
      <c r="H85" s="93"/>
    </row>
    <row r="86" spans="3:8" x14ac:dyDescent="0.25">
      <c r="C86" s="93"/>
      <c r="D86" s="93"/>
      <c r="E86" s="93"/>
      <c r="F86" s="93"/>
      <c r="H86" s="93"/>
    </row>
    <row r="87" spans="3:8" x14ac:dyDescent="0.25">
      <c r="C87" s="93"/>
      <c r="D87" s="93"/>
      <c r="E87" s="93"/>
      <c r="F87" s="93"/>
      <c r="H87" s="93"/>
    </row>
    <row r="88" spans="3:8" x14ac:dyDescent="0.25">
      <c r="C88" s="93"/>
      <c r="D88" s="93"/>
      <c r="E88" s="93"/>
      <c r="F88" s="93"/>
      <c r="H88" s="93"/>
    </row>
    <row r="89" spans="3:8" x14ac:dyDescent="0.25">
      <c r="C89" s="93"/>
      <c r="D89" s="93"/>
      <c r="E89" s="93"/>
      <c r="F89" s="93"/>
      <c r="H89" s="93"/>
    </row>
    <row r="90" spans="3:8" x14ac:dyDescent="0.25">
      <c r="C90" s="93"/>
      <c r="D90" s="93"/>
      <c r="E90" s="93"/>
      <c r="F90" s="93"/>
      <c r="H90" s="93"/>
    </row>
    <row r="91" spans="3:8" x14ac:dyDescent="0.25">
      <c r="C91" s="93"/>
      <c r="D91" s="93"/>
      <c r="E91" s="93"/>
      <c r="F91" s="93"/>
      <c r="H91" s="93"/>
    </row>
    <row r="92" spans="3:8" x14ac:dyDescent="0.25">
      <c r="C92" s="93"/>
      <c r="D92" s="93"/>
      <c r="E92" s="93"/>
      <c r="F92" s="93"/>
      <c r="H92" s="93"/>
    </row>
    <row r="93" spans="3:8" x14ac:dyDescent="0.25">
      <c r="C93" s="93"/>
      <c r="D93" s="93"/>
      <c r="E93" s="93"/>
      <c r="F93" s="93"/>
      <c r="H93" s="93"/>
    </row>
    <row r="94" spans="3:8" x14ac:dyDescent="0.25">
      <c r="C94" s="93"/>
      <c r="D94" s="93"/>
      <c r="E94" s="93"/>
      <c r="F94" s="93"/>
      <c r="H94" s="93"/>
    </row>
    <row r="95" spans="3:8" x14ac:dyDescent="0.25">
      <c r="C95" s="93"/>
      <c r="D95" s="93"/>
      <c r="E95" s="93"/>
      <c r="F95" s="93"/>
      <c r="H95" s="93"/>
    </row>
    <row r="96" spans="3:8" x14ac:dyDescent="0.25">
      <c r="C96" s="93"/>
      <c r="D96" s="93"/>
      <c r="E96" s="93"/>
      <c r="F96" s="93"/>
      <c r="H96" s="93"/>
    </row>
    <row r="97" spans="3:8" x14ac:dyDescent="0.25">
      <c r="C97" s="93"/>
      <c r="D97" s="93"/>
      <c r="E97" s="93"/>
      <c r="F97" s="93"/>
      <c r="H97" s="93"/>
    </row>
    <row r="98" spans="3:8" x14ac:dyDescent="0.25">
      <c r="C98" s="93"/>
      <c r="D98" s="93"/>
      <c r="E98" s="93"/>
      <c r="F98" s="93"/>
      <c r="H98" s="93"/>
    </row>
    <row r="99" spans="3:8" x14ac:dyDescent="0.25">
      <c r="C99" s="93"/>
      <c r="D99" s="93"/>
      <c r="E99" s="93"/>
      <c r="F99" s="93"/>
      <c r="H99" s="93"/>
    </row>
    <row r="100" spans="3:8" x14ac:dyDescent="0.25">
      <c r="C100" s="93"/>
      <c r="D100" s="93"/>
      <c r="E100" s="93"/>
      <c r="F100" s="93"/>
      <c r="H100" s="93"/>
    </row>
    <row r="101" spans="3:8" x14ac:dyDescent="0.25">
      <c r="C101" s="93"/>
      <c r="D101" s="93"/>
      <c r="E101" s="93"/>
      <c r="F101" s="93"/>
      <c r="H101" s="93"/>
    </row>
    <row r="102" spans="3:8" x14ac:dyDescent="0.25">
      <c r="C102" s="93"/>
      <c r="D102" s="93"/>
      <c r="E102" s="93"/>
      <c r="F102" s="93"/>
      <c r="H102" s="93"/>
    </row>
    <row r="103" spans="3:8" x14ac:dyDescent="0.25">
      <c r="C103" s="93"/>
      <c r="D103" s="93"/>
      <c r="E103" s="93"/>
      <c r="F103" s="93"/>
      <c r="H103" s="93"/>
    </row>
    <row r="104" spans="3:8" x14ac:dyDescent="0.25">
      <c r="C104" s="93"/>
      <c r="D104" s="93"/>
      <c r="E104" s="93"/>
      <c r="F104" s="93"/>
      <c r="H104" s="93"/>
    </row>
    <row r="105" spans="3:8" x14ac:dyDescent="0.25">
      <c r="C105" s="93"/>
      <c r="D105" s="93"/>
      <c r="E105" s="93"/>
      <c r="F105" s="93"/>
      <c r="H105" s="93"/>
    </row>
    <row r="106" spans="3:8" x14ac:dyDescent="0.25">
      <c r="C106" s="93"/>
      <c r="D106" s="93"/>
      <c r="E106" s="93"/>
      <c r="F106" s="93"/>
      <c r="H106" s="93"/>
    </row>
    <row r="107" spans="3:8" x14ac:dyDescent="0.25">
      <c r="C107" s="93"/>
      <c r="D107" s="93"/>
      <c r="E107" s="93"/>
      <c r="F107" s="93"/>
      <c r="H107" s="93"/>
    </row>
    <row r="108" spans="3:8" x14ac:dyDescent="0.25">
      <c r="C108" s="93"/>
      <c r="D108" s="93"/>
      <c r="E108" s="93"/>
      <c r="F108" s="93"/>
      <c r="H108" s="93"/>
    </row>
    <row r="109" spans="3:8" x14ac:dyDescent="0.25">
      <c r="C109" s="93"/>
      <c r="D109" s="93"/>
      <c r="E109" s="93"/>
      <c r="F109" s="93"/>
      <c r="H109" s="93"/>
    </row>
    <row r="110" spans="3:8" x14ac:dyDescent="0.25">
      <c r="C110" s="93"/>
      <c r="D110" s="93"/>
      <c r="E110" s="93"/>
      <c r="F110" s="93"/>
      <c r="H110" s="93"/>
    </row>
    <row r="111" spans="3:8" x14ac:dyDescent="0.25">
      <c r="C111" s="93"/>
      <c r="D111" s="93"/>
      <c r="E111" s="93"/>
      <c r="F111" s="93"/>
      <c r="H111" s="93"/>
    </row>
    <row r="112" spans="3:8" x14ac:dyDescent="0.25">
      <c r="C112" s="93"/>
      <c r="D112" s="93"/>
      <c r="E112" s="93"/>
      <c r="F112" s="93"/>
      <c r="H112" s="93"/>
    </row>
    <row r="113" spans="3:8" x14ac:dyDescent="0.25">
      <c r="C113" s="93"/>
      <c r="D113" s="93"/>
      <c r="E113" s="93"/>
      <c r="F113" s="93"/>
      <c r="H113" s="93"/>
    </row>
    <row r="114" spans="3:8" x14ac:dyDescent="0.25">
      <c r="C114" s="93"/>
      <c r="D114" s="93"/>
      <c r="E114" s="93"/>
      <c r="F114" s="93"/>
      <c r="H114" s="93"/>
    </row>
    <row r="115" spans="3:8" x14ac:dyDescent="0.25">
      <c r="C115" s="93"/>
      <c r="D115" s="93"/>
      <c r="E115" s="93"/>
      <c r="F115" s="93"/>
      <c r="H115" s="93"/>
    </row>
    <row r="116" spans="3:8" x14ac:dyDescent="0.25">
      <c r="C116" s="93"/>
      <c r="D116" s="93"/>
      <c r="E116" s="93"/>
      <c r="F116" s="93"/>
      <c r="H116" s="93"/>
    </row>
    <row r="117" spans="3:8" x14ac:dyDescent="0.25">
      <c r="C117" s="93"/>
      <c r="D117" s="93"/>
      <c r="E117" s="93"/>
      <c r="F117" s="93"/>
      <c r="H117" s="93"/>
    </row>
    <row r="118" spans="3:8" x14ac:dyDescent="0.25">
      <c r="C118" s="93"/>
      <c r="D118" s="93"/>
      <c r="E118" s="93"/>
      <c r="F118" s="93"/>
      <c r="H118" s="93"/>
    </row>
    <row r="119" spans="3:8" x14ac:dyDescent="0.25">
      <c r="C119" s="93"/>
      <c r="D119" s="93"/>
      <c r="E119" s="93"/>
      <c r="F119" s="93"/>
      <c r="H119" s="93"/>
    </row>
    <row r="120" spans="3:8" x14ac:dyDescent="0.25">
      <c r="C120" s="93"/>
      <c r="D120" s="93"/>
      <c r="E120" s="93"/>
      <c r="F120" s="93"/>
      <c r="H120" s="93"/>
    </row>
    <row r="121" spans="3:8" x14ac:dyDescent="0.25">
      <c r="C121" s="93"/>
      <c r="D121" s="93"/>
      <c r="E121" s="93"/>
      <c r="F121" s="93"/>
      <c r="H121" s="93"/>
    </row>
    <row r="122" spans="3:8" x14ac:dyDescent="0.25">
      <c r="C122" s="93"/>
      <c r="D122" s="93"/>
      <c r="E122" s="93"/>
      <c r="F122" s="93"/>
      <c r="H122" s="93"/>
    </row>
    <row r="123" spans="3:8" x14ac:dyDescent="0.25">
      <c r="C123" s="93"/>
      <c r="D123" s="93"/>
      <c r="E123" s="93"/>
      <c r="F123" s="93"/>
      <c r="H123" s="93"/>
    </row>
    <row r="124" spans="3:8" x14ac:dyDescent="0.25">
      <c r="C124" s="93"/>
      <c r="D124" s="93"/>
      <c r="E124" s="93"/>
      <c r="F124" s="93"/>
      <c r="H124" s="93"/>
    </row>
    <row r="125" spans="3:8" x14ac:dyDescent="0.25">
      <c r="C125" s="93"/>
      <c r="D125" s="93"/>
      <c r="E125" s="93"/>
      <c r="F125" s="93"/>
      <c r="H125" s="93"/>
    </row>
    <row r="126" spans="3:8" x14ac:dyDescent="0.25">
      <c r="C126" s="93"/>
      <c r="D126" s="93"/>
      <c r="E126" s="93"/>
      <c r="F126" s="93"/>
      <c r="H126" s="93"/>
    </row>
    <row r="127" spans="3:8" x14ac:dyDescent="0.25">
      <c r="C127" s="93"/>
      <c r="D127" s="93"/>
      <c r="E127" s="93"/>
      <c r="F127" s="93"/>
      <c r="H127" s="93"/>
    </row>
    <row r="128" spans="3:8" x14ac:dyDescent="0.25">
      <c r="C128" s="93"/>
      <c r="D128" s="93"/>
      <c r="E128" s="93"/>
      <c r="F128" s="93"/>
      <c r="H128" s="93"/>
    </row>
    <row r="129" spans="3:8" x14ac:dyDescent="0.25">
      <c r="C129" s="93"/>
      <c r="D129" s="93"/>
      <c r="E129" s="93"/>
      <c r="F129" s="93"/>
      <c r="H129" s="93"/>
    </row>
    <row r="130" spans="3:8" x14ac:dyDescent="0.25">
      <c r="C130" s="93"/>
      <c r="D130" s="93"/>
      <c r="E130" s="93"/>
      <c r="F130" s="93"/>
      <c r="H130" s="93"/>
    </row>
    <row r="131" spans="3:8" x14ac:dyDescent="0.25">
      <c r="C131" s="93"/>
      <c r="D131" s="93"/>
      <c r="E131" s="93"/>
      <c r="F131" s="93"/>
      <c r="H131" s="93"/>
    </row>
    <row r="132" spans="3:8" x14ac:dyDescent="0.25">
      <c r="C132" s="93"/>
      <c r="D132" s="93"/>
      <c r="E132" s="93"/>
      <c r="F132" s="93"/>
      <c r="H132" s="93"/>
    </row>
    <row r="133" spans="3:8" x14ac:dyDescent="0.25">
      <c r="C133" s="93"/>
      <c r="D133" s="93"/>
      <c r="E133" s="93"/>
      <c r="F133" s="93"/>
      <c r="H133" s="93"/>
    </row>
    <row r="134" spans="3:8" x14ac:dyDescent="0.25">
      <c r="C134" s="93"/>
      <c r="D134" s="93"/>
      <c r="E134" s="93"/>
      <c r="F134" s="93"/>
      <c r="H134" s="93"/>
    </row>
    <row r="135" spans="3:8" x14ac:dyDescent="0.25">
      <c r="C135" s="93"/>
      <c r="D135" s="93"/>
      <c r="E135" s="93"/>
      <c r="F135" s="93"/>
      <c r="H135" s="93"/>
    </row>
    <row r="136" spans="3:8" x14ac:dyDescent="0.25">
      <c r="C136" s="93"/>
      <c r="D136" s="93"/>
      <c r="E136" s="93"/>
      <c r="F136" s="93"/>
      <c r="H136" s="93"/>
    </row>
    <row r="137" spans="3:8" x14ac:dyDescent="0.25">
      <c r="C137" s="93"/>
      <c r="D137" s="93"/>
      <c r="E137" s="93"/>
      <c r="F137" s="93"/>
      <c r="H137" s="93"/>
    </row>
    <row r="138" spans="3:8" x14ac:dyDescent="0.25">
      <c r="C138" s="93"/>
      <c r="D138" s="93"/>
      <c r="E138" s="93"/>
      <c r="F138" s="93"/>
      <c r="H138" s="93"/>
    </row>
    <row r="139" spans="3:8" x14ac:dyDescent="0.25">
      <c r="C139" s="93"/>
      <c r="D139" s="93"/>
      <c r="E139" s="93"/>
      <c r="F139" s="93"/>
      <c r="H139" s="93"/>
    </row>
    <row r="140" spans="3:8" x14ac:dyDescent="0.25">
      <c r="C140" s="93"/>
      <c r="D140" s="93"/>
      <c r="E140" s="93"/>
      <c r="F140" s="93"/>
      <c r="H140" s="93"/>
    </row>
    <row r="141" spans="3:8" x14ac:dyDescent="0.25">
      <c r="C141" s="93"/>
      <c r="D141" s="93"/>
      <c r="E141" s="93"/>
      <c r="F141" s="93"/>
      <c r="H141" s="93"/>
    </row>
    <row r="142" spans="3:8" x14ac:dyDescent="0.25">
      <c r="C142" s="93"/>
      <c r="D142" s="93"/>
      <c r="E142" s="93"/>
      <c r="F142" s="93"/>
      <c r="H142" s="93"/>
    </row>
    <row r="143" spans="3:8" x14ac:dyDescent="0.25">
      <c r="C143" s="93"/>
      <c r="D143" s="93"/>
      <c r="E143" s="93"/>
      <c r="F143" s="93"/>
      <c r="H143" s="93"/>
    </row>
    <row r="144" spans="3:8" x14ac:dyDescent="0.25">
      <c r="C144" s="93"/>
      <c r="D144" s="93"/>
      <c r="E144" s="93"/>
      <c r="F144" s="93"/>
      <c r="H144" s="93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1"/>
  <sheetViews>
    <sheetView zoomScale="85" zoomScaleNormal="85" workbookViewId="0">
      <pane xSplit="2" ySplit="12" topLeftCell="AJ37" activePane="bottomRight" state="frozen"/>
      <selection activeCell="E62" sqref="E62"/>
      <selection pane="topRight" activeCell="E62" sqref="E62"/>
      <selection pane="bottomLeft" activeCell="E62" sqref="E62"/>
      <selection pane="bottomRight" activeCell="AS53" sqref="AS53"/>
    </sheetView>
  </sheetViews>
  <sheetFormatPr defaultColWidth="9.140625" defaultRowHeight="15" outlineLevelCol="1" x14ac:dyDescent="0.25"/>
  <cols>
    <col min="1" max="1" width="4.5703125" style="94" customWidth="1"/>
    <col min="2" max="2" width="38.7109375" style="94" customWidth="1"/>
    <col min="3" max="3" width="17.28515625" style="94" customWidth="1"/>
    <col min="4" max="4" width="15.28515625" style="94" customWidth="1" outlineLevel="1"/>
    <col min="5" max="5" width="15.28515625" style="94" customWidth="1"/>
    <col min="6" max="6" width="15.28515625" style="94" customWidth="1" outlineLevel="1"/>
    <col min="7" max="7" width="20.7109375" style="94" bestFit="1" customWidth="1" outlineLevel="1"/>
    <col min="8" max="8" width="21.5703125" style="94" bestFit="1" customWidth="1" outlineLevel="1"/>
    <col min="9" max="20" width="15.28515625" style="94" customWidth="1" outlineLevel="1"/>
    <col min="21" max="21" width="19" style="94" bestFit="1" customWidth="1" outlineLevel="1"/>
    <col min="22" max="24" width="15.28515625" style="94" customWidth="1" outlineLevel="1"/>
    <col min="25" max="25" width="19.140625" style="94" bestFit="1" customWidth="1"/>
    <col min="26" max="26" width="19.42578125" style="94" bestFit="1" customWidth="1"/>
    <col min="27" max="27" width="15.28515625" style="94" customWidth="1" outlineLevel="1"/>
    <col min="28" max="28" width="17.140625" style="94" customWidth="1" outlineLevel="1"/>
    <col min="29" max="35" width="15.28515625" style="94" customWidth="1" outlineLevel="1"/>
    <col min="36" max="36" width="17.42578125" style="94" customWidth="1" outlineLevel="1"/>
    <col min="37" max="37" width="15.28515625" style="94" customWidth="1" outlineLevel="1"/>
    <col min="38" max="38" width="17.140625" style="94" customWidth="1" outlineLevel="1"/>
    <col min="39" max="41" width="15.28515625" style="94" customWidth="1" outlineLevel="1"/>
    <col min="42" max="42" width="16.85546875" style="94" customWidth="1" outlineLevel="1"/>
    <col min="43" max="47" width="15.28515625" style="94" customWidth="1" outlineLevel="1"/>
    <col min="48" max="48" width="15.28515625" style="94" customWidth="1"/>
    <col min="49" max="49" width="18.140625" style="94" bestFit="1" customWidth="1"/>
    <col min="50" max="50" width="14.85546875" style="94" bestFit="1" customWidth="1"/>
    <col min="51" max="51" width="19.140625" style="94" bestFit="1" customWidth="1"/>
    <col min="52" max="52" width="14.85546875" style="94" bestFit="1" customWidth="1"/>
    <col min="53" max="53" width="15" style="94" bestFit="1" customWidth="1"/>
    <col min="54" max="54" width="15.85546875" style="94" bestFit="1" customWidth="1"/>
    <col min="55" max="55" width="13.85546875" style="94" bestFit="1" customWidth="1"/>
    <col min="56" max="57" width="15.85546875" style="94" bestFit="1" customWidth="1"/>
    <col min="58" max="58" width="12" style="94" bestFit="1" customWidth="1"/>
    <col min="59" max="16384" width="9.140625" style="94"/>
  </cols>
  <sheetData>
    <row r="1" spans="1:49" x14ac:dyDescent="0.25">
      <c r="A1" s="116" t="s">
        <v>0</v>
      </c>
      <c r="C1" s="116"/>
      <c r="L1" s="117" t="s">
        <v>261</v>
      </c>
      <c r="M1" s="118"/>
      <c r="Y1" s="117" t="s">
        <v>262</v>
      </c>
      <c r="Z1" s="118"/>
      <c r="AA1" s="116"/>
      <c r="AB1" s="116"/>
      <c r="AC1" s="116"/>
      <c r="AD1" s="116"/>
      <c r="AE1" s="116"/>
      <c r="AH1" s="116"/>
      <c r="AI1" s="116"/>
      <c r="AJ1" s="116"/>
      <c r="AK1" s="117" t="s">
        <v>264</v>
      </c>
      <c r="AL1" s="118"/>
      <c r="AM1" s="116"/>
      <c r="AO1" s="116"/>
      <c r="AR1" s="116"/>
      <c r="AS1" s="116"/>
      <c r="AT1" s="116"/>
      <c r="AU1" s="116"/>
      <c r="AV1" s="117" t="s">
        <v>263</v>
      </c>
      <c r="AW1" s="118"/>
    </row>
    <row r="2" spans="1:49" x14ac:dyDescent="0.25">
      <c r="A2" s="116" t="s">
        <v>219</v>
      </c>
      <c r="C2" s="116"/>
      <c r="W2" s="116"/>
      <c r="X2" s="116"/>
      <c r="Z2" s="116"/>
      <c r="AA2" s="116"/>
      <c r="AB2" s="116"/>
      <c r="AC2" s="116"/>
      <c r="AD2" s="116"/>
      <c r="AE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</row>
    <row r="3" spans="1:49" x14ac:dyDescent="0.25">
      <c r="A3" s="116" t="s">
        <v>2</v>
      </c>
      <c r="C3" s="116"/>
    </row>
    <row r="4" spans="1:49" x14ac:dyDescent="0.25">
      <c r="A4" s="116" t="str">
        <f>CASE_GAS</f>
        <v>2019 GENERAL RATE CASE</v>
      </c>
      <c r="C4" s="116"/>
    </row>
    <row r="5" spans="1:49" x14ac:dyDescent="0.25">
      <c r="A5" s="116" t="str">
        <f>TESTYEAR_GAS</f>
        <v>12 MONTHS ENDED DECEMBER 31, 2018</v>
      </c>
      <c r="C5" s="116"/>
      <c r="W5" s="116"/>
      <c r="X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</row>
    <row r="6" spans="1:49" x14ac:dyDescent="0.25">
      <c r="D6" s="119" t="s">
        <v>72</v>
      </c>
      <c r="E6" s="119" t="s">
        <v>72</v>
      </c>
      <c r="F6" s="119" t="s">
        <v>72</v>
      </c>
      <c r="G6" s="119" t="s">
        <v>72</v>
      </c>
      <c r="H6" s="119" t="s">
        <v>72</v>
      </c>
      <c r="I6" s="119" t="s">
        <v>72</v>
      </c>
      <c r="J6" s="119" t="s">
        <v>72</v>
      </c>
      <c r="K6" s="119" t="s">
        <v>72</v>
      </c>
      <c r="L6" s="119" t="s">
        <v>72</v>
      </c>
      <c r="M6" s="119" t="s">
        <v>72</v>
      </c>
      <c r="N6" s="119" t="s">
        <v>72</v>
      </c>
      <c r="O6" s="119" t="s">
        <v>72</v>
      </c>
      <c r="P6" s="119" t="s">
        <v>72</v>
      </c>
      <c r="Q6" s="119" t="s">
        <v>72</v>
      </c>
      <c r="R6" s="119" t="s">
        <v>72</v>
      </c>
      <c r="S6" s="119" t="s">
        <v>72</v>
      </c>
      <c r="T6" s="119" t="s">
        <v>72</v>
      </c>
      <c r="U6" s="119" t="s">
        <v>72</v>
      </c>
      <c r="V6" s="119" t="s">
        <v>72</v>
      </c>
      <c r="W6" s="119" t="s">
        <v>72</v>
      </c>
      <c r="X6" s="119" t="s">
        <v>72</v>
      </c>
      <c r="AA6" s="119" t="s">
        <v>72</v>
      </c>
      <c r="AB6" s="119" t="s">
        <v>72</v>
      </c>
      <c r="AC6" s="119" t="s">
        <v>72</v>
      </c>
      <c r="AD6" s="119" t="s">
        <v>72</v>
      </c>
      <c r="AE6" s="119" t="s">
        <v>72</v>
      </c>
      <c r="AF6" s="119" t="s">
        <v>72</v>
      </c>
      <c r="AG6" s="119" t="s">
        <v>72</v>
      </c>
      <c r="AH6" s="119" t="s">
        <v>72</v>
      </c>
      <c r="AI6" s="119" t="s">
        <v>72</v>
      </c>
      <c r="AJ6" s="119" t="s">
        <v>72</v>
      </c>
      <c r="AK6" s="119" t="s">
        <v>72</v>
      </c>
      <c r="AL6" s="119" t="s">
        <v>72</v>
      </c>
      <c r="AM6" s="119" t="s">
        <v>72</v>
      </c>
      <c r="AN6" s="119" t="s">
        <v>72</v>
      </c>
      <c r="AO6" s="119" t="s">
        <v>72</v>
      </c>
      <c r="AP6" s="119" t="s">
        <v>72</v>
      </c>
      <c r="AQ6" s="119" t="s">
        <v>72</v>
      </c>
      <c r="AR6" s="119" t="s">
        <v>72</v>
      </c>
      <c r="AS6" s="119" t="s">
        <v>72</v>
      </c>
      <c r="AT6" s="120" t="s">
        <v>226</v>
      </c>
      <c r="AU6" s="120" t="s">
        <v>226</v>
      </c>
    </row>
    <row r="7" spans="1:49" x14ac:dyDescent="0.25">
      <c r="D7" s="121" t="s">
        <v>74</v>
      </c>
      <c r="E7" s="121" t="s">
        <v>74</v>
      </c>
      <c r="F7" s="121" t="s">
        <v>74</v>
      </c>
      <c r="G7" s="121" t="s">
        <v>74</v>
      </c>
      <c r="H7" s="121" t="s">
        <v>74</v>
      </c>
      <c r="I7" s="121" t="s">
        <v>74</v>
      </c>
      <c r="J7" s="121" t="s">
        <v>74</v>
      </c>
      <c r="K7" s="121" t="s">
        <v>74</v>
      </c>
      <c r="L7" s="121" t="s">
        <v>74</v>
      </c>
      <c r="M7" s="121" t="s">
        <v>74</v>
      </c>
      <c r="N7" s="121" t="s">
        <v>74</v>
      </c>
      <c r="O7" s="121" t="s">
        <v>74</v>
      </c>
      <c r="P7" s="121" t="s">
        <v>74</v>
      </c>
      <c r="Q7" s="121" t="s">
        <v>74</v>
      </c>
      <c r="R7" s="121" t="s">
        <v>74</v>
      </c>
      <c r="S7" s="121" t="s">
        <v>74</v>
      </c>
      <c r="T7" s="121" t="s">
        <v>74</v>
      </c>
      <c r="U7" s="121" t="s">
        <v>74</v>
      </c>
      <c r="V7" s="121" t="s">
        <v>74</v>
      </c>
      <c r="W7" s="121" t="s">
        <v>74</v>
      </c>
      <c r="X7" s="121" t="s">
        <v>74</v>
      </c>
      <c r="Y7" s="122"/>
      <c r="Z7" s="122"/>
      <c r="AA7" s="121" t="s">
        <v>12</v>
      </c>
      <c r="AB7" s="121" t="s">
        <v>12</v>
      </c>
      <c r="AC7" s="121" t="s">
        <v>12</v>
      </c>
      <c r="AD7" s="121" t="s">
        <v>12</v>
      </c>
      <c r="AE7" s="121" t="s">
        <v>12</v>
      </c>
      <c r="AF7" s="121" t="s">
        <v>12</v>
      </c>
      <c r="AG7" s="121" t="s">
        <v>12</v>
      </c>
      <c r="AH7" s="121" t="s">
        <v>12</v>
      </c>
      <c r="AI7" s="121" t="s">
        <v>12</v>
      </c>
      <c r="AJ7" s="121" t="s">
        <v>12</v>
      </c>
      <c r="AK7" s="121" t="s">
        <v>12</v>
      </c>
      <c r="AL7" s="121" t="s">
        <v>12</v>
      </c>
      <c r="AM7" s="121" t="s">
        <v>12</v>
      </c>
      <c r="AN7" s="121" t="s">
        <v>12</v>
      </c>
      <c r="AO7" s="121" t="s">
        <v>12</v>
      </c>
      <c r="AP7" s="121" t="s">
        <v>12</v>
      </c>
      <c r="AQ7" s="121" t="s">
        <v>12</v>
      </c>
      <c r="AR7" s="121" t="s">
        <v>12</v>
      </c>
      <c r="AS7" s="121" t="s">
        <v>12</v>
      </c>
      <c r="AT7" s="121" t="s">
        <v>12</v>
      </c>
      <c r="AU7" s="121" t="s">
        <v>12</v>
      </c>
    </row>
    <row r="8" spans="1:49" x14ac:dyDescent="0.25">
      <c r="L8" s="94" t="s">
        <v>75</v>
      </c>
      <c r="M8" s="94" t="s">
        <v>75</v>
      </c>
      <c r="U8" s="96"/>
      <c r="AD8" s="94" t="s">
        <v>75</v>
      </c>
      <c r="AE8" s="94" t="s">
        <v>75</v>
      </c>
    </row>
    <row r="9" spans="1:49" ht="15" customHeight="1" x14ac:dyDescent="0.25">
      <c r="C9" s="96" t="s">
        <v>3</v>
      </c>
      <c r="D9" s="123">
        <v>20.010000000000002</v>
      </c>
      <c r="E9" s="123">
        <f>+D9+0.01</f>
        <v>20.020000000000003</v>
      </c>
      <c r="F9" s="123">
        <f>+E9+0.01</f>
        <v>20.030000000000005</v>
      </c>
      <c r="G9" s="123">
        <f t="shared" ref="G9:P9" si="0">+F9+0.01</f>
        <v>20.040000000000006</v>
      </c>
      <c r="H9" s="123">
        <f t="shared" si="0"/>
        <v>20.050000000000008</v>
      </c>
      <c r="I9" s="123">
        <f t="shared" si="0"/>
        <v>20.060000000000009</v>
      </c>
      <c r="J9" s="123">
        <f t="shared" si="0"/>
        <v>20.070000000000011</v>
      </c>
      <c r="K9" s="123">
        <f t="shared" si="0"/>
        <v>20.080000000000013</v>
      </c>
      <c r="L9" s="123">
        <f t="shared" si="0"/>
        <v>20.090000000000014</v>
      </c>
      <c r="M9" s="123">
        <f t="shared" si="0"/>
        <v>20.100000000000016</v>
      </c>
      <c r="N9" s="123">
        <f t="shared" si="0"/>
        <v>20.110000000000017</v>
      </c>
      <c r="O9" s="123">
        <f t="shared" si="0"/>
        <v>20.120000000000019</v>
      </c>
      <c r="P9" s="123">
        <f t="shared" si="0"/>
        <v>20.13000000000002</v>
      </c>
      <c r="Q9" s="123">
        <v>20.14</v>
      </c>
      <c r="R9" s="123">
        <v>20.149999999999999</v>
      </c>
      <c r="S9" s="123">
        <v>20.16</v>
      </c>
      <c r="T9" s="123">
        <v>20.170000000000002</v>
      </c>
      <c r="U9" s="123">
        <v>20.18</v>
      </c>
      <c r="V9" s="123">
        <v>20.190000000000001</v>
      </c>
      <c r="W9" s="123">
        <v>20.23</v>
      </c>
      <c r="X9" s="123">
        <v>20.3</v>
      </c>
      <c r="Y9" s="124" t="s">
        <v>76</v>
      </c>
      <c r="Z9" s="124" t="s">
        <v>4</v>
      </c>
      <c r="AA9" s="125">
        <f>+D9</f>
        <v>20.010000000000002</v>
      </c>
      <c r="AB9" s="125">
        <f>+E9</f>
        <v>20.020000000000003</v>
      </c>
      <c r="AC9" s="125">
        <f>+G9</f>
        <v>20.040000000000006</v>
      </c>
      <c r="AD9" s="125">
        <f>+L9</f>
        <v>20.090000000000014</v>
      </c>
      <c r="AE9" s="125">
        <f>+M9</f>
        <v>20.100000000000016</v>
      </c>
      <c r="AF9" s="125">
        <v>20.14</v>
      </c>
      <c r="AG9" s="125">
        <f>+AF9+0.01</f>
        <v>20.150000000000002</v>
      </c>
      <c r="AH9" s="125">
        <f>+AG9+0.01</f>
        <v>20.160000000000004</v>
      </c>
      <c r="AI9" s="125">
        <f>+AH9+0.01</f>
        <v>20.170000000000005</v>
      </c>
      <c r="AJ9" s="125">
        <v>20.2</v>
      </c>
      <c r="AK9" s="125">
        <f>+AJ9+0.01</f>
        <v>20.21</v>
      </c>
      <c r="AL9" s="125">
        <f t="shared" ref="AL9:AS9" si="1">+AK9+0.01</f>
        <v>20.220000000000002</v>
      </c>
      <c r="AM9" s="125">
        <f t="shared" si="1"/>
        <v>20.230000000000004</v>
      </c>
      <c r="AN9" s="125">
        <f t="shared" si="1"/>
        <v>20.240000000000006</v>
      </c>
      <c r="AO9" s="125">
        <f t="shared" si="1"/>
        <v>20.250000000000007</v>
      </c>
      <c r="AP9" s="125">
        <f t="shared" si="1"/>
        <v>20.260000000000009</v>
      </c>
      <c r="AQ9" s="125">
        <f t="shared" si="1"/>
        <v>20.27000000000001</v>
      </c>
      <c r="AR9" s="125">
        <f t="shared" si="1"/>
        <v>20.280000000000012</v>
      </c>
      <c r="AS9" s="125">
        <f t="shared" si="1"/>
        <v>20.290000000000013</v>
      </c>
      <c r="AT9" s="125" t="s">
        <v>227</v>
      </c>
      <c r="AU9" s="125" t="s">
        <v>228</v>
      </c>
      <c r="AV9" s="126" t="s">
        <v>76</v>
      </c>
      <c r="AW9" s="126" t="s">
        <v>229</v>
      </c>
    </row>
    <row r="10" spans="1:49" ht="15" customHeight="1" x14ac:dyDescent="0.25">
      <c r="A10" s="96" t="s">
        <v>8</v>
      </c>
      <c r="B10" s="96" t="s">
        <v>9</v>
      </c>
      <c r="C10" s="96" t="s">
        <v>10</v>
      </c>
      <c r="D10" s="96" t="s">
        <v>77</v>
      </c>
      <c r="E10" s="96" t="s">
        <v>78</v>
      </c>
      <c r="F10" s="96" t="s">
        <v>79</v>
      </c>
      <c r="G10" s="96" t="s">
        <v>80</v>
      </c>
      <c r="H10" s="96" t="s">
        <v>81</v>
      </c>
      <c r="I10" s="96" t="s">
        <v>82</v>
      </c>
      <c r="J10" s="127" t="s">
        <v>83</v>
      </c>
      <c r="K10" s="96" t="s">
        <v>84</v>
      </c>
      <c r="L10" s="96" t="s">
        <v>85</v>
      </c>
      <c r="M10" s="96" t="s">
        <v>86</v>
      </c>
      <c r="N10" s="96" t="s">
        <v>230</v>
      </c>
      <c r="O10" s="96" t="s">
        <v>88</v>
      </c>
      <c r="P10" s="96" t="s">
        <v>89</v>
      </c>
      <c r="Q10" s="96" t="s">
        <v>231</v>
      </c>
      <c r="R10" s="96" t="s">
        <v>91</v>
      </c>
      <c r="S10" s="96" t="s">
        <v>92</v>
      </c>
      <c r="T10" s="96" t="s">
        <v>232</v>
      </c>
      <c r="U10" s="96" t="s">
        <v>94</v>
      </c>
      <c r="V10" s="96" t="s">
        <v>94</v>
      </c>
      <c r="W10" s="96" t="s">
        <v>95</v>
      </c>
      <c r="X10" s="41" t="s">
        <v>96</v>
      </c>
      <c r="Y10" s="128" t="s">
        <v>74</v>
      </c>
      <c r="Z10" s="128" t="s">
        <v>10</v>
      </c>
      <c r="AA10" s="96" t="s">
        <v>77</v>
      </c>
      <c r="AB10" s="96" t="s">
        <v>78</v>
      </c>
      <c r="AC10" s="96" t="s">
        <v>233</v>
      </c>
      <c r="AD10" s="96" t="s">
        <v>85</v>
      </c>
      <c r="AE10" s="96" t="s">
        <v>86</v>
      </c>
      <c r="AF10" s="96" t="s">
        <v>104</v>
      </c>
      <c r="AG10" s="96" t="s">
        <v>105</v>
      </c>
      <c r="AH10" s="96" t="s">
        <v>92</v>
      </c>
      <c r="AI10" s="96" t="s">
        <v>93</v>
      </c>
      <c r="AJ10" s="96" t="s">
        <v>234</v>
      </c>
      <c r="AK10" s="96" t="s">
        <v>107</v>
      </c>
      <c r="AL10" s="41"/>
      <c r="AM10" s="96" t="s">
        <v>95</v>
      </c>
      <c r="AN10" s="96"/>
      <c r="AO10" s="96" t="s">
        <v>110</v>
      </c>
      <c r="AP10" s="96" t="s">
        <v>111</v>
      </c>
      <c r="AQ10" s="96" t="s">
        <v>112</v>
      </c>
      <c r="AR10" s="96" t="s">
        <v>113</v>
      </c>
      <c r="AS10" s="96"/>
      <c r="AT10" s="96" t="s">
        <v>115</v>
      </c>
      <c r="AU10" s="96" t="s">
        <v>235</v>
      </c>
      <c r="AV10" s="128" t="s">
        <v>119</v>
      </c>
      <c r="AW10" s="128" t="s">
        <v>10</v>
      </c>
    </row>
    <row r="11" spans="1:49" ht="15" customHeight="1" x14ac:dyDescent="0.25">
      <c r="A11" s="96" t="s">
        <v>15</v>
      </c>
      <c r="C11" s="96" t="s">
        <v>16</v>
      </c>
      <c r="D11" s="96" t="s">
        <v>120</v>
      </c>
      <c r="E11" s="96" t="s">
        <v>121</v>
      </c>
      <c r="F11" s="129" t="s">
        <v>122</v>
      </c>
      <c r="G11" s="129" t="s">
        <v>123</v>
      </c>
      <c r="H11" s="96" t="s">
        <v>124</v>
      </c>
      <c r="I11" s="96" t="s">
        <v>125</v>
      </c>
      <c r="J11" s="127" t="s">
        <v>126</v>
      </c>
      <c r="K11" s="96" t="s">
        <v>127</v>
      </c>
      <c r="L11" s="129" t="s">
        <v>128</v>
      </c>
      <c r="M11" s="129" t="s">
        <v>129</v>
      </c>
      <c r="N11" s="129" t="s">
        <v>236</v>
      </c>
      <c r="O11" s="96" t="s">
        <v>131</v>
      </c>
      <c r="P11" s="96" t="s">
        <v>132</v>
      </c>
      <c r="Q11" s="96" t="s">
        <v>237</v>
      </c>
      <c r="R11" s="96" t="s">
        <v>134</v>
      </c>
      <c r="S11" s="96" t="s">
        <v>132</v>
      </c>
      <c r="T11" s="96" t="s">
        <v>129</v>
      </c>
      <c r="U11" s="96" t="s">
        <v>136</v>
      </c>
      <c r="V11" s="96" t="s">
        <v>47</v>
      </c>
      <c r="W11" s="96" t="s">
        <v>137</v>
      </c>
      <c r="X11" s="41" t="s">
        <v>138</v>
      </c>
      <c r="Y11" s="128" t="s">
        <v>17</v>
      </c>
      <c r="Z11" s="128" t="s">
        <v>18</v>
      </c>
      <c r="AA11" s="96" t="s">
        <v>120</v>
      </c>
      <c r="AB11" s="96" t="s">
        <v>121</v>
      </c>
      <c r="AC11" s="129" t="s">
        <v>238</v>
      </c>
      <c r="AD11" s="129" t="s">
        <v>128</v>
      </c>
      <c r="AE11" s="129" t="s">
        <v>129</v>
      </c>
      <c r="AF11" s="130" t="s">
        <v>145</v>
      </c>
      <c r="AG11" s="96" t="s">
        <v>146</v>
      </c>
      <c r="AH11" s="96" t="s">
        <v>132</v>
      </c>
      <c r="AI11" s="96" t="s">
        <v>129</v>
      </c>
      <c r="AJ11" s="96" t="s">
        <v>147</v>
      </c>
      <c r="AK11" s="96" t="s">
        <v>148</v>
      </c>
      <c r="AL11" s="96" t="s">
        <v>108</v>
      </c>
      <c r="AM11" s="96" t="s">
        <v>137</v>
      </c>
      <c r="AN11" s="96" t="s">
        <v>239</v>
      </c>
      <c r="AO11" s="96" t="s">
        <v>150</v>
      </c>
      <c r="AP11" s="96" t="s">
        <v>151</v>
      </c>
      <c r="AQ11" s="96" t="s">
        <v>152</v>
      </c>
      <c r="AR11" s="96" t="s">
        <v>153</v>
      </c>
      <c r="AS11" s="96" t="s">
        <v>240</v>
      </c>
      <c r="AT11" s="96" t="s">
        <v>241</v>
      </c>
      <c r="AU11" s="96" t="s">
        <v>242</v>
      </c>
      <c r="AV11" s="128" t="s">
        <v>17</v>
      </c>
      <c r="AW11" s="128" t="s">
        <v>18</v>
      </c>
    </row>
    <row r="12" spans="1:49" x14ac:dyDescent="0.25">
      <c r="C12" s="101" t="s">
        <v>20</v>
      </c>
      <c r="D12" s="95" t="s">
        <v>21</v>
      </c>
      <c r="E12" s="95" t="s">
        <v>161</v>
      </c>
      <c r="F12" s="95" t="s">
        <v>23</v>
      </c>
      <c r="G12" s="95" t="s">
        <v>162</v>
      </c>
      <c r="H12" s="95" t="s">
        <v>25</v>
      </c>
      <c r="I12" s="95" t="s">
        <v>163</v>
      </c>
      <c r="J12" s="95" t="s">
        <v>164</v>
      </c>
      <c r="K12" s="95" t="s">
        <v>165</v>
      </c>
      <c r="L12" s="95" t="s">
        <v>166</v>
      </c>
      <c r="M12" s="95" t="s">
        <v>167</v>
      </c>
      <c r="N12" s="95" t="s">
        <v>168</v>
      </c>
      <c r="O12" s="95" t="s">
        <v>169</v>
      </c>
      <c r="P12" s="95" t="s">
        <v>170</v>
      </c>
      <c r="Q12" s="95" t="s">
        <v>171</v>
      </c>
      <c r="R12" s="95" t="s">
        <v>172</v>
      </c>
      <c r="S12" s="95" t="s">
        <v>173</v>
      </c>
      <c r="T12" s="95" t="s">
        <v>243</v>
      </c>
      <c r="U12" s="95" t="s">
        <v>244</v>
      </c>
      <c r="V12" s="95" t="s">
        <v>245</v>
      </c>
      <c r="W12" s="95" t="s">
        <v>177</v>
      </c>
      <c r="X12" s="95"/>
      <c r="Y12" s="131" t="s">
        <v>246</v>
      </c>
      <c r="Z12" s="131" t="s">
        <v>247</v>
      </c>
      <c r="AA12" s="95" t="s">
        <v>180</v>
      </c>
      <c r="AB12" s="95" t="s">
        <v>181</v>
      </c>
      <c r="AC12" s="95" t="s">
        <v>182</v>
      </c>
      <c r="AD12" s="95" t="s">
        <v>183</v>
      </c>
      <c r="AE12" s="95" t="s">
        <v>184</v>
      </c>
      <c r="AF12" s="95" t="s">
        <v>185</v>
      </c>
      <c r="AG12" s="95" t="s">
        <v>188</v>
      </c>
      <c r="AH12" s="95" t="s">
        <v>248</v>
      </c>
      <c r="AI12" s="95" t="s">
        <v>189</v>
      </c>
      <c r="AJ12" s="95" t="s">
        <v>190</v>
      </c>
      <c r="AK12" s="95" t="s">
        <v>191</v>
      </c>
      <c r="AL12" s="95" t="s">
        <v>192</v>
      </c>
      <c r="AM12" s="95" t="s">
        <v>193</v>
      </c>
      <c r="AN12" s="95" t="s">
        <v>194</v>
      </c>
      <c r="AO12" s="95" t="s">
        <v>195</v>
      </c>
      <c r="AP12" s="95" t="s">
        <v>196</v>
      </c>
      <c r="AQ12" s="95" t="s">
        <v>197</v>
      </c>
      <c r="AR12" s="95" t="s">
        <v>198</v>
      </c>
      <c r="AS12" s="95" t="s">
        <v>199</v>
      </c>
      <c r="AT12" s="95" t="s">
        <v>200</v>
      </c>
      <c r="AU12" s="95" t="s">
        <v>201</v>
      </c>
      <c r="AV12" s="131" t="s">
        <v>249</v>
      </c>
      <c r="AW12" s="131" t="s">
        <v>250</v>
      </c>
    </row>
    <row r="13" spans="1:49" s="2" customFormat="1" x14ac:dyDescent="0.25">
      <c r="A13" s="101">
        <v>1</v>
      </c>
      <c r="B13" s="102" t="s">
        <v>27</v>
      </c>
      <c r="Y13" s="132"/>
      <c r="Z13" s="132"/>
      <c r="AU13" s="15"/>
      <c r="AV13" s="132"/>
      <c r="AW13" s="132"/>
    </row>
    <row r="14" spans="1:49" s="2" customFormat="1" x14ac:dyDescent="0.25">
      <c r="A14" s="101">
        <f t="shared" ref="A14:A62" si="2">A13+1</f>
        <v>2</v>
      </c>
      <c r="B14" s="102" t="s">
        <v>28</v>
      </c>
      <c r="C14" s="103">
        <f>+'[4]Allocated (CBR)'!$C$9</f>
        <v>876657675.66999984</v>
      </c>
      <c r="D14" s="103">
        <f>+'[3]Common Adj'!F20</f>
        <v>-45678173.786802821</v>
      </c>
      <c r="E14" s="103">
        <f>'[3]Common Adj'!N19</f>
        <v>42375.32993</v>
      </c>
      <c r="F14" s="103"/>
      <c r="G14" s="103"/>
      <c r="H14" s="103">
        <f>SUM('[3]Common Adj'!AL14:AL18,'[3]Common Adj'!AL20,'[3]Common Adj'!AL22)</f>
        <v>-105836055.77958143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33">
        <f>SUM(D14:X14)</f>
        <v>-151471854.23645425</v>
      </c>
      <c r="Z14" s="133">
        <f>+Y14+C14</f>
        <v>725185821.43354559</v>
      </c>
      <c r="AA14" s="103">
        <f>'[3]Common Adj'!H20</f>
        <v>50971.28</v>
      </c>
      <c r="AB14" s="103">
        <f>+'[3]Common Adj'!P19</f>
        <v>35122048.636059888</v>
      </c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>
        <f>'[3]Gas Adj'!Q15</f>
        <v>-6980521.1700718822</v>
      </c>
      <c r="AV14" s="133">
        <f>SUM(AA14:AU14)</f>
        <v>28192498.745988008</v>
      </c>
      <c r="AW14" s="133">
        <f>+AV14+Z14</f>
        <v>753378320.1795336</v>
      </c>
    </row>
    <row r="15" spans="1:49" s="2" customFormat="1" x14ac:dyDescent="0.25">
      <c r="A15" s="101">
        <f t="shared" si="2"/>
        <v>3</v>
      </c>
      <c r="B15" s="102" t="s">
        <v>220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34">
        <f>SUM(D15:X15)</f>
        <v>0</v>
      </c>
      <c r="Z15" s="134">
        <f>+Y15+C15</f>
        <v>0</v>
      </c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34">
        <f>SUM(AA15:AU15)</f>
        <v>0</v>
      </c>
      <c r="AW15" s="134">
        <f>+AV15+Z15</f>
        <v>0</v>
      </c>
    </row>
    <row r="16" spans="1:49" s="2" customFormat="1" x14ac:dyDescent="0.25">
      <c r="A16" s="101">
        <f t="shared" si="2"/>
        <v>4</v>
      </c>
      <c r="B16" s="102" t="s">
        <v>31</v>
      </c>
      <c r="C16" s="104">
        <f>+'[4]Allocated (CBR)'!$C$12</f>
        <v>-25909998.579999998</v>
      </c>
      <c r="D16" s="104">
        <f>+'[3]Common Adj'!F29</f>
        <v>2691478.5600000005</v>
      </c>
      <c r="E16" s="104"/>
      <c r="F16" s="104"/>
      <c r="G16" s="104"/>
      <c r="H16" s="104">
        <f>SUM('[3]Common Adj'!AL19,'[3]Common Adj'!AL21,'[3]Common Adj'!AL23:AL24)</f>
        <v>43423782.999999993</v>
      </c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34">
        <f>SUM(D16:X16)</f>
        <v>46115261.559999995</v>
      </c>
      <c r="Z16" s="134">
        <f>+Y16+C16</f>
        <v>20205262.979999997</v>
      </c>
      <c r="AA16" s="104">
        <f>+'[3]Common Adj'!H29</f>
        <v>-9854969.0099999998</v>
      </c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34">
        <f>SUM(AA16:AU16)</f>
        <v>-9854969.0099999998</v>
      </c>
      <c r="AW16" s="134">
        <f>+AV16+Z16</f>
        <v>10350293.969999997</v>
      </c>
    </row>
    <row r="17" spans="1:58" s="2" customFormat="1" x14ac:dyDescent="0.25">
      <c r="A17" s="101">
        <f t="shared" si="2"/>
        <v>5</v>
      </c>
      <c r="B17" s="102" t="s">
        <v>32</v>
      </c>
      <c r="C17" s="11">
        <f t="shared" ref="C17:AW17" si="3">SUM(C14:C16)</f>
        <v>850747677.08999979</v>
      </c>
      <c r="D17" s="11">
        <f t="shared" si="3"/>
        <v>-42986695.226802818</v>
      </c>
      <c r="E17" s="11">
        <f>SUM(E14:E16)</f>
        <v>42375.32993</v>
      </c>
      <c r="F17" s="11">
        <f t="shared" si="3"/>
        <v>0</v>
      </c>
      <c r="G17" s="11">
        <f t="shared" si="3"/>
        <v>0</v>
      </c>
      <c r="H17" s="11">
        <f t="shared" si="3"/>
        <v>-62412272.779581435</v>
      </c>
      <c r="I17" s="11">
        <f t="shared" si="3"/>
        <v>0</v>
      </c>
      <c r="J17" s="11">
        <f t="shared" si="3"/>
        <v>0</v>
      </c>
      <c r="K17" s="11">
        <f t="shared" si="3"/>
        <v>0</v>
      </c>
      <c r="L17" s="11">
        <f t="shared" si="3"/>
        <v>0</v>
      </c>
      <c r="M17" s="11">
        <f t="shared" si="3"/>
        <v>0</v>
      </c>
      <c r="N17" s="11">
        <f t="shared" si="3"/>
        <v>0</v>
      </c>
      <c r="O17" s="11">
        <f t="shared" si="3"/>
        <v>0</v>
      </c>
      <c r="P17" s="11">
        <f t="shared" si="3"/>
        <v>0</v>
      </c>
      <c r="Q17" s="11">
        <f t="shared" si="3"/>
        <v>0</v>
      </c>
      <c r="R17" s="11">
        <f t="shared" si="3"/>
        <v>0</v>
      </c>
      <c r="S17" s="11">
        <f t="shared" si="3"/>
        <v>0</v>
      </c>
      <c r="T17" s="11">
        <f t="shared" si="3"/>
        <v>0</v>
      </c>
      <c r="U17" s="11">
        <f t="shared" si="3"/>
        <v>0</v>
      </c>
      <c r="V17" s="11">
        <f t="shared" si="3"/>
        <v>0</v>
      </c>
      <c r="W17" s="11">
        <f t="shared" si="3"/>
        <v>0</v>
      </c>
      <c r="X17" s="11">
        <f t="shared" si="3"/>
        <v>0</v>
      </c>
      <c r="Y17" s="135">
        <f t="shared" si="3"/>
        <v>-105356592.67645425</v>
      </c>
      <c r="Z17" s="135">
        <f t="shared" si="3"/>
        <v>745391084.41354561</v>
      </c>
      <c r="AA17" s="11">
        <f t="shared" si="3"/>
        <v>-9803997.7300000004</v>
      </c>
      <c r="AB17" s="11">
        <f>SUM(AB14:AB16)</f>
        <v>35122048.636059888</v>
      </c>
      <c r="AC17" s="11">
        <f t="shared" si="3"/>
        <v>0</v>
      </c>
      <c r="AD17" s="11">
        <f t="shared" si="3"/>
        <v>0</v>
      </c>
      <c r="AE17" s="11">
        <f t="shared" si="3"/>
        <v>0</v>
      </c>
      <c r="AF17" s="11">
        <f t="shared" si="3"/>
        <v>0</v>
      </c>
      <c r="AG17" s="11">
        <f t="shared" si="3"/>
        <v>0</v>
      </c>
      <c r="AH17" s="11">
        <f t="shared" si="3"/>
        <v>0</v>
      </c>
      <c r="AI17" s="11">
        <f t="shared" si="3"/>
        <v>0</v>
      </c>
      <c r="AJ17" s="11">
        <f>SUM(AJ14:AJ16)</f>
        <v>0</v>
      </c>
      <c r="AK17" s="11">
        <f t="shared" si="3"/>
        <v>0</v>
      </c>
      <c r="AL17" s="11">
        <f t="shared" si="3"/>
        <v>0</v>
      </c>
      <c r="AM17" s="11">
        <f t="shared" si="3"/>
        <v>0</v>
      </c>
      <c r="AN17" s="11">
        <f t="shared" si="3"/>
        <v>0</v>
      </c>
      <c r="AO17" s="11">
        <f t="shared" si="3"/>
        <v>0</v>
      </c>
      <c r="AP17" s="11">
        <f t="shared" si="3"/>
        <v>0</v>
      </c>
      <c r="AQ17" s="11">
        <f t="shared" si="3"/>
        <v>0</v>
      </c>
      <c r="AR17" s="11">
        <f t="shared" si="3"/>
        <v>0</v>
      </c>
      <c r="AS17" s="11">
        <f t="shared" si="3"/>
        <v>0</v>
      </c>
      <c r="AT17" s="11">
        <f t="shared" si="3"/>
        <v>0</v>
      </c>
      <c r="AU17" s="11">
        <f t="shared" si="3"/>
        <v>-6980521.1700718822</v>
      </c>
      <c r="AV17" s="135">
        <f t="shared" si="3"/>
        <v>18337529.735988006</v>
      </c>
      <c r="AW17" s="135">
        <f t="shared" si="3"/>
        <v>763728614.14953363</v>
      </c>
    </row>
    <row r="18" spans="1:58" s="136" customFormat="1" x14ac:dyDescent="0.25">
      <c r="A18" s="101">
        <f t="shared" si="2"/>
        <v>6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34"/>
      <c r="Z18" s="13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34"/>
      <c r="AW18" s="134"/>
      <c r="AX18" s="2"/>
      <c r="AY18" s="2"/>
      <c r="AZ18" s="2"/>
      <c r="BA18" s="2"/>
      <c r="BB18" s="2"/>
      <c r="BC18" s="2"/>
      <c r="BD18" s="2"/>
      <c r="BE18" s="2"/>
      <c r="BF18" s="2"/>
    </row>
    <row r="19" spans="1:58" s="2" customFormat="1" x14ac:dyDescent="0.25">
      <c r="A19" s="101">
        <f t="shared" si="2"/>
        <v>7</v>
      </c>
      <c r="B19" s="102" t="s">
        <v>33</v>
      </c>
      <c r="Y19" s="132"/>
      <c r="Z19" s="132"/>
      <c r="AV19" s="132"/>
      <c r="AW19" s="132"/>
    </row>
    <row r="20" spans="1:58" s="2" customFormat="1" x14ac:dyDescent="0.25">
      <c r="A20" s="101">
        <f t="shared" si="2"/>
        <v>8</v>
      </c>
      <c r="B20" s="106"/>
      <c r="Y20" s="132"/>
      <c r="Z20" s="132"/>
      <c r="AV20" s="132"/>
      <c r="AW20" s="132"/>
    </row>
    <row r="21" spans="1:58" s="2" customFormat="1" x14ac:dyDescent="0.25">
      <c r="A21" s="101">
        <f t="shared" si="2"/>
        <v>9</v>
      </c>
      <c r="B21" s="102" t="s">
        <v>221</v>
      </c>
      <c r="C21" s="103"/>
      <c r="Y21" s="132"/>
      <c r="Z21" s="132"/>
      <c r="AV21" s="132"/>
      <c r="AW21" s="132"/>
    </row>
    <row r="22" spans="1:58" s="2" customFormat="1" x14ac:dyDescent="0.25">
      <c r="A22" s="101">
        <f t="shared" si="2"/>
        <v>10</v>
      </c>
      <c r="B22" s="10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37">
        <f>SUM(D22:X22)</f>
        <v>0</v>
      </c>
      <c r="Z22" s="137">
        <f>+Y22+C22</f>
        <v>0</v>
      </c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37">
        <f>SUM(AA22:AU22)</f>
        <v>0</v>
      </c>
      <c r="AW22" s="137">
        <f>+AV22+Z22</f>
        <v>0</v>
      </c>
    </row>
    <row r="23" spans="1:58" s="2" customFormat="1" x14ac:dyDescent="0.25">
      <c r="A23" s="101">
        <f t="shared" si="2"/>
        <v>11</v>
      </c>
      <c r="B23" s="102" t="s">
        <v>222</v>
      </c>
      <c r="C23" s="15">
        <f>+'[4]Allocated (CBR)'!$C$19</f>
        <v>296699052.05999887</v>
      </c>
      <c r="D23" s="104">
        <f>+'[3]Common Adj'!F36</f>
        <v>-42859497.28055793</v>
      </c>
      <c r="E23" s="104"/>
      <c r="F23" s="104"/>
      <c r="G23" s="104"/>
      <c r="H23" s="104">
        <f>'[3]Common Adj'!AL37+'[3]Common Adj'!AL38</f>
        <v>23490295.960000001</v>
      </c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34">
        <f>SUM(D23:X23)</f>
        <v>-19369201.32055793</v>
      </c>
      <c r="Z23" s="134">
        <f>+Y23+C23</f>
        <v>277329850.73944092</v>
      </c>
      <c r="AA23" s="104"/>
      <c r="AB23" s="104">
        <f>+'[3]Common Adj'!P21</f>
        <v>16597941.863749802</v>
      </c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34">
        <f>SUM(AA23:AU23)</f>
        <v>16597941.863749802</v>
      </c>
      <c r="AW23" s="134">
        <f>+AV23+Z23</f>
        <v>293927792.60319072</v>
      </c>
    </row>
    <row r="24" spans="1:58" s="2" customFormat="1" x14ac:dyDescent="0.25">
      <c r="A24" s="101">
        <f t="shared" si="2"/>
        <v>12</v>
      </c>
      <c r="B24" s="106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34">
        <f>SUM(D24:X24)</f>
        <v>0</v>
      </c>
      <c r="Z24" s="134">
        <f>+Y24+C24</f>
        <v>0</v>
      </c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34">
        <f>SUM(AA24:AU24)</f>
        <v>0</v>
      </c>
      <c r="AW24" s="134">
        <f>+AV24+Z24</f>
        <v>0</v>
      </c>
    </row>
    <row r="25" spans="1:58" s="2" customFormat="1" x14ac:dyDescent="0.25">
      <c r="A25" s="101">
        <f t="shared" si="2"/>
        <v>13</v>
      </c>
      <c r="B25" s="102" t="s">
        <v>39</v>
      </c>
      <c r="C25" s="18">
        <f t="shared" ref="C25:AW25" si="4">SUM(C21:C24)</f>
        <v>296699052.05999887</v>
      </c>
      <c r="D25" s="18">
        <f t="shared" si="4"/>
        <v>-42859497.28055793</v>
      </c>
      <c r="E25" s="18">
        <f>SUM(E21:E24)</f>
        <v>0</v>
      </c>
      <c r="F25" s="18">
        <f t="shared" si="4"/>
        <v>0</v>
      </c>
      <c r="G25" s="18">
        <f t="shared" si="4"/>
        <v>0</v>
      </c>
      <c r="H25" s="18">
        <f t="shared" si="4"/>
        <v>23490295.960000001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8">
        <f t="shared" si="4"/>
        <v>0</v>
      </c>
      <c r="P25" s="18">
        <f t="shared" si="4"/>
        <v>0</v>
      </c>
      <c r="Q25" s="18">
        <f t="shared" si="4"/>
        <v>0</v>
      </c>
      <c r="R25" s="18">
        <f t="shared" si="4"/>
        <v>0</v>
      </c>
      <c r="S25" s="18">
        <f t="shared" si="4"/>
        <v>0</v>
      </c>
      <c r="T25" s="18">
        <f t="shared" si="4"/>
        <v>0</v>
      </c>
      <c r="U25" s="18">
        <f t="shared" si="4"/>
        <v>0</v>
      </c>
      <c r="V25" s="18">
        <f t="shared" si="4"/>
        <v>0</v>
      </c>
      <c r="W25" s="18">
        <f t="shared" si="4"/>
        <v>0</v>
      </c>
      <c r="X25" s="18">
        <f t="shared" si="4"/>
        <v>0</v>
      </c>
      <c r="Y25" s="138">
        <f t="shared" si="4"/>
        <v>-19369201.32055793</v>
      </c>
      <c r="Z25" s="138">
        <f t="shared" si="4"/>
        <v>277329850.73944092</v>
      </c>
      <c r="AA25" s="18">
        <f t="shared" si="4"/>
        <v>0</v>
      </c>
      <c r="AB25" s="18">
        <f>SUM(AB21:AB24)</f>
        <v>16597941.863749802</v>
      </c>
      <c r="AC25" s="18">
        <f t="shared" si="4"/>
        <v>0</v>
      </c>
      <c r="AD25" s="18">
        <f t="shared" si="4"/>
        <v>0</v>
      </c>
      <c r="AE25" s="18">
        <f t="shared" si="4"/>
        <v>0</v>
      </c>
      <c r="AF25" s="18">
        <f t="shared" si="4"/>
        <v>0</v>
      </c>
      <c r="AG25" s="18">
        <f t="shared" si="4"/>
        <v>0</v>
      </c>
      <c r="AH25" s="18">
        <f t="shared" si="4"/>
        <v>0</v>
      </c>
      <c r="AI25" s="18">
        <f t="shared" si="4"/>
        <v>0</v>
      </c>
      <c r="AJ25" s="18">
        <f>SUM(AJ21:AJ24)</f>
        <v>0</v>
      </c>
      <c r="AK25" s="18">
        <f t="shared" si="4"/>
        <v>0</v>
      </c>
      <c r="AL25" s="18">
        <f t="shared" si="4"/>
        <v>0</v>
      </c>
      <c r="AM25" s="18">
        <f t="shared" si="4"/>
        <v>0</v>
      </c>
      <c r="AN25" s="18">
        <f t="shared" si="4"/>
        <v>0</v>
      </c>
      <c r="AO25" s="18">
        <f t="shared" si="4"/>
        <v>0</v>
      </c>
      <c r="AP25" s="18">
        <f t="shared" si="4"/>
        <v>0</v>
      </c>
      <c r="AQ25" s="18">
        <f t="shared" si="4"/>
        <v>0</v>
      </c>
      <c r="AR25" s="18">
        <f t="shared" si="4"/>
        <v>0</v>
      </c>
      <c r="AS25" s="18">
        <f t="shared" si="4"/>
        <v>0</v>
      </c>
      <c r="AT25" s="18"/>
      <c r="AU25" s="18">
        <f t="shared" si="4"/>
        <v>0</v>
      </c>
      <c r="AV25" s="138">
        <f t="shared" si="4"/>
        <v>16597941.863749802</v>
      </c>
      <c r="AW25" s="138">
        <f t="shared" si="4"/>
        <v>293927792.60319072</v>
      </c>
    </row>
    <row r="26" spans="1:58" s="2" customFormat="1" x14ac:dyDescent="0.25">
      <c r="A26" s="101">
        <f t="shared" si="2"/>
        <v>14</v>
      </c>
      <c r="B26" s="10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37"/>
      <c r="Z26" s="137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37"/>
      <c r="AW26" s="137"/>
    </row>
    <row r="27" spans="1:58" s="2" customFormat="1" x14ac:dyDescent="0.25">
      <c r="A27" s="101">
        <f t="shared" si="2"/>
        <v>15</v>
      </c>
      <c r="B27" s="108" t="s">
        <v>40</v>
      </c>
      <c r="C27" s="15">
        <f>+'[4]Allocated (CBR)'!C24</f>
        <v>6042805.129999999</v>
      </c>
      <c r="D27" s="15"/>
      <c r="E27" s="15"/>
      <c r="F27" s="15"/>
      <c r="G27" s="15"/>
      <c r="H27" s="15"/>
      <c r="I27" s="15"/>
      <c r="J27" s="15"/>
      <c r="K27" s="15">
        <f>'[3]Common Adj'!BK16+'[3]Common Adj'!BK17+'[3]Common Adj'!BK15</f>
        <v>12295.3407060155</v>
      </c>
      <c r="L27" s="15"/>
      <c r="M27" s="15"/>
      <c r="N27" s="15"/>
      <c r="O27" s="15"/>
      <c r="P27" s="15"/>
      <c r="Q27" s="15"/>
      <c r="R27" s="104">
        <f>+'[3]Common Adj'!DO15+'[3]Common Adj'!DO16+'[3]Common Adj'!DO17</f>
        <v>6288.3906926487689</v>
      </c>
      <c r="S27" s="15"/>
      <c r="T27" s="15"/>
      <c r="U27" s="15"/>
      <c r="V27" s="15"/>
      <c r="W27" s="15"/>
      <c r="X27" s="15"/>
      <c r="Y27" s="134">
        <f t="shared" ref="Y27:Y41" si="5">SUM(D27:X27)</f>
        <v>18583.731398664269</v>
      </c>
      <c r="Z27" s="137">
        <f t="shared" ref="Z27:Z41" si="6">+Y27+C27</f>
        <v>6061388.8613986634</v>
      </c>
      <c r="AA27" s="15"/>
      <c r="AB27" s="15"/>
      <c r="AC27" s="15"/>
      <c r="AD27" s="15"/>
      <c r="AE27" s="15"/>
      <c r="AF27" s="15"/>
      <c r="AG27" s="104">
        <f>+'[3]Common Adj'!DQ15+'[3]Common Adj'!DQ16+'[3]Common Adj'!DQ17</f>
        <v>110731.68203954893</v>
      </c>
      <c r="AH27" s="104"/>
      <c r="AI27" s="15"/>
      <c r="AJ27" s="15"/>
      <c r="AK27" s="15"/>
      <c r="AL27" s="15"/>
      <c r="AM27" s="15"/>
      <c r="AN27" s="15"/>
      <c r="AO27" s="15"/>
      <c r="AP27" s="15"/>
      <c r="AQ27" s="15"/>
      <c r="AR27" s="15">
        <f>'[3]Common Adj'!HQ14</f>
        <v>44.329999999999927</v>
      </c>
      <c r="AS27" s="15"/>
      <c r="AT27" s="15"/>
      <c r="AU27" s="15"/>
      <c r="AV27" s="134">
        <f t="shared" ref="AV27:AV41" si="7">SUM(AA27:AU27)</f>
        <v>110776.01203954894</v>
      </c>
      <c r="AW27" s="137">
        <f t="shared" ref="AW27:AW41" si="8">+AV27+Z27</f>
        <v>6172164.8734382121</v>
      </c>
    </row>
    <row r="28" spans="1:58" s="2" customFormat="1" x14ac:dyDescent="0.25">
      <c r="A28" s="101">
        <f t="shared" si="2"/>
        <v>16</v>
      </c>
      <c r="B28" s="102" t="s">
        <v>41</v>
      </c>
      <c r="C28" s="139">
        <f>+'[4]Allocated (CBR)'!C25</f>
        <v>2110.77</v>
      </c>
      <c r="D28" s="104"/>
      <c r="E28" s="104"/>
      <c r="F28" s="104"/>
      <c r="G28" s="104"/>
      <c r="H28" s="104"/>
      <c r="I28" s="104"/>
      <c r="J28" s="104"/>
      <c r="K28" s="104">
        <f>'[3]Common Adj'!BL18</f>
        <v>0</v>
      </c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34">
        <f t="shared" si="5"/>
        <v>0</v>
      </c>
      <c r="Z28" s="134">
        <f t="shared" si="6"/>
        <v>2110.77</v>
      </c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>
        <f>'[3]Common Adj'!HQ15</f>
        <v>57.75</v>
      </c>
      <c r="AS28" s="104"/>
      <c r="AT28" s="104"/>
      <c r="AU28" s="104"/>
      <c r="AV28" s="134">
        <f t="shared" si="7"/>
        <v>57.75</v>
      </c>
      <c r="AW28" s="134">
        <f t="shared" si="8"/>
        <v>2168.52</v>
      </c>
    </row>
    <row r="29" spans="1:58" s="2" customFormat="1" x14ac:dyDescent="0.25">
      <c r="A29" s="101">
        <f t="shared" si="2"/>
        <v>17</v>
      </c>
      <c r="B29" s="102" t="s">
        <v>42</v>
      </c>
      <c r="C29" s="139">
        <f>+'[4]Allocated (CBR)'!C26</f>
        <v>60174168.099999979</v>
      </c>
      <c r="D29" s="104"/>
      <c r="E29" s="104"/>
      <c r="F29" s="104"/>
      <c r="G29" s="104"/>
      <c r="H29" s="104"/>
      <c r="I29" s="104"/>
      <c r="J29" s="104"/>
      <c r="K29" s="104">
        <f>'[3]Common Adj'!BK19</f>
        <v>120834.00614718534</v>
      </c>
      <c r="L29" s="104"/>
      <c r="M29" s="104"/>
      <c r="N29" s="104"/>
      <c r="O29" s="104"/>
      <c r="P29" s="104"/>
      <c r="Q29" s="104"/>
      <c r="R29" s="104">
        <f>+'[3]Common Adj'!DO19</f>
        <v>402623.26229435951</v>
      </c>
      <c r="S29" s="104"/>
      <c r="T29" s="104"/>
      <c r="U29" s="104"/>
      <c r="V29" s="104"/>
      <c r="W29" s="104"/>
      <c r="X29" s="104"/>
      <c r="Y29" s="134">
        <f t="shared" si="5"/>
        <v>523457.26844154485</v>
      </c>
      <c r="Z29" s="134">
        <f t="shared" si="6"/>
        <v>60697625.368441522</v>
      </c>
      <c r="AA29" s="104"/>
      <c r="AB29" s="104"/>
      <c r="AC29" s="104"/>
      <c r="AD29" s="104"/>
      <c r="AE29" s="104"/>
      <c r="AF29" s="104"/>
      <c r="AG29" s="104">
        <f>+'[3]Common Adj'!DQ19</f>
        <v>1350205.8821382411</v>
      </c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>
        <f>'[3]Common Adj'!HQ16</f>
        <v>278617.51000000164</v>
      </c>
      <c r="AS29" s="104"/>
      <c r="AT29" s="104"/>
      <c r="AU29" s="104"/>
      <c r="AV29" s="134">
        <f t="shared" si="7"/>
        <v>1628823.3921382427</v>
      </c>
      <c r="AW29" s="134">
        <f t="shared" si="8"/>
        <v>62326448.760579765</v>
      </c>
    </row>
    <row r="30" spans="1:58" s="2" customFormat="1" x14ac:dyDescent="0.25">
      <c r="A30" s="101">
        <f t="shared" si="2"/>
        <v>18</v>
      </c>
      <c r="B30" s="102" t="s">
        <v>43</v>
      </c>
      <c r="C30" s="139">
        <f>+'[4]Allocated (CBR)'!C27</f>
        <v>29807451.619999997</v>
      </c>
      <c r="D30" s="104">
        <f>+'[3]Common Adj'!F38</f>
        <v>-220263.82634213765</v>
      </c>
      <c r="E30" s="104">
        <f>+'[3]Common Adj'!N24</f>
        <v>217.13119056131836</v>
      </c>
      <c r="F30" s="104"/>
      <c r="G30" s="104"/>
      <c r="H30" s="104">
        <f>+'[3]Common Adj'!AL28</f>
        <v>-319800.48572257528</v>
      </c>
      <c r="I30" s="104"/>
      <c r="J30" s="104">
        <f>+'[3]Common Adj'!BB15</f>
        <v>158770.57562207896</v>
      </c>
      <c r="K30" s="104">
        <f>'[3]Common Adj'!BK20</f>
        <v>29475.590301084216</v>
      </c>
      <c r="L30" s="104"/>
      <c r="M30" s="104"/>
      <c r="N30" s="104">
        <f>+'[3]Common Adj'!CI14</f>
        <v>204503.64267608413</v>
      </c>
      <c r="O30" s="104"/>
      <c r="P30" s="104"/>
      <c r="Q30" s="104"/>
      <c r="R30" s="104">
        <f>+'[3]Common Adj'!DO20</f>
        <v>12956.20307548251</v>
      </c>
      <c r="S30" s="104"/>
      <c r="T30" s="104"/>
      <c r="U30" s="104"/>
      <c r="V30" s="104"/>
      <c r="W30" s="104"/>
      <c r="X30" s="104"/>
      <c r="Y30" s="134">
        <f t="shared" si="5"/>
        <v>-134141.16919942183</v>
      </c>
      <c r="Z30" s="134">
        <f t="shared" si="6"/>
        <v>29673310.450800575</v>
      </c>
      <c r="AA30" s="104">
        <f>+'[3]Common Adj'!H38</f>
        <v>-50235.68436852</v>
      </c>
      <c r="AB30" s="104">
        <f>+'[3]Common Adj'!P24</f>
        <v>179965.37721117088</v>
      </c>
      <c r="AC30" s="104"/>
      <c r="AD30" s="104"/>
      <c r="AE30" s="104">
        <f>-M30</f>
        <v>0</v>
      </c>
      <c r="AF30" s="104"/>
      <c r="AG30" s="104">
        <f>+'[3]Common Adj'!DQ20</f>
        <v>274377.34146429319</v>
      </c>
      <c r="AH30" s="104"/>
      <c r="AI30" s="104"/>
      <c r="AJ30" s="104"/>
      <c r="AK30" s="104"/>
      <c r="AL30" s="104"/>
      <c r="AM30" s="104"/>
      <c r="AN30" s="104"/>
      <c r="AO30" s="104">
        <f>'[3]Common Adj'!GS15</f>
        <v>-435567.581275</v>
      </c>
      <c r="AP30" s="104"/>
      <c r="AQ30" s="104"/>
      <c r="AR30" s="104">
        <f>'[3]Common Adj'!HQ17</f>
        <v>105258.47999999952</v>
      </c>
      <c r="AS30" s="104"/>
      <c r="AT30" s="104"/>
      <c r="AU30" s="104">
        <f>'[3]Gas Adj'!Q22</f>
        <v>-35768.190475448326</v>
      </c>
      <c r="AV30" s="134">
        <f t="shared" si="7"/>
        <v>38029.742556495243</v>
      </c>
      <c r="AW30" s="134">
        <f t="shared" si="8"/>
        <v>29711340.193357069</v>
      </c>
    </row>
    <row r="31" spans="1:58" s="2" customFormat="1" x14ac:dyDescent="0.25">
      <c r="A31" s="101">
        <f t="shared" si="2"/>
        <v>19</v>
      </c>
      <c r="B31" s="102" t="s">
        <v>44</v>
      </c>
      <c r="C31" s="139">
        <f>+'[4]Allocated (CBR)'!C28</f>
        <v>6574431.0799999991</v>
      </c>
      <c r="D31" s="104"/>
      <c r="E31" s="104"/>
      <c r="F31" s="104"/>
      <c r="G31" s="104"/>
      <c r="H31" s="104">
        <f>+'[3]Common Adj'!AL34+'[3]Common Adj'!AL39</f>
        <v>-4814956.5200000005</v>
      </c>
      <c r="I31" s="104"/>
      <c r="J31" s="104"/>
      <c r="K31" s="104">
        <f>'[3]Common Adj'!BK21</f>
        <v>3037.0306528052533</v>
      </c>
      <c r="L31" s="104"/>
      <c r="M31" s="104"/>
      <c r="N31" s="104"/>
      <c r="O31" s="104"/>
      <c r="P31" s="104"/>
      <c r="Q31" s="104"/>
      <c r="R31" s="104">
        <f>+'[3]Common Adj'!DO21</f>
        <v>724.48399190953933</v>
      </c>
      <c r="S31" s="104"/>
      <c r="T31" s="104"/>
      <c r="U31" s="104"/>
      <c r="V31" s="104"/>
      <c r="W31" s="104"/>
      <c r="X31" s="104"/>
      <c r="Y31" s="134">
        <f t="shared" si="5"/>
        <v>-4811195.0053552855</v>
      </c>
      <c r="Z31" s="134">
        <f t="shared" si="6"/>
        <v>1763236.0746447137</v>
      </c>
      <c r="AA31" s="104"/>
      <c r="AB31" s="104"/>
      <c r="AC31" s="104"/>
      <c r="AD31" s="104"/>
      <c r="AE31" s="104"/>
      <c r="AF31" s="104"/>
      <c r="AG31" s="104">
        <f>+'[3]Common Adj'!DQ21</f>
        <v>31612.10595257883</v>
      </c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34">
        <f t="shared" si="7"/>
        <v>31612.10595257883</v>
      </c>
      <c r="AW31" s="134">
        <f t="shared" si="8"/>
        <v>1794848.1805972925</v>
      </c>
    </row>
    <row r="32" spans="1:58" s="2" customFormat="1" x14ac:dyDescent="0.25">
      <c r="A32" s="101">
        <f t="shared" si="2"/>
        <v>20</v>
      </c>
      <c r="B32" s="102" t="s">
        <v>45</v>
      </c>
      <c r="C32" s="139">
        <f>+'[4]Allocated (CBR)'!C29</f>
        <v>14625833.34</v>
      </c>
      <c r="D32" s="104"/>
      <c r="E32" s="104"/>
      <c r="F32" s="104"/>
      <c r="G32" s="104"/>
      <c r="H32" s="104">
        <f>+'[3]Common Adj'!AL35</f>
        <v>-14625833.34</v>
      </c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34">
        <f t="shared" si="5"/>
        <v>-14625833.34</v>
      </c>
      <c r="Z32" s="134">
        <f t="shared" si="6"/>
        <v>0</v>
      </c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34">
        <f t="shared" si="7"/>
        <v>0</v>
      </c>
      <c r="AW32" s="134">
        <f t="shared" si="8"/>
        <v>0</v>
      </c>
    </row>
    <row r="33" spans="1:50" s="2" customFormat="1" x14ac:dyDescent="0.25">
      <c r="A33" s="101">
        <f t="shared" si="2"/>
        <v>21</v>
      </c>
      <c r="B33" s="102" t="s">
        <v>46</v>
      </c>
      <c r="C33" s="139">
        <f>+'[4]Allocated (CBR)'!C30</f>
        <v>57249534.549999997</v>
      </c>
      <c r="D33" s="104">
        <f>+'[3]Common Adj'!F39</f>
        <v>-85973.390453605636</v>
      </c>
      <c r="E33" s="104">
        <f>+'[3]Common Adj'!N25</f>
        <v>84.750659859999359</v>
      </c>
      <c r="F33" s="104"/>
      <c r="G33" s="104"/>
      <c r="H33" s="104">
        <f>+'[3]Common Adj'!AL29</f>
        <v>-124824.54555916287</v>
      </c>
      <c r="I33" s="104">
        <f>'[3]Common Adj'!AT18</f>
        <v>1590277.3748527463</v>
      </c>
      <c r="J33" s="104"/>
      <c r="K33" s="104">
        <f>'[3]Common Adj'!BK23</f>
        <v>51935.705390093848</v>
      </c>
      <c r="L33" s="104">
        <f>+'[3]Common Adj'!BS15</f>
        <v>54197.611339999828</v>
      </c>
      <c r="M33" s="104">
        <f>+'[3]Common Adj'!CA18</f>
        <v>-4849.3982530915964</v>
      </c>
      <c r="N33" s="104"/>
      <c r="O33" s="104">
        <f>+'[3]Common Adj'!CQ17</f>
        <v>554529.46239700005</v>
      </c>
      <c r="P33" s="104">
        <f>+'[3]Common Adj'!CY17</f>
        <v>975254.11071527051</v>
      </c>
      <c r="Q33" s="104">
        <f>'[3]Common Adj'!DG16</f>
        <v>66640.65767213903</v>
      </c>
      <c r="R33" s="104">
        <f>+'[3]Common Adj'!DO23</f>
        <v>16612.400363540277</v>
      </c>
      <c r="S33" s="104">
        <f>+'[3]Common Adj'!DW26</f>
        <v>5304.286799574289</v>
      </c>
      <c r="T33" s="104">
        <f>'[3]Common Adj'!EE21</f>
        <v>13475.113426476943</v>
      </c>
      <c r="U33" s="104"/>
      <c r="V33" s="104"/>
      <c r="W33" s="104">
        <f>+'[3]Common Adj'!GA29</f>
        <v>-658973.79925230017</v>
      </c>
      <c r="X33" s="104"/>
      <c r="Y33" s="134">
        <f t="shared" si="5"/>
        <v>2453690.3400985408</v>
      </c>
      <c r="Z33" s="134">
        <f t="shared" si="6"/>
        <v>59703224.890098535</v>
      </c>
      <c r="AA33" s="104">
        <f>+'[3]Common Adj'!H39</f>
        <v>-19607.995460000002</v>
      </c>
      <c r="AB33" s="104">
        <f>+'[3]Common Adj'!P25</f>
        <v>70244.09727211979</v>
      </c>
      <c r="AC33" s="104"/>
      <c r="AD33" s="104">
        <f>+'[3]Common Adj'!BU15</f>
        <v>-54197.611339999828</v>
      </c>
      <c r="AE33" s="104">
        <f>+'[3]Common Adj'!CC18</f>
        <v>4849.3982530915964</v>
      </c>
      <c r="AF33" s="104">
        <f>'[3]Common Adj'!DI16</f>
        <v>30987.620973575831</v>
      </c>
      <c r="AG33" s="104">
        <f>+'[3]Common Adj'!DQ23</f>
        <v>552918.51170147955</v>
      </c>
      <c r="AH33" s="104">
        <f>+'[3]Common Adj'!DY26</f>
        <v>117536.2105541807</v>
      </c>
      <c r="AI33" s="104">
        <f>'[3]Common Adj'!EG19</f>
        <v>390546.4051953943</v>
      </c>
      <c r="AJ33" s="104"/>
      <c r="AK33" s="104"/>
      <c r="AL33" s="104"/>
      <c r="AM33" s="104">
        <f>+'[3]Common Adj'!GC29</f>
        <v>-169824.88682564982</v>
      </c>
      <c r="AN33" s="104"/>
      <c r="AO33" s="104"/>
      <c r="AP33" s="104"/>
      <c r="AQ33" s="104"/>
      <c r="AR33" s="104">
        <f>'[3]Common Adj'!HQ18</f>
        <v>600.87663299999986</v>
      </c>
      <c r="AS33" s="104"/>
      <c r="AT33" s="104"/>
      <c r="AU33" s="104">
        <f>'[3]Gas Adj'!Q23</f>
        <v>-13961.042340143764</v>
      </c>
      <c r="AV33" s="134">
        <f t="shared" si="7"/>
        <v>910091.58461704839</v>
      </c>
      <c r="AW33" s="134">
        <f t="shared" si="8"/>
        <v>60613316.474715583</v>
      </c>
    </row>
    <row r="34" spans="1:50" s="2" customFormat="1" x14ac:dyDescent="0.25">
      <c r="A34" s="101">
        <f t="shared" si="2"/>
        <v>22</v>
      </c>
      <c r="B34" s="102" t="s">
        <v>47</v>
      </c>
      <c r="C34" s="139">
        <f>+'[4]Allocated (CBR)'!C31</f>
        <v>116957730.5099999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>
        <f>+'[3]Common Adj'!EU14+'[3]Common Adj'!EU15+'[3]Common Adj'!EU19</f>
        <v>4136955.6219727392</v>
      </c>
      <c r="W34" s="104"/>
      <c r="X34" s="104"/>
      <c r="Y34" s="134">
        <f t="shared" si="5"/>
        <v>4136955.6219727392</v>
      </c>
      <c r="Z34" s="134">
        <f t="shared" si="6"/>
        <v>121094686.13197264</v>
      </c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>
        <f>SUM('[3]Common Adj'!FT29:FT30)</f>
        <v>608662.83430810564</v>
      </c>
      <c r="AM34" s="104"/>
      <c r="AO34" s="104"/>
      <c r="AP34" s="104"/>
      <c r="AQ34" s="104">
        <f>+'[3]Common Adj'!HI21</f>
        <v>156400.22579821481</v>
      </c>
      <c r="AR34" s="104"/>
      <c r="AT34" s="104">
        <f>'[3]Gas Adj'!H22</f>
        <v>-39543.813052333338</v>
      </c>
      <c r="AU34" s="104">
        <f>'[3]Gas Adj'!Q18</f>
        <v>0</v>
      </c>
      <c r="AV34" s="134">
        <f t="shared" si="7"/>
        <v>725519.24705398711</v>
      </c>
      <c r="AW34" s="134">
        <f t="shared" si="8"/>
        <v>121820205.37902662</v>
      </c>
    </row>
    <row r="35" spans="1:50" s="2" customFormat="1" x14ac:dyDescent="0.25">
      <c r="A35" s="101">
        <f t="shared" si="2"/>
        <v>23</v>
      </c>
      <c r="B35" s="102" t="s">
        <v>48</v>
      </c>
      <c r="C35" s="139">
        <f>+'[4]Allocated (CBR)'!C32</f>
        <v>26117569.960000001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>
        <f>+'[3]Common Adj'!EU16+'[3]Common Adj'!EU17+'[3]Common Adj'!EU20</f>
        <v>8190016.0321619846</v>
      </c>
      <c r="W35" s="104"/>
      <c r="X35" s="104"/>
      <c r="Y35" s="134">
        <f t="shared" si="5"/>
        <v>8190016.0321619846</v>
      </c>
      <c r="Z35" s="134">
        <f t="shared" si="6"/>
        <v>34307585.992161989</v>
      </c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>
        <f>'[3]Common Adj'!GK30</f>
        <v>2681157.0054726158</v>
      </c>
      <c r="AO35" s="104"/>
      <c r="AP35" s="104"/>
      <c r="AQ35" s="104"/>
      <c r="AR35" s="104"/>
      <c r="AS35" s="104">
        <f>'[3]Common Adj'!HY24</f>
        <v>348243.00000000006</v>
      </c>
      <c r="AT35" s="104"/>
      <c r="AU35" s="104"/>
      <c r="AV35" s="134">
        <f t="shared" si="7"/>
        <v>3029400.0054726158</v>
      </c>
      <c r="AW35" s="134">
        <f t="shared" si="8"/>
        <v>37336985.997634605</v>
      </c>
    </row>
    <row r="36" spans="1:50" s="2" customFormat="1" x14ac:dyDescent="0.25">
      <c r="A36" s="101">
        <f t="shared" si="2"/>
        <v>24</v>
      </c>
      <c r="B36" s="108" t="s">
        <v>49</v>
      </c>
      <c r="C36" s="139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34">
        <f t="shared" si="5"/>
        <v>0</v>
      </c>
      <c r="Z36" s="134">
        <f t="shared" si="6"/>
        <v>0</v>
      </c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34">
        <f t="shared" si="7"/>
        <v>0</v>
      </c>
      <c r="AW36" s="134">
        <f t="shared" si="8"/>
        <v>0</v>
      </c>
    </row>
    <row r="37" spans="1:50" s="2" customFormat="1" x14ac:dyDescent="0.25">
      <c r="A37" s="101">
        <f t="shared" si="2"/>
        <v>25</v>
      </c>
      <c r="B37" s="102" t="s">
        <v>50</v>
      </c>
      <c r="C37" s="139">
        <f>+'[4]Allocated (CBR)'!$C$34</f>
        <v>8769360.9199999981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34">
        <f t="shared" si="5"/>
        <v>0</v>
      </c>
      <c r="Z37" s="134">
        <f t="shared" si="6"/>
        <v>8769360.9199999981</v>
      </c>
      <c r="AA37" s="104"/>
      <c r="AB37" s="104"/>
      <c r="AC37" s="104"/>
      <c r="AD37" s="104"/>
      <c r="AE37" s="104"/>
      <c r="AF37" s="104"/>
      <c r="AG37" s="104"/>
      <c r="AH37" s="104"/>
      <c r="AI37" s="104"/>
      <c r="AJ37" s="10">
        <f>'[3]Common Adj'!FE17</f>
        <v>-91958.276666666628</v>
      </c>
      <c r="AK37" s="10">
        <f>'[3]Common Adj'!FM15</f>
        <v>856890.67156689428</v>
      </c>
      <c r="AL37" s="104">
        <f>SUM('[3]Common Adj'!FT31:FT32)</f>
        <v>2065892.0664164524</v>
      </c>
      <c r="AM37" s="104"/>
      <c r="AN37" s="104">
        <f>'[3]Common Adj'!GK31+'[3]Common Adj'!GK32</f>
        <v>3593326.1607114412</v>
      </c>
      <c r="AO37" s="104"/>
      <c r="AP37" s="104"/>
      <c r="AQ37" s="104"/>
      <c r="AR37" s="104"/>
      <c r="AS37" s="104"/>
      <c r="AT37" s="104"/>
      <c r="AU37" s="104"/>
      <c r="AV37" s="134">
        <f t="shared" si="7"/>
        <v>6424150.6220281217</v>
      </c>
      <c r="AW37" s="134">
        <f t="shared" si="8"/>
        <v>15193511.54202812</v>
      </c>
      <c r="AX37" s="139"/>
    </row>
    <row r="38" spans="1:50" s="2" customFormat="1" x14ac:dyDescent="0.25">
      <c r="A38" s="101">
        <f t="shared" si="2"/>
        <v>26</v>
      </c>
      <c r="B38" s="106" t="s">
        <v>51</v>
      </c>
      <c r="C38" s="139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34">
        <f t="shared" si="5"/>
        <v>0</v>
      </c>
      <c r="Z38" s="134">
        <f t="shared" si="6"/>
        <v>0</v>
      </c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34">
        <f t="shared" si="7"/>
        <v>0</v>
      </c>
      <c r="AW38" s="134">
        <f t="shared" si="8"/>
        <v>0</v>
      </c>
      <c r="AX38" s="139"/>
    </row>
    <row r="39" spans="1:50" s="2" customFormat="1" x14ac:dyDescent="0.25">
      <c r="A39" s="101">
        <f t="shared" si="2"/>
        <v>27</v>
      </c>
      <c r="B39" s="102" t="s">
        <v>52</v>
      </c>
      <c r="C39" s="139">
        <f>+'[4]Allocated (CBR)'!C36</f>
        <v>101477296.77</v>
      </c>
      <c r="D39" s="104">
        <f>+'[3]Common Adj'!F40</f>
        <v>-1647379.1211767646</v>
      </c>
      <c r="E39" s="104">
        <f>+'[3]Common Adj'!N26</f>
        <v>1623.9497689073905</v>
      </c>
      <c r="F39" s="104"/>
      <c r="G39" s="104"/>
      <c r="H39" s="104">
        <f>+SUM('[3]Common Adj'!AL30,'[3]Common Adj'!AL36,'[3]Common Adj'!AL40)</f>
        <v>-64229661.891571902</v>
      </c>
      <c r="I39" s="104"/>
      <c r="J39" s="104"/>
      <c r="K39" s="104">
        <f>+'[3]Common Adj'!BK26</f>
        <v>19255.624077950837</v>
      </c>
      <c r="L39" s="104">
        <f>+'[3]Common Adj'!BS14</f>
        <v>-142661.06778199971</v>
      </c>
      <c r="M39" s="104"/>
      <c r="N39" s="104"/>
      <c r="O39" s="104"/>
      <c r="P39" s="104"/>
      <c r="Q39" s="104"/>
      <c r="R39" s="104">
        <f>+'[3]Common Adj'!DO26</f>
        <v>15731.221345781985</v>
      </c>
      <c r="S39" s="104"/>
      <c r="T39" s="104"/>
      <c r="U39" s="104"/>
      <c r="V39" s="104"/>
      <c r="W39" s="104"/>
      <c r="X39" s="104"/>
      <c r="Y39" s="134">
        <f t="shared" si="5"/>
        <v>-65983091.285338022</v>
      </c>
      <c r="Z39" s="134">
        <f t="shared" si="6"/>
        <v>35494205.484661974</v>
      </c>
      <c r="AA39" s="104">
        <f>+'[3]Common Adj'!H40</f>
        <v>-375718.60500679002</v>
      </c>
      <c r="AB39" s="104">
        <f>+'[3]Common Adj'!P26</f>
        <v>1345982.2698797232</v>
      </c>
      <c r="AC39" s="104"/>
      <c r="AD39" s="104">
        <f>+'[3]Common Adj'!BU14</f>
        <v>142661.06778199971</v>
      </c>
      <c r="AE39" s="104"/>
      <c r="AF39" s="104"/>
      <c r="AG39" s="104">
        <f>+'[3]Common Adj'!DQ26</f>
        <v>97848.25822564293</v>
      </c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>
        <f>'[3]Gas Adj'!Q26</f>
        <v>-267514.51280066476</v>
      </c>
      <c r="AV39" s="134">
        <f t="shared" si="7"/>
        <v>943258.47807991097</v>
      </c>
      <c r="AW39" s="134">
        <f t="shared" si="8"/>
        <v>36437463.962741882</v>
      </c>
    </row>
    <row r="40" spans="1:50" s="2" customFormat="1" x14ac:dyDescent="0.25">
      <c r="A40" s="101">
        <f t="shared" si="2"/>
        <v>28</v>
      </c>
      <c r="B40" s="102" t="s">
        <v>53</v>
      </c>
      <c r="C40" s="139">
        <f>+'[4]Allocated (CBR)'!C37</f>
        <v>31944158.879999999</v>
      </c>
      <c r="D40" s="104">
        <f>+'[3]Common Adj'!F44</f>
        <v>383547.86226280016</v>
      </c>
      <c r="E40" s="104">
        <f>+'[3]Common Adj'!N31</f>
        <v>8494.3946452409709</v>
      </c>
      <c r="F40" s="104">
        <f>'[3]Common Adj'!V14</f>
        <v>-11297868.699383605</v>
      </c>
      <c r="G40" s="104">
        <f>++'[3]Common Adj'!AD21</f>
        <v>-12921873.95908682</v>
      </c>
      <c r="H40" s="104">
        <f>+'[3]Common Adj'!AL44</f>
        <v>-375373.31091283698</v>
      </c>
      <c r="I40" s="104">
        <f>'[3]Common Adj'!AT19</f>
        <v>-333958.24871907668</v>
      </c>
      <c r="J40" s="104">
        <f>+'[3]Common Adj'!BB18</f>
        <v>-33341.820880636573</v>
      </c>
      <c r="K40" s="104">
        <f>+'[3]Common Adj'!BK29</f>
        <v>-49734.99242777843</v>
      </c>
      <c r="L40" s="104">
        <f>+'[3]Common Adj'!BS19</f>
        <v>18577.325852819718</v>
      </c>
      <c r="M40" s="104">
        <f>+'[3]Common Adj'!CA20</f>
        <v>1018.3736331492352</v>
      </c>
      <c r="N40" s="104"/>
      <c r="O40" s="104">
        <f>+'[3]Common Adj'!CQ19</f>
        <v>-116451.18710337</v>
      </c>
      <c r="P40" s="104">
        <f>+'[3]Common Adj'!CY18</f>
        <v>-204803.36325020681</v>
      </c>
      <c r="Q40" s="104">
        <f>'[3]Common Adj'!DG18</f>
        <v>-13994.538111149195</v>
      </c>
      <c r="R40" s="104">
        <f>+'[3]Common Adj'!DO30</f>
        <v>-95536.551970381741</v>
      </c>
      <c r="S40" s="104">
        <f>+'[3]Common Adj'!DW32</f>
        <v>-1113.9002279105969</v>
      </c>
      <c r="T40" s="104">
        <f>'[3]Common Adj'!EE23</f>
        <v>-2829.7738195601578</v>
      </c>
      <c r="U40" s="104"/>
      <c r="V40" s="104">
        <f>'[3]Common Adj'!EU25</f>
        <v>-2588664.0473682922</v>
      </c>
      <c r="W40" s="104">
        <f>+'[3]Common Adj'!GA31</f>
        <v>138384.49784298302</v>
      </c>
      <c r="X40" s="104"/>
      <c r="Y40" s="134">
        <f t="shared" si="5"/>
        <v>-27485521.939024631</v>
      </c>
      <c r="Z40" s="134">
        <f t="shared" si="6"/>
        <v>4458636.940975368</v>
      </c>
      <c r="AA40" s="104">
        <f>+'[3]Common Adj'!H44</f>
        <v>-1965271.4434845848</v>
      </c>
      <c r="AB40" s="104">
        <f>+'[3]Common Adj'!P31</f>
        <v>3554862.1558688851</v>
      </c>
      <c r="AC40" s="104">
        <f>'[3]Common Adj'!AF21</f>
        <v>184151.4996562647</v>
      </c>
      <c r="AD40" s="104">
        <f>+'[3]Common Adj'!BU19</f>
        <v>-18577.325852819973</v>
      </c>
      <c r="AE40" s="104">
        <f>+'[3]Common Adj'!CC20</f>
        <v>-1018.3736331492352</v>
      </c>
      <c r="AF40" s="104">
        <f>'[3]Common Adj'!DI18</f>
        <v>-6507.4004044509247</v>
      </c>
      <c r="AG40" s="104">
        <f>+'[3]Common Adj'!DQ30</f>
        <v>-507715.69411957473</v>
      </c>
      <c r="AH40" s="104">
        <f>+'[3]Common Adj'!DY32</f>
        <v>-24682.604216377938</v>
      </c>
      <c r="AI40" s="104">
        <f>'[3]Common Adj'!EG23</f>
        <v>-82014.745091032804</v>
      </c>
      <c r="AJ40" s="104">
        <f>'[3]Common Adj'!FE19</f>
        <v>19311.238099999991</v>
      </c>
      <c r="AK40" s="104">
        <f>'[3]Common Adj'!FM18</f>
        <v>-179947.0410290478</v>
      </c>
      <c r="AL40" s="104">
        <f>+'[3]Common Adj'!FT37</f>
        <v>-561656.52915215725</v>
      </c>
      <c r="AM40" s="104">
        <f>+'[3]Common Adj'!GC31</f>
        <v>35663.226233386464</v>
      </c>
      <c r="AN40" s="104">
        <f>'[3]Common Adj'!GK37</f>
        <v>-1317641.4648986519</v>
      </c>
      <c r="AO40" s="104">
        <f>'[3]Common Adj'!GS19</f>
        <v>91469.192067750002</v>
      </c>
      <c r="AP40" s="104"/>
      <c r="AQ40" s="104">
        <f>+'[3]Common Adj'!HI26</f>
        <v>-32844.047417625108</v>
      </c>
      <c r="AR40" s="104">
        <f>'[3]Common Adj'!HQ21</f>
        <v>-80761.578792930581</v>
      </c>
      <c r="AS40" s="104">
        <f>'[3]Common Adj'!HY29</f>
        <v>-73131.030000000013</v>
      </c>
      <c r="AT40" s="104">
        <f>'[3]Gas Adj'!H24</f>
        <v>8304.2007409900016</v>
      </c>
      <c r="AU40" s="104">
        <f>'[3]Gas Adj'!Q31</f>
        <v>-1399288.2591356812</v>
      </c>
      <c r="AV40" s="134">
        <f t="shared" si="7"/>
        <v>-2357296.0245608082</v>
      </c>
      <c r="AW40" s="134">
        <f t="shared" si="8"/>
        <v>2101340.9164145598</v>
      </c>
      <c r="AX40" s="139"/>
    </row>
    <row r="41" spans="1:50" s="2" customFormat="1" x14ac:dyDescent="0.25">
      <c r="A41" s="101">
        <f t="shared" si="2"/>
        <v>29</v>
      </c>
      <c r="B41" s="106" t="s">
        <v>54</v>
      </c>
      <c r="C41" s="139">
        <f>+'[4]Allocated (CBR)'!C38</f>
        <v>-9558130.5899999961</v>
      </c>
      <c r="D41" s="104"/>
      <c r="E41" s="104"/>
      <c r="F41" s="104">
        <f>'[3]Common Adj'!V15</f>
        <v>10081450.108688122</v>
      </c>
      <c r="G41" s="104">
        <f>+'[3]Common Adj'!AD24</f>
        <v>0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34">
        <f t="shared" si="5"/>
        <v>10081450.108688122</v>
      </c>
      <c r="Z41" s="134">
        <f t="shared" si="6"/>
        <v>523319.51868812554</v>
      </c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">
        <f>'[3]Common Adj'!HA20</f>
        <v>-722630.37767299998</v>
      </c>
      <c r="AQ41" s="104"/>
      <c r="AR41" s="104"/>
      <c r="AS41" s="104"/>
      <c r="AT41" s="104"/>
      <c r="AU41" s="104"/>
      <c r="AV41" s="134">
        <f t="shared" si="7"/>
        <v>-722630.37767299998</v>
      </c>
      <c r="AW41" s="134">
        <f t="shared" si="8"/>
        <v>-199310.85898487445</v>
      </c>
      <c r="AX41" s="139"/>
    </row>
    <row r="42" spans="1:50" s="2" customFormat="1" x14ac:dyDescent="0.25">
      <c r="A42" s="101">
        <f t="shared" si="2"/>
        <v>30</v>
      </c>
      <c r="B42" s="102" t="s">
        <v>55</v>
      </c>
      <c r="C42" s="18">
        <f t="shared" ref="C42:AD42" si="9">SUM(C25:C41)</f>
        <v>746883373.09999859</v>
      </c>
      <c r="D42" s="18">
        <f t="shared" si="9"/>
        <v>-44429565.756267637</v>
      </c>
      <c r="E42" s="18">
        <f>SUM(E25:E41)</f>
        <v>10420.226264569679</v>
      </c>
      <c r="F42" s="18">
        <f t="shared" si="9"/>
        <v>-1216418.5906954836</v>
      </c>
      <c r="G42" s="18">
        <f>SUM(G25:G41)</f>
        <v>-12921873.95908682</v>
      </c>
      <c r="H42" s="18">
        <f t="shared" si="9"/>
        <v>-61000154.13376648</v>
      </c>
      <c r="I42" s="18">
        <f t="shared" si="9"/>
        <v>1256319.1261336696</v>
      </c>
      <c r="J42" s="18">
        <f t="shared" si="9"/>
        <v>125428.75474144239</v>
      </c>
      <c r="K42" s="18">
        <f t="shared" si="9"/>
        <v>187098.30484735657</v>
      </c>
      <c r="L42" s="18">
        <f t="shared" si="9"/>
        <v>-69886.13058918016</v>
      </c>
      <c r="M42" s="18">
        <f t="shared" si="9"/>
        <v>-3831.0246199423614</v>
      </c>
      <c r="N42" s="18">
        <f t="shared" si="9"/>
        <v>204503.64267608413</v>
      </c>
      <c r="O42" s="18">
        <f t="shared" si="9"/>
        <v>438078.27529363008</v>
      </c>
      <c r="P42" s="18">
        <f t="shared" si="9"/>
        <v>770450.7474650637</v>
      </c>
      <c r="Q42" s="18">
        <f t="shared" si="9"/>
        <v>52646.119560989835</v>
      </c>
      <c r="R42" s="18">
        <f t="shared" si="9"/>
        <v>359399.40979334083</v>
      </c>
      <c r="S42" s="18">
        <f t="shared" si="9"/>
        <v>4190.3865716636919</v>
      </c>
      <c r="T42" s="18">
        <f t="shared" si="9"/>
        <v>10645.339606916785</v>
      </c>
      <c r="U42" s="18">
        <f t="shared" si="9"/>
        <v>0</v>
      </c>
      <c r="V42" s="18">
        <f t="shared" si="9"/>
        <v>9738307.6067664325</v>
      </c>
      <c r="W42" s="18">
        <f t="shared" ref="W42:X42" si="10">SUM(W25:W41)</f>
        <v>-520589.30140931718</v>
      </c>
      <c r="X42" s="18">
        <f t="shared" si="10"/>
        <v>0</v>
      </c>
      <c r="Y42" s="138">
        <f>SUM(Y25:Y41)</f>
        <v>-107004830.95671371</v>
      </c>
      <c r="Z42" s="138">
        <f>SUM(Z25:Z41)</f>
        <v>639878542.14328492</v>
      </c>
      <c r="AA42" s="18">
        <f t="shared" ref="AA42" si="11">SUM(AA25:AA41)</f>
        <v>-2410833.728319895</v>
      </c>
      <c r="AB42" s="18">
        <f>SUM(AB25:AB41)</f>
        <v>21748995.763981704</v>
      </c>
      <c r="AC42" s="18">
        <f>SUM(AC25:AC41)</f>
        <v>184151.4996562647</v>
      </c>
      <c r="AD42" s="18">
        <f t="shared" si="9"/>
        <v>69886.130589179898</v>
      </c>
      <c r="AE42" s="18">
        <f t="shared" ref="AE42:AU42" si="12">SUM(AE25:AE41)</f>
        <v>3831.0246199423614</v>
      </c>
      <c r="AF42" s="18">
        <f t="shared" si="12"/>
        <v>24480.220569124907</v>
      </c>
      <c r="AG42" s="18">
        <f t="shared" si="12"/>
        <v>1909978.0874022099</v>
      </c>
      <c r="AH42" s="18">
        <f t="shared" si="12"/>
        <v>92853.606337802761</v>
      </c>
      <c r="AI42" s="18">
        <f t="shared" si="12"/>
        <v>308531.66010436148</v>
      </c>
      <c r="AJ42" s="18">
        <f>SUM(AJ25:AJ41)</f>
        <v>-72647.038566666641</v>
      </c>
      <c r="AK42" s="18">
        <f t="shared" si="12"/>
        <v>676943.63053784647</v>
      </c>
      <c r="AL42" s="18">
        <f t="shared" si="12"/>
        <v>2112898.3715724009</v>
      </c>
      <c r="AM42" s="18">
        <f t="shared" si="12"/>
        <v>-134161.66059226336</v>
      </c>
      <c r="AN42" s="18">
        <f t="shared" si="12"/>
        <v>4956841.7012854051</v>
      </c>
      <c r="AO42" s="18">
        <f t="shared" si="12"/>
        <v>-344098.38920724997</v>
      </c>
      <c r="AP42" s="18">
        <f t="shared" si="12"/>
        <v>-722630.37767299998</v>
      </c>
      <c r="AQ42" s="18">
        <f t="shared" si="12"/>
        <v>123556.1783805897</v>
      </c>
      <c r="AR42" s="18">
        <f t="shared" si="12"/>
        <v>303817.36784007057</v>
      </c>
      <c r="AS42" s="18">
        <f t="shared" si="12"/>
        <v>275111.97000000003</v>
      </c>
      <c r="AT42" s="18">
        <f>SUM(AT30:AT41)</f>
        <v>-31239.612311343335</v>
      </c>
      <c r="AU42" s="18">
        <f t="shared" si="12"/>
        <v>-1716532.0047519379</v>
      </c>
      <c r="AV42" s="138">
        <f>SUM(AV25:AV41)</f>
        <v>27359734.401454542</v>
      </c>
      <c r="AW42" s="138">
        <f>SUM(AW25:AW41)</f>
        <v>667238276.5447396</v>
      </c>
    </row>
    <row r="43" spans="1:50" s="2" customFormat="1" x14ac:dyDescent="0.25">
      <c r="A43" s="101">
        <f t="shared" si="2"/>
        <v>31</v>
      </c>
      <c r="B43" s="10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140"/>
      <c r="Z43" s="140"/>
      <c r="AA43" s="20"/>
      <c r="AB43" s="20"/>
      <c r="AC43" s="20"/>
      <c r="AD43" s="20">
        <f>+L43</f>
        <v>0</v>
      </c>
      <c r="AE43" s="20">
        <f>+M43</f>
        <v>0</v>
      </c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141"/>
      <c r="AV43" s="140"/>
      <c r="AW43" s="140"/>
    </row>
    <row r="44" spans="1:50" s="2" customFormat="1" ht="15.75" thickBot="1" x14ac:dyDescent="0.3">
      <c r="A44" s="101">
        <f t="shared" si="2"/>
        <v>32</v>
      </c>
      <c r="B44" s="106" t="s">
        <v>56</v>
      </c>
      <c r="C44" s="109">
        <f t="shared" ref="C44:AU44" si="13">+C17-C42</f>
        <v>103864303.9900012</v>
      </c>
      <c r="D44" s="109">
        <f t="shared" si="13"/>
        <v>1442870.5294648185</v>
      </c>
      <c r="E44" s="109">
        <f>+E17-E42</f>
        <v>31955.103665430321</v>
      </c>
      <c r="F44" s="109">
        <f t="shared" si="13"/>
        <v>1216418.5906954836</v>
      </c>
      <c r="G44" s="109">
        <f>+G17-G42</f>
        <v>12921873.95908682</v>
      </c>
      <c r="H44" s="109">
        <f t="shared" si="13"/>
        <v>-1412118.6458149552</v>
      </c>
      <c r="I44" s="109">
        <f t="shared" si="13"/>
        <v>-1256319.1261336696</v>
      </c>
      <c r="J44" s="109">
        <f t="shared" si="13"/>
        <v>-125428.75474144239</v>
      </c>
      <c r="K44" s="109">
        <f t="shared" si="13"/>
        <v>-187098.30484735657</v>
      </c>
      <c r="L44" s="109">
        <f t="shared" si="13"/>
        <v>69886.13058918016</v>
      </c>
      <c r="M44" s="109">
        <f t="shared" si="13"/>
        <v>3831.0246199423614</v>
      </c>
      <c r="N44" s="109">
        <f t="shared" si="13"/>
        <v>-204503.64267608413</v>
      </c>
      <c r="O44" s="109">
        <f t="shared" si="13"/>
        <v>-438078.27529363008</v>
      </c>
      <c r="P44" s="109">
        <f t="shared" si="13"/>
        <v>-770450.7474650637</v>
      </c>
      <c r="Q44" s="109">
        <f t="shared" si="13"/>
        <v>-52646.119560989835</v>
      </c>
      <c r="R44" s="109">
        <f t="shared" si="13"/>
        <v>-359399.40979334083</v>
      </c>
      <c r="S44" s="109">
        <f t="shared" si="13"/>
        <v>-4190.3865716636919</v>
      </c>
      <c r="T44" s="109">
        <f t="shared" si="13"/>
        <v>-10645.339606916785</v>
      </c>
      <c r="U44" s="109">
        <f t="shared" si="13"/>
        <v>0</v>
      </c>
      <c r="V44" s="109">
        <f t="shared" si="13"/>
        <v>-9738307.6067664325</v>
      </c>
      <c r="W44" s="109">
        <f t="shared" si="13"/>
        <v>520589.30140931718</v>
      </c>
      <c r="X44" s="109">
        <f t="shared" si="13"/>
        <v>0</v>
      </c>
      <c r="Y44" s="142">
        <f>+Y17-Y42</f>
        <v>1648238.2802594602</v>
      </c>
      <c r="Z44" s="142">
        <f>+Z17-Z42</f>
        <v>105512542.27026069</v>
      </c>
      <c r="AA44" s="109">
        <f t="shared" ref="AA44" si="14">+AA17-AA42</f>
        <v>-7393164.0016801059</v>
      </c>
      <c r="AB44" s="109">
        <f>+AB17-AB42</f>
        <v>13373052.872078184</v>
      </c>
      <c r="AC44" s="109">
        <f>+AC17-AC42</f>
        <v>-184151.4996562647</v>
      </c>
      <c r="AD44" s="109">
        <f t="shared" si="13"/>
        <v>-69886.130589179898</v>
      </c>
      <c r="AE44" s="109">
        <f t="shared" si="13"/>
        <v>-3831.0246199423614</v>
      </c>
      <c r="AF44" s="109">
        <f t="shared" si="13"/>
        <v>-24480.220569124907</v>
      </c>
      <c r="AG44" s="109">
        <f t="shared" si="13"/>
        <v>-1909978.0874022099</v>
      </c>
      <c r="AH44" s="109">
        <f t="shared" si="13"/>
        <v>-92853.606337802761</v>
      </c>
      <c r="AI44" s="109">
        <f t="shared" si="13"/>
        <v>-308531.66010436148</v>
      </c>
      <c r="AJ44" s="109">
        <f>+AJ17-AJ42</f>
        <v>72647.038566666641</v>
      </c>
      <c r="AK44" s="109">
        <f t="shared" si="13"/>
        <v>-676943.63053784647</v>
      </c>
      <c r="AL44" s="109">
        <f t="shared" si="13"/>
        <v>-2112898.3715724009</v>
      </c>
      <c r="AM44" s="109">
        <f t="shared" si="13"/>
        <v>134161.66059226336</v>
      </c>
      <c r="AN44" s="109">
        <f t="shared" si="13"/>
        <v>-4956841.7012854051</v>
      </c>
      <c r="AO44" s="109">
        <f t="shared" si="13"/>
        <v>344098.38920724997</v>
      </c>
      <c r="AP44" s="109">
        <f t="shared" si="13"/>
        <v>722630.37767299998</v>
      </c>
      <c r="AQ44" s="109">
        <f t="shared" si="13"/>
        <v>-123556.1783805897</v>
      </c>
      <c r="AR44" s="109">
        <f t="shared" si="13"/>
        <v>-303817.36784007057</v>
      </c>
      <c r="AS44" s="109">
        <f t="shared" si="13"/>
        <v>-275111.97000000003</v>
      </c>
      <c r="AT44" s="109">
        <f>AT25-AT42</f>
        <v>31239.612311343335</v>
      </c>
      <c r="AU44" s="109">
        <f t="shared" si="13"/>
        <v>-5263989.1653199438</v>
      </c>
      <c r="AV44" s="142">
        <f>+AV17-AV42</f>
        <v>-9022204.6654665358</v>
      </c>
      <c r="AW44" s="142">
        <f>+AW17-AW42</f>
        <v>96490337.604794025</v>
      </c>
    </row>
    <row r="45" spans="1:50" s="2" customFormat="1" ht="15.75" thickTop="1" x14ac:dyDescent="0.25">
      <c r="A45" s="101">
        <f t="shared" si="2"/>
        <v>33</v>
      </c>
      <c r="B45" s="143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Y45" s="132"/>
      <c r="Z45" s="132"/>
      <c r="AE45" s="144"/>
      <c r="AV45" s="132"/>
      <c r="AW45" s="132"/>
    </row>
    <row r="46" spans="1:50" s="16" customFormat="1" x14ac:dyDescent="0.25">
      <c r="A46" s="101">
        <f t="shared" si="2"/>
        <v>34</v>
      </c>
      <c r="B46" s="102" t="s">
        <v>57</v>
      </c>
      <c r="C46" s="15">
        <f t="shared" ref="C46:AW46" si="15">C57</f>
        <v>1951252143.2591095</v>
      </c>
      <c r="D46" s="15">
        <f t="shared" si="15"/>
        <v>0</v>
      </c>
      <c r="E46" s="15">
        <f>E57</f>
        <v>0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15">
        <f t="shared" si="15"/>
        <v>0</v>
      </c>
      <c r="P46" s="15">
        <f t="shared" si="15"/>
        <v>0</v>
      </c>
      <c r="Q46" s="15">
        <f t="shared" si="15"/>
        <v>0</v>
      </c>
      <c r="R46" s="15">
        <f t="shared" si="15"/>
        <v>0</v>
      </c>
      <c r="S46" s="15">
        <f t="shared" si="15"/>
        <v>0</v>
      </c>
      <c r="T46" s="15">
        <f t="shared" si="15"/>
        <v>0</v>
      </c>
      <c r="U46" s="15">
        <f t="shared" si="15"/>
        <v>151541662.6247718</v>
      </c>
      <c r="V46" s="15">
        <f t="shared" si="15"/>
        <v>-9738307.6067664325</v>
      </c>
      <c r="W46" s="15">
        <f t="shared" si="15"/>
        <v>0</v>
      </c>
      <c r="X46" s="15">
        <f t="shared" si="15"/>
        <v>-105391.52511888376</v>
      </c>
      <c r="Y46" s="137">
        <f t="shared" si="15"/>
        <v>141697963.49288648</v>
      </c>
      <c r="Z46" s="137">
        <f t="shared" si="15"/>
        <v>2092950106.7519956</v>
      </c>
      <c r="AA46" s="15">
        <f t="shared" si="15"/>
        <v>0</v>
      </c>
      <c r="AB46" s="15">
        <f>AB57</f>
        <v>0</v>
      </c>
      <c r="AC46" s="15">
        <f t="shared" si="15"/>
        <v>0</v>
      </c>
      <c r="AD46" s="15">
        <f t="shared" si="15"/>
        <v>0</v>
      </c>
      <c r="AE46" s="15">
        <f t="shared" si="15"/>
        <v>0</v>
      </c>
      <c r="AF46" s="15">
        <f t="shared" si="15"/>
        <v>0</v>
      </c>
      <c r="AG46" s="15">
        <f t="shared" si="15"/>
        <v>0</v>
      </c>
      <c r="AH46" s="15">
        <f t="shared" si="15"/>
        <v>0</v>
      </c>
      <c r="AI46" s="15">
        <f t="shared" si="15"/>
        <v>0</v>
      </c>
      <c r="AJ46" s="15">
        <f>AJ57</f>
        <v>0</v>
      </c>
      <c r="AK46" s="15">
        <f t="shared" si="15"/>
        <v>0</v>
      </c>
      <c r="AL46" s="15">
        <f t="shared" si="15"/>
        <v>13882662.572720127</v>
      </c>
      <c r="AM46" s="15">
        <f t="shared" si="15"/>
        <v>0</v>
      </c>
      <c r="AN46" s="15">
        <f t="shared" si="15"/>
        <v>13218338.784336466</v>
      </c>
      <c r="AO46" s="15">
        <f t="shared" si="15"/>
        <v>0</v>
      </c>
      <c r="AP46" s="15">
        <f t="shared" si="15"/>
        <v>361315.18883649912</v>
      </c>
      <c r="AQ46" s="15">
        <f t="shared" si="15"/>
        <v>5946647.6649043793</v>
      </c>
      <c r="AR46" s="15">
        <f t="shared" si="15"/>
        <v>0</v>
      </c>
      <c r="AS46" s="15">
        <f t="shared" si="15"/>
        <v>2799732.3622297375</v>
      </c>
      <c r="AT46" s="15">
        <f t="shared" si="15"/>
        <v>-9327511.0024682488</v>
      </c>
      <c r="AU46" s="15">
        <f t="shared" si="15"/>
        <v>-6388043.7029168438</v>
      </c>
      <c r="AV46" s="137">
        <f t="shared" si="15"/>
        <v>20493141.867642116</v>
      </c>
      <c r="AW46" s="137">
        <f t="shared" si="15"/>
        <v>2113443248.6196377</v>
      </c>
    </row>
    <row r="47" spans="1:50" s="2" customFormat="1" x14ac:dyDescent="0.25">
      <c r="A47" s="101">
        <f t="shared" si="2"/>
        <v>35</v>
      </c>
      <c r="B47" s="106"/>
      <c r="G47" s="27"/>
      <c r="H47" s="27"/>
      <c r="Y47" s="132"/>
      <c r="Z47" s="132"/>
      <c r="AV47" s="132"/>
      <c r="AW47" s="132"/>
    </row>
    <row r="48" spans="1:50" s="2" customFormat="1" x14ac:dyDescent="0.25">
      <c r="A48" s="101">
        <f t="shared" si="2"/>
        <v>36</v>
      </c>
      <c r="B48" s="102" t="s">
        <v>58</v>
      </c>
      <c r="C48" s="110">
        <f>+C44/C46</f>
        <v>5.3229565614477801E-2</v>
      </c>
      <c r="D48" s="104"/>
      <c r="E48" s="104"/>
      <c r="F48" s="104"/>
      <c r="G48" s="27"/>
      <c r="H48" s="27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34"/>
      <c r="Z48" s="145">
        <f>+Z44/Z46</f>
        <v>5.0413309868147474E-2</v>
      </c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59" t="s">
        <v>251</v>
      </c>
      <c r="AM48" s="104"/>
      <c r="AN48" s="159" t="s">
        <v>251</v>
      </c>
      <c r="AO48" s="104"/>
      <c r="AP48" s="104"/>
      <c r="AQ48" s="104"/>
      <c r="AR48" s="104"/>
      <c r="AS48" s="104"/>
      <c r="AT48" s="104"/>
      <c r="AU48" s="104"/>
      <c r="AV48" s="134"/>
      <c r="AW48" s="145">
        <f>+AW44/AW46</f>
        <v>4.5655513895542343E-2</v>
      </c>
    </row>
    <row r="49" spans="1:50" s="2" customFormat="1" x14ac:dyDescent="0.25">
      <c r="A49" s="101">
        <f t="shared" si="2"/>
        <v>37</v>
      </c>
      <c r="B49" s="106"/>
      <c r="C49" s="104"/>
      <c r="D49" s="104"/>
      <c r="E49" s="104"/>
      <c r="F49" s="104"/>
      <c r="G49" s="27"/>
      <c r="H49" s="27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34"/>
      <c r="Z49" s="13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59" t="s">
        <v>252</v>
      </c>
      <c r="AM49" s="104"/>
      <c r="AN49" s="159" t="s">
        <v>252</v>
      </c>
      <c r="AO49" s="104"/>
      <c r="AP49" s="104"/>
      <c r="AQ49" s="104"/>
      <c r="AR49" s="104"/>
      <c r="AS49" s="104"/>
      <c r="AT49" s="104"/>
      <c r="AU49" s="104"/>
      <c r="AV49" s="134"/>
      <c r="AW49" s="134"/>
    </row>
    <row r="50" spans="1:50" s="2" customFormat="1" x14ac:dyDescent="0.25">
      <c r="A50" s="101">
        <f t="shared" si="2"/>
        <v>38</v>
      </c>
      <c r="B50" s="106" t="s">
        <v>60</v>
      </c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34"/>
      <c r="Z50" s="13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34"/>
      <c r="AW50" s="134"/>
    </row>
    <row r="51" spans="1:50" s="2" customFormat="1" x14ac:dyDescent="0.25">
      <c r="A51" s="101">
        <f t="shared" si="2"/>
        <v>39</v>
      </c>
      <c r="B51" s="111" t="s">
        <v>61</v>
      </c>
      <c r="C51" s="15">
        <f>+'[5]Lead G'!$C$11</f>
        <v>4100600279.3772311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>
        <f>'[3]Common Adj'!EM14</f>
        <v>200340092.80947351</v>
      </c>
      <c r="W51" s="15"/>
      <c r="X51" s="15">
        <f>+'[3]Common Adj'!IE16</f>
        <v>-113323.24398580618</v>
      </c>
      <c r="Y51" s="137">
        <f t="shared" ref="Y51:Y56" si="16">SUM(D51:X51)</f>
        <v>200226769.56548771</v>
      </c>
      <c r="Z51" s="137">
        <f t="shared" ref="Z51:Z56" si="17">+Y51+C51</f>
        <v>4300827048.9427185</v>
      </c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>
        <f>+'[3]Common Adj'!FU16</f>
        <v>12465833.289999997</v>
      </c>
      <c r="AM51" s="15">
        <f>+'[3]Common Adj'!GC37</f>
        <v>0</v>
      </c>
      <c r="AN51" s="15">
        <f>'[3]Common Adj'!GK16</f>
        <v>10974426.034299001</v>
      </c>
      <c r="AO51" s="15"/>
      <c r="AP51" s="15"/>
      <c r="AQ51" s="15">
        <f>+'[3]Common Adj'!HI15</f>
        <v>6264183.9699999997</v>
      </c>
      <c r="AR51" s="15"/>
      <c r="AS51" s="15">
        <f>'[3]Common Adj'!HY16</f>
        <v>3482430</v>
      </c>
      <c r="AT51" s="15">
        <f>'[3]Gas Adj'!H15</f>
        <v>-9377979.3800000008</v>
      </c>
      <c r="AU51" s="15">
        <f>'[3]Gas Adj'!Q37</f>
        <v>0</v>
      </c>
      <c r="AV51" s="137">
        <f t="shared" ref="AV51:AV56" si="18">SUM(AA51:AU51)</f>
        <v>23808893.914298996</v>
      </c>
      <c r="AW51" s="137">
        <f t="shared" ref="AW51:AW56" si="19">+AV51+Z51</f>
        <v>4324635942.8570175</v>
      </c>
    </row>
    <row r="52" spans="1:50" s="2" customFormat="1" x14ac:dyDescent="0.25">
      <c r="A52" s="101">
        <f t="shared" si="2"/>
        <v>40</v>
      </c>
      <c r="B52" s="111" t="s">
        <v>223</v>
      </c>
      <c r="C52" s="139">
        <f>+'[5]Lead G'!C12</f>
        <v>-1569795173.3202429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>
        <f>'[3]Common Adj'!EM15</f>
        <v>-55515781.67730689</v>
      </c>
      <c r="V52" s="139">
        <f>'[3]Common Adj'!EU29</f>
        <v>-12326971.654134724</v>
      </c>
      <c r="W52" s="104"/>
      <c r="X52" s="104"/>
      <c r="Y52" s="134">
        <f>SUM(D52:X52)</f>
        <v>-67842753.331441611</v>
      </c>
      <c r="Z52" s="134">
        <f t="shared" si="17"/>
        <v>-1637637926.6516845</v>
      </c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>
        <f>+'[3]Common Adj'!FU17</f>
        <v>-1019306.0138624996</v>
      </c>
      <c r="AM52" s="104">
        <f>+'[3]Common Adj'!GC38</f>
        <v>0</v>
      </c>
      <c r="AN52" s="104">
        <f>'[3]Common Adj'!GK17</f>
        <v>-4519875.9271734888</v>
      </c>
      <c r="AO52" s="104"/>
      <c r="AP52" s="104"/>
      <c r="AQ52" s="15">
        <f>+'[3]Common Adj'!HI16</f>
        <v>-259802.34853480852</v>
      </c>
      <c r="AR52" s="104"/>
      <c r="AS52" s="104">
        <f>'[3]Common Adj'!HY17</f>
        <v>-493344.24999999988</v>
      </c>
      <c r="AT52" s="104">
        <f>'[3]Gas Adj'!H16</f>
        <v>39543.813052333338</v>
      </c>
      <c r="AU52" s="15">
        <f>'[3]Gas Adj'!Q38</f>
        <v>-5658425.3422582783</v>
      </c>
      <c r="AV52" s="134">
        <f t="shared" si="18"/>
        <v>-11911210.068776742</v>
      </c>
      <c r="AW52" s="134">
        <f t="shared" si="19"/>
        <v>-1649549136.7204614</v>
      </c>
    </row>
    <row r="53" spans="1:50" s="2" customFormat="1" x14ac:dyDescent="0.25">
      <c r="A53" s="101">
        <f t="shared" si="2"/>
        <v>41</v>
      </c>
      <c r="B53" s="106" t="s">
        <v>224</v>
      </c>
      <c r="C53" s="139">
        <f>+'[5]Lead G'!C13</f>
        <v>-604032300.68879509</v>
      </c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>
        <f>'[3]Common Adj'!EM16</f>
        <v>3758546.0358800888</v>
      </c>
      <c r="V53" s="139">
        <f>'[3]Common Adj'!EU30</f>
        <v>2588664.0473682922</v>
      </c>
      <c r="W53" s="104"/>
      <c r="X53" s="104">
        <f>+'[3]Common Adj'!IE17</f>
        <v>7931.7188669224333</v>
      </c>
      <c r="Y53" s="134">
        <f t="shared" si="16"/>
        <v>6355141.8021153035</v>
      </c>
      <c r="Z53" s="134">
        <f t="shared" si="17"/>
        <v>-597677158.88667977</v>
      </c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>
        <f>+'[3]Common Adj'!FU18+'[3]Common Adj'!FU23</f>
        <v>-1752248.6613244195</v>
      </c>
      <c r="AM53" s="104">
        <f>+'[3]Common Adj'!GC39</f>
        <v>0</v>
      </c>
      <c r="AN53" s="104">
        <f>'[3]Common Adj'!GK18+'[3]Common Adj'!GK24</f>
        <v>-1844229.0181584172</v>
      </c>
      <c r="AO53" s="104"/>
      <c r="AP53" s="104">
        <f>'[3]Common Adj'!HA16</f>
        <v>361315.18883649912</v>
      </c>
      <c r="AQ53" s="104"/>
      <c r="AR53" s="104"/>
      <c r="AS53" s="104">
        <f>'[3]Common Adj'!HY18</f>
        <v>-189353.38777026249</v>
      </c>
      <c r="AT53" s="104">
        <f>'[3]Gas Adj'!H17</f>
        <v>10924.564479418335</v>
      </c>
      <c r="AU53" s="15">
        <f>'[3]Gas Adj'!Q39</f>
        <v>-729618.36065856554</v>
      </c>
      <c r="AV53" s="134">
        <f t="shared" si="18"/>
        <v>-4143209.6745957471</v>
      </c>
      <c r="AW53" s="134">
        <f t="shared" si="19"/>
        <v>-601820368.56127548</v>
      </c>
    </row>
    <row r="54" spans="1:50" s="2" customFormat="1" x14ac:dyDescent="0.25">
      <c r="A54" s="101">
        <f t="shared" si="2"/>
        <v>42</v>
      </c>
      <c r="B54" s="106" t="s">
        <v>225</v>
      </c>
      <c r="C54" s="139">
        <f>+'[5]Lead G'!C14</f>
        <v>-29952462.162250079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>
        <f>'[3]Common Adj'!EM17</f>
        <v>2958805.4567250796</v>
      </c>
      <c r="V54" s="139"/>
      <c r="W54" s="104"/>
      <c r="X54" s="104"/>
      <c r="Y54" s="134">
        <f t="shared" si="16"/>
        <v>2958805.4567250796</v>
      </c>
      <c r="Z54" s="134">
        <f t="shared" si="17"/>
        <v>-26993656.705525</v>
      </c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5">
        <f>+'[3]Common Adj'!HI17</f>
        <v>-57733.95656081185</v>
      </c>
      <c r="AR54" s="104"/>
      <c r="AS54" s="104"/>
      <c r="AT54" s="104"/>
      <c r="AU54" s="104"/>
      <c r="AV54" s="134">
        <f t="shared" si="18"/>
        <v>-57733.95656081185</v>
      </c>
      <c r="AW54" s="134">
        <f t="shared" si="19"/>
        <v>-27051390.662085813</v>
      </c>
    </row>
    <row r="55" spans="1:50" s="2" customFormat="1" x14ac:dyDescent="0.25">
      <c r="A55" s="101">
        <f t="shared" si="2"/>
        <v>43</v>
      </c>
      <c r="B55" s="106" t="s">
        <v>65</v>
      </c>
      <c r="C55" s="139">
        <f>+'[5]Lead G'!$C$15</f>
        <v>54431800.053166389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46">
        <f>'[3]Common Adj'!EM18</f>
        <v>0</v>
      </c>
      <c r="V55" s="139"/>
      <c r="W55" s="104"/>
      <c r="X55" s="104"/>
      <c r="Y55" s="147">
        <f t="shared" si="16"/>
        <v>0</v>
      </c>
      <c r="Z55" s="134">
        <f t="shared" si="17"/>
        <v>54431800.053166389</v>
      </c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34">
        <f t="shared" si="18"/>
        <v>0</v>
      </c>
      <c r="AW55" s="134">
        <f t="shared" si="19"/>
        <v>54431800.053166389</v>
      </c>
    </row>
    <row r="56" spans="1:50" s="2" customFormat="1" x14ac:dyDescent="0.25">
      <c r="A56" s="101">
        <f t="shared" si="2"/>
        <v>44</v>
      </c>
      <c r="B56" s="106" t="s">
        <v>66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04"/>
      <c r="X56" s="104"/>
      <c r="Y56" s="134">
        <f t="shared" si="16"/>
        <v>0</v>
      </c>
      <c r="Z56" s="134">
        <f t="shared" si="17"/>
        <v>0</v>
      </c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>
        <f>+'[3]Common Adj'!FU21++'[3]Common Adj'!FU22</f>
        <v>4188383.9579070485</v>
      </c>
      <c r="AM56" s="104"/>
      <c r="AN56" s="104">
        <f>'[3]Common Adj'!GK22+'[3]Common Adj'!GK23</f>
        <v>8608017.6953693703</v>
      </c>
      <c r="AO56" s="104"/>
      <c r="AP56" s="104"/>
      <c r="AQ56" s="104"/>
      <c r="AR56" s="104"/>
      <c r="AS56" s="104"/>
      <c r="AT56" s="104"/>
      <c r="AU56" s="104"/>
      <c r="AV56" s="134">
        <f t="shared" si="18"/>
        <v>12796401.653276419</v>
      </c>
      <c r="AW56" s="134">
        <f t="shared" si="19"/>
        <v>12796401.653276419</v>
      </c>
    </row>
    <row r="57" spans="1:50" s="2" customFormat="1" ht="15.75" thickBot="1" x14ac:dyDescent="0.3">
      <c r="A57" s="101">
        <f t="shared" si="2"/>
        <v>45</v>
      </c>
      <c r="B57" s="106" t="s">
        <v>67</v>
      </c>
      <c r="C57" s="148">
        <f t="shared" ref="C57:AW57" si="20">SUM(C51:C56)</f>
        <v>1951252143.2591095</v>
      </c>
      <c r="D57" s="148">
        <f t="shared" si="20"/>
        <v>0</v>
      </c>
      <c r="E57" s="148">
        <f>SUM(E51:E56)</f>
        <v>0</v>
      </c>
      <c r="F57" s="148">
        <f t="shared" si="20"/>
        <v>0</v>
      </c>
      <c r="G57" s="148">
        <f t="shared" si="20"/>
        <v>0</v>
      </c>
      <c r="H57" s="148">
        <f t="shared" si="20"/>
        <v>0</v>
      </c>
      <c r="I57" s="148">
        <f t="shared" si="20"/>
        <v>0</v>
      </c>
      <c r="J57" s="148">
        <f t="shared" si="20"/>
        <v>0</v>
      </c>
      <c r="K57" s="148">
        <f t="shared" si="20"/>
        <v>0</v>
      </c>
      <c r="L57" s="148">
        <f t="shared" si="20"/>
        <v>0</v>
      </c>
      <c r="M57" s="148">
        <f t="shared" si="20"/>
        <v>0</v>
      </c>
      <c r="N57" s="148">
        <f t="shared" si="20"/>
        <v>0</v>
      </c>
      <c r="O57" s="148">
        <f t="shared" si="20"/>
        <v>0</v>
      </c>
      <c r="P57" s="148">
        <f t="shared" si="20"/>
        <v>0</v>
      </c>
      <c r="Q57" s="148">
        <f t="shared" si="20"/>
        <v>0</v>
      </c>
      <c r="R57" s="148">
        <f t="shared" si="20"/>
        <v>0</v>
      </c>
      <c r="S57" s="148">
        <f t="shared" si="20"/>
        <v>0</v>
      </c>
      <c r="T57" s="148">
        <f t="shared" si="20"/>
        <v>0</v>
      </c>
      <c r="U57" s="148">
        <f t="shared" si="20"/>
        <v>151541662.6247718</v>
      </c>
      <c r="V57" s="148">
        <f t="shared" si="20"/>
        <v>-9738307.6067664325</v>
      </c>
      <c r="W57" s="148">
        <f t="shared" si="20"/>
        <v>0</v>
      </c>
      <c r="X57" s="148">
        <f t="shared" si="20"/>
        <v>-105391.52511888376</v>
      </c>
      <c r="Y57" s="149">
        <f t="shared" si="20"/>
        <v>141697963.49288648</v>
      </c>
      <c r="Z57" s="149">
        <f t="shared" si="20"/>
        <v>2092950106.7519956</v>
      </c>
      <c r="AA57" s="148">
        <f t="shared" si="20"/>
        <v>0</v>
      </c>
      <c r="AB57" s="148">
        <f>SUM(AB51:AB56)</f>
        <v>0</v>
      </c>
      <c r="AC57" s="148">
        <f t="shared" si="20"/>
        <v>0</v>
      </c>
      <c r="AD57" s="148">
        <f t="shared" si="20"/>
        <v>0</v>
      </c>
      <c r="AE57" s="148">
        <f t="shared" si="20"/>
        <v>0</v>
      </c>
      <c r="AF57" s="148">
        <f t="shared" si="20"/>
        <v>0</v>
      </c>
      <c r="AG57" s="148">
        <f t="shared" si="20"/>
        <v>0</v>
      </c>
      <c r="AH57" s="148">
        <f t="shared" si="20"/>
        <v>0</v>
      </c>
      <c r="AI57" s="148">
        <f t="shared" si="20"/>
        <v>0</v>
      </c>
      <c r="AJ57" s="148">
        <f>SUM(AJ51:AJ56)</f>
        <v>0</v>
      </c>
      <c r="AK57" s="148">
        <f t="shared" si="20"/>
        <v>0</v>
      </c>
      <c r="AL57" s="148">
        <f t="shared" si="20"/>
        <v>13882662.572720127</v>
      </c>
      <c r="AM57" s="148">
        <f t="shared" si="20"/>
        <v>0</v>
      </c>
      <c r="AN57" s="148">
        <f t="shared" si="20"/>
        <v>13218338.784336466</v>
      </c>
      <c r="AO57" s="148">
        <f t="shared" si="20"/>
        <v>0</v>
      </c>
      <c r="AP57" s="148">
        <f t="shared" si="20"/>
        <v>361315.18883649912</v>
      </c>
      <c r="AQ57" s="148">
        <f t="shared" si="20"/>
        <v>5946647.6649043793</v>
      </c>
      <c r="AR57" s="148">
        <f t="shared" si="20"/>
        <v>0</v>
      </c>
      <c r="AS57" s="148">
        <f t="shared" si="20"/>
        <v>2799732.3622297375</v>
      </c>
      <c r="AT57" s="148">
        <f t="shared" si="20"/>
        <v>-9327511.0024682488</v>
      </c>
      <c r="AU57" s="148">
        <f t="shared" si="20"/>
        <v>-6388043.7029168438</v>
      </c>
      <c r="AV57" s="149">
        <f t="shared" si="20"/>
        <v>20493141.867642116</v>
      </c>
      <c r="AW57" s="149">
        <f t="shared" si="20"/>
        <v>2113443248.6196377</v>
      </c>
    </row>
    <row r="58" spans="1:50" ht="16.5" thickTop="1" thickBot="1" x14ac:dyDescent="0.3">
      <c r="A58" s="101">
        <f t="shared" si="2"/>
        <v>46</v>
      </c>
      <c r="C58" s="150">
        <f>+'[5]Lead G'!$C$16-C57</f>
        <v>0</v>
      </c>
      <c r="G58" s="95" t="s">
        <v>218</v>
      </c>
      <c r="X58" s="115"/>
      <c r="Y58" s="151"/>
      <c r="Z58" s="152"/>
      <c r="AV58" s="152"/>
      <c r="AW58" s="152"/>
    </row>
    <row r="59" spans="1:50" ht="15.75" thickBot="1" x14ac:dyDescent="0.3">
      <c r="A59" s="101">
        <f t="shared" si="2"/>
        <v>47</v>
      </c>
      <c r="B59" s="158" t="s">
        <v>68</v>
      </c>
      <c r="C59" s="158">
        <f>+'[3]COC, Def, ConvF'!$C$13</f>
        <v>7.4800000000000005E-2</v>
      </c>
      <c r="D59" s="158">
        <f>+'[3]COC, Def, ConvF'!$C$13</f>
        <v>7.4800000000000005E-2</v>
      </c>
      <c r="E59" s="158">
        <f>+'[3]COC, Def, ConvF'!$C$13</f>
        <v>7.4800000000000005E-2</v>
      </c>
      <c r="F59" s="165">
        <f>+'[3]COC, Def, ConvF'!$C$13</f>
        <v>7.4800000000000005E-2</v>
      </c>
      <c r="G59" s="158">
        <f>+'[3]COC-Restating'!E13</f>
        <v>7.5999999999999998E-2</v>
      </c>
      <c r="H59" s="158">
        <f>+'[3]COC, Def, ConvF'!$C$13</f>
        <v>7.4800000000000005E-2</v>
      </c>
      <c r="I59" s="158">
        <f>+'[3]COC, Def, ConvF'!$C$13</f>
        <v>7.4800000000000005E-2</v>
      </c>
      <c r="J59" s="158">
        <f>+'[3]COC, Def, ConvF'!$C$13</f>
        <v>7.4800000000000005E-2</v>
      </c>
      <c r="K59" s="158">
        <f>+'[3]COC, Def, ConvF'!$C$13</f>
        <v>7.4800000000000005E-2</v>
      </c>
      <c r="L59" s="158">
        <f>+'[3]COC, Def, ConvF'!$C$13</f>
        <v>7.4800000000000005E-2</v>
      </c>
      <c r="M59" s="158">
        <f>+'[3]COC, Def, ConvF'!$C$13</f>
        <v>7.4800000000000005E-2</v>
      </c>
      <c r="N59" s="158">
        <f>+'[3]COC, Def, ConvF'!$C$13</f>
        <v>7.4800000000000005E-2</v>
      </c>
      <c r="O59" s="158">
        <f>+'[3]COC, Def, ConvF'!$C$13</f>
        <v>7.4800000000000005E-2</v>
      </c>
      <c r="P59" s="158">
        <f>+'[3]COC, Def, ConvF'!$C$13</f>
        <v>7.4800000000000005E-2</v>
      </c>
      <c r="Q59" s="158">
        <f>+'[3]COC, Def, ConvF'!$C$13</f>
        <v>7.4800000000000005E-2</v>
      </c>
      <c r="R59" s="158">
        <f>+'[3]COC, Def, ConvF'!$C$13</f>
        <v>7.4800000000000005E-2</v>
      </c>
      <c r="S59" s="158">
        <f>+'[3]COC, Def, ConvF'!$C$13</f>
        <v>7.4800000000000005E-2</v>
      </c>
      <c r="T59" s="158">
        <f>+'[3]COC, Def, ConvF'!$C$13</f>
        <v>7.4800000000000005E-2</v>
      </c>
      <c r="U59" s="158">
        <f>+'[3]COC, Def, ConvF'!$C$13</f>
        <v>7.4800000000000005E-2</v>
      </c>
      <c r="V59" s="158">
        <f>+'[3]COC, Def, ConvF'!$C$13</f>
        <v>7.4800000000000005E-2</v>
      </c>
      <c r="W59" s="158">
        <f>+'[3]COC, Def, ConvF'!$C$13</f>
        <v>7.4800000000000005E-2</v>
      </c>
      <c r="X59" s="166">
        <f>+'[3]COC, Def, ConvF'!$C$13</f>
        <v>7.4800000000000005E-2</v>
      </c>
      <c r="Y59" s="167">
        <f>+'[3]COC, Def, ConvF'!$C$13</f>
        <v>7.4800000000000005E-2</v>
      </c>
      <c r="Z59" s="158">
        <f>+'[3]COC, Def, ConvF'!$C$13</f>
        <v>7.4800000000000005E-2</v>
      </c>
      <c r="AA59" s="158">
        <f>+'[3]COC, Def, ConvF'!$C$13</f>
        <v>7.4800000000000005E-2</v>
      </c>
      <c r="AB59" s="158">
        <f>+'[3]COC, Def, ConvF'!$C$13</f>
        <v>7.4800000000000005E-2</v>
      </c>
      <c r="AC59" s="158">
        <f>+'[3]COC, Def, ConvF'!$C$13</f>
        <v>7.4800000000000005E-2</v>
      </c>
      <c r="AD59" s="158">
        <f>+'[3]COC, Def, ConvF'!$C$13</f>
        <v>7.4800000000000005E-2</v>
      </c>
      <c r="AE59" s="158">
        <f>+'[3]COC, Def, ConvF'!$C$13</f>
        <v>7.4800000000000005E-2</v>
      </c>
      <c r="AF59" s="158">
        <f>+'[3]COC, Def, ConvF'!$C$13</f>
        <v>7.4800000000000005E-2</v>
      </c>
      <c r="AG59" s="158">
        <f>+'[3]COC, Def, ConvF'!$C$13</f>
        <v>7.4800000000000005E-2</v>
      </c>
      <c r="AH59" s="158">
        <f>+'[3]COC, Def, ConvF'!$C$13</f>
        <v>7.4800000000000005E-2</v>
      </c>
      <c r="AI59" s="158">
        <f>+'[3]COC, Def, ConvF'!$C$13</f>
        <v>7.4800000000000005E-2</v>
      </c>
      <c r="AJ59" s="158">
        <f>+'[3]COC, Def, ConvF'!$C$13</f>
        <v>7.4800000000000005E-2</v>
      </c>
      <c r="AK59" s="158">
        <f>+'[3]COC, Def, ConvF'!$C$13</f>
        <v>7.4800000000000005E-2</v>
      </c>
      <c r="AL59" s="158">
        <f>+'[3]COC, Def, ConvF'!$C$13</f>
        <v>7.4800000000000005E-2</v>
      </c>
      <c r="AM59" s="158">
        <f>+'[3]COC, Def, ConvF'!$C$13</f>
        <v>7.4800000000000005E-2</v>
      </c>
      <c r="AN59" s="158">
        <f>+'[3]COC, Def, ConvF'!$C$13</f>
        <v>7.4800000000000005E-2</v>
      </c>
      <c r="AO59" s="158">
        <f>+'[3]COC, Def, ConvF'!$C$13</f>
        <v>7.4800000000000005E-2</v>
      </c>
      <c r="AP59" s="158">
        <f>+'[3]COC, Def, ConvF'!$C$13</f>
        <v>7.4800000000000005E-2</v>
      </c>
      <c r="AQ59" s="158">
        <f>+'[3]COC, Def, ConvF'!$C$13</f>
        <v>7.4800000000000005E-2</v>
      </c>
      <c r="AR59" s="158">
        <f>+'[3]COC, Def, ConvF'!$C$13</f>
        <v>7.4800000000000005E-2</v>
      </c>
      <c r="AS59" s="158">
        <f>+'[3]COC, Def, ConvF'!$C$13</f>
        <v>7.4800000000000005E-2</v>
      </c>
      <c r="AT59" s="166">
        <f>+'[3]COC, Def, ConvF'!$C$13</f>
        <v>7.4800000000000005E-2</v>
      </c>
      <c r="AU59" s="166">
        <f>+'[3]COC, Def, ConvF'!$C$13</f>
        <v>7.4800000000000005E-2</v>
      </c>
      <c r="AV59" s="168">
        <f>+'[3]COC, Def, ConvF'!$C$13</f>
        <v>7.4800000000000005E-2</v>
      </c>
      <c r="AW59" s="168">
        <f>+'[3]COC, Def, ConvF'!$C$13</f>
        <v>7.4800000000000005E-2</v>
      </c>
      <c r="AX59" s="2"/>
    </row>
    <row r="60" spans="1:50" x14ac:dyDescent="0.25">
      <c r="A60" s="101">
        <f t="shared" si="2"/>
        <v>48</v>
      </c>
      <c r="B60" s="153" t="s">
        <v>69</v>
      </c>
      <c r="C60" s="153">
        <f>+'[3]COC, Def, ConvF'!$M$20</f>
        <v>0.75409700000000002</v>
      </c>
      <c r="D60" s="153">
        <f>+'[3]COC, Def, ConvF'!$M$20</f>
        <v>0.75409700000000002</v>
      </c>
      <c r="E60" s="153">
        <f>+'[3]COC, Def, ConvF'!$M$20</f>
        <v>0.75409700000000002</v>
      </c>
      <c r="F60" s="153">
        <f>+'[3]COC, Def, ConvF'!$M$20</f>
        <v>0.75409700000000002</v>
      </c>
      <c r="G60" s="153">
        <f>+'[3]COC, Def, ConvF'!$M$20</f>
        <v>0.75409700000000002</v>
      </c>
      <c r="H60" s="153">
        <f>+'[3]COC, Def, ConvF'!$M$20</f>
        <v>0.75409700000000002</v>
      </c>
      <c r="I60" s="153">
        <f>+'[3]COC, Def, ConvF'!$M$20</f>
        <v>0.75409700000000002</v>
      </c>
      <c r="J60" s="153">
        <f>+'[3]COC, Def, ConvF'!$M$20</f>
        <v>0.75409700000000002</v>
      </c>
      <c r="K60" s="153">
        <f>+'[3]COC, Def, ConvF'!$M$20</f>
        <v>0.75409700000000002</v>
      </c>
      <c r="L60" s="153">
        <f>+'[3]COC, Def, ConvF'!$M$20</f>
        <v>0.75409700000000002</v>
      </c>
      <c r="M60" s="153">
        <f>+'[3]COC, Def, ConvF'!$M$20</f>
        <v>0.75409700000000002</v>
      </c>
      <c r="N60" s="153">
        <f>+'[3]COC, Def, ConvF'!$M$20</f>
        <v>0.75409700000000002</v>
      </c>
      <c r="O60" s="153">
        <f>+'[3]COC, Def, ConvF'!$M$20</f>
        <v>0.75409700000000002</v>
      </c>
      <c r="P60" s="153">
        <f>+'[3]COC, Def, ConvF'!$M$20</f>
        <v>0.75409700000000002</v>
      </c>
      <c r="Q60" s="153">
        <f>+'[3]COC, Def, ConvF'!$M$20</f>
        <v>0.75409700000000002</v>
      </c>
      <c r="R60" s="153">
        <f>+'[3]COC, Def, ConvF'!$M$20</f>
        <v>0.75409700000000002</v>
      </c>
      <c r="S60" s="153">
        <f>+'[3]COC, Def, ConvF'!$M$20</f>
        <v>0.75409700000000002</v>
      </c>
      <c r="T60" s="153">
        <f>+'[3]COC, Def, ConvF'!$M$20</f>
        <v>0.75409700000000002</v>
      </c>
      <c r="U60" s="153">
        <f>+'[3]COC, Def, ConvF'!$M$20</f>
        <v>0.75409700000000002</v>
      </c>
      <c r="V60" s="153">
        <f>+'[3]COC, Def, ConvF'!$M$20</f>
        <v>0.75409700000000002</v>
      </c>
      <c r="W60" s="153">
        <f>+'[3]COC, Def, ConvF'!$M$20</f>
        <v>0.75409700000000002</v>
      </c>
      <c r="X60" s="154">
        <f>+'[3]COC, Def, ConvF'!$M$20</f>
        <v>0.75409700000000002</v>
      </c>
      <c r="Y60" s="155">
        <f>+'[3]COC, Def, ConvF'!$M$20</f>
        <v>0.75409700000000002</v>
      </c>
      <c r="Z60" s="153">
        <f>+'[3]COC, Def, ConvF'!$M$20</f>
        <v>0.75409700000000002</v>
      </c>
      <c r="AA60" s="153">
        <f>+'[3]COC, Def, ConvF'!$M$20</f>
        <v>0.75409700000000002</v>
      </c>
      <c r="AB60" s="153">
        <f>+'[3]COC, Def, ConvF'!$M$20</f>
        <v>0.75409700000000002</v>
      </c>
      <c r="AC60" s="153">
        <f>+'[3]COC, Def, ConvF'!$M$20</f>
        <v>0.75409700000000002</v>
      </c>
      <c r="AD60" s="153">
        <f>+'[3]COC, Def, ConvF'!$M$20</f>
        <v>0.75409700000000002</v>
      </c>
      <c r="AE60" s="153">
        <f>+'[3]COC, Def, ConvF'!$M$20</f>
        <v>0.75409700000000002</v>
      </c>
      <c r="AF60" s="153">
        <f>+'[3]COC, Def, ConvF'!$M$20</f>
        <v>0.75409700000000002</v>
      </c>
      <c r="AG60" s="153">
        <f>+'[3]COC, Def, ConvF'!$M$20</f>
        <v>0.75409700000000002</v>
      </c>
      <c r="AH60" s="153">
        <f>+'[3]COC, Def, ConvF'!$M$20</f>
        <v>0.75409700000000002</v>
      </c>
      <c r="AI60" s="153">
        <f>+'[3]COC, Def, ConvF'!$M$20</f>
        <v>0.75409700000000002</v>
      </c>
      <c r="AJ60" s="153">
        <f>+'[3]COC, Def, ConvF'!$M$20</f>
        <v>0.75409700000000002</v>
      </c>
      <c r="AK60" s="153">
        <f>+'[3]COC, Def, ConvF'!$M$20</f>
        <v>0.75409700000000002</v>
      </c>
      <c r="AL60" s="153">
        <f>+'[3]COC, Def, ConvF'!$M$20</f>
        <v>0.75409700000000002</v>
      </c>
      <c r="AM60" s="153">
        <f>+'[3]COC, Def, ConvF'!$M$20</f>
        <v>0.75409700000000002</v>
      </c>
      <c r="AN60" s="153">
        <f>+'[3]COC, Def, ConvF'!$M$20</f>
        <v>0.75409700000000002</v>
      </c>
      <c r="AO60" s="153">
        <f>+'[3]COC, Def, ConvF'!$M$20</f>
        <v>0.75409700000000002</v>
      </c>
      <c r="AP60" s="153">
        <f>+'[3]COC, Def, ConvF'!$M$20</f>
        <v>0.75409700000000002</v>
      </c>
      <c r="AQ60" s="153">
        <f>+'[3]COC, Def, ConvF'!$M$20</f>
        <v>0.75409700000000002</v>
      </c>
      <c r="AR60" s="153">
        <f>+'[3]COC, Def, ConvF'!$M$20</f>
        <v>0.75409700000000002</v>
      </c>
      <c r="AS60" s="153">
        <f>+'[3]COC, Def, ConvF'!$M$20</f>
        <v>0.75409700000000002</v>
      </c>
      <c r="AT60" s="154">
        <f>+'[3]COC, Def, ConvF'!$M$20</f>
        <v>0.75409700000000002</v>
      </c>
      <c r="AU60" s="154">
        <f>+'[3]COC, Def, ConvF'!$M$20</f>
        <v>0.75409700000000002</v>
      </c>
      <c r="AV60" s="156">
        <f>+'[3]COC, Def, ConvF'!$M$20</f>
        <v>0.75409700000000002</v>
      </c>
      <c r="AW60" s="156">
        <f>+'[3]COC, Def, ConvF'!$M$20</f>
        <v>0.75409700000000002</v>
      </c>
    </row>
    <row r="61" spans="1:50" x14ac:dyDescent="0.25">
      <c r="A61" s="101">
        <f t="shared" si="2"/>
        <v>49</v>
      </c>
      <c r="B61" s="16" t="s">
        <v>70</v>
      </c>
      <c r="C61" s="16">
        <f t="shared" ref="C61:AU61" si="21">+C44-(C57*C59)</f>
        <v>-42089356.325780213</v>
      </c>
      <c r="D61" s="157">
        <f t="shared" si="21"/>
        <v>1442870.5294648185</v>
      </c>
      <c r="E61" s="157">
        <f>+E44-(E57*E59)</f>
        <v>31955.103665430321</v>
      </c>
      <c r="F61" s="157">
        <f t="shared" si="21"/>
        <v>1216418.5906954836</v>
      </c>
      <c r="G61" s="157">
        <f>+G44-(G57*G59)</f>
        <v>12921873.95908682</v>
      </c>
      <c r="H61" s="157">
        <f t="shared" si="21"/>
        <v>-1412118.6458149552</v>
      </c>
      <c r="I61" s="157">
        <f t="shared" si="21"/>
        <v>-1256319.1261336696</v>
      </c>
      <c r="J61" s="157">
        <f t="shared" si="21"/>
        <v>-125428.75474144239</v>
      </c>
      <c r="K61" s="157">
        <f t="shared" si="21"/>
        <v>-187098.30484735657</v>
      </c>
      <c r="L61" s="157">
        <f t="shared" si="21"/>
        <v>69886.13058918016</v>
      </c>
      <c r="M61" s="157">
        <f t="shared" si="21"/>
        <v>3831.0246199423614</v>
      </c>
      <c r="N61" s="157">
        <f t="shared" si="21"/>
        <v>-204503.64267608413</v>
      </c>
      <c r="O61" s="157">
        <f t="shared" si="21"/>
        <v>-438078.27529363008</v>
      </c>
      <c r="P61" s="157">
        <f t="shared" si="21"/>
        <v>-770450.7474650637</v>
      </c>
      <c r="Q61" s="157">
        <f t="shared" si="21"/>
        <v>-52646.119560989835</v>
      </c>
      <c r="R61" s="157">
        <f t="shared" si="21"/>
        <v>-359399.40979334083</v>
      </c>
      <c r="S61" s="157">
        <f t="shared" si="21"/>
        <v>-4190.3865716636919</v>
      </c>
      <c r="T61" s="157">
        <f t="shared" si="21"/>
        <v>-10645.339606916785</v>
      </c>
      <c r="U61" s="16">
        <f t="shared" si="21"/>
        <v>-11335316.364332931</v>
      </c>
      <c r="V61" s="16">
        <f t="shared" si="21"/>
        <v>-9009882.1977803037</v>
      </c>
      <c r="W61" s="157">
        <f t="shared" si="21"/>
        <v>520589.30140931718</v>
      </c>
      <c r="X61" s="169">
        <f t="shared" si="21"/>
        <v>7883.2860788925054</v>
      </c>
      <c r="Y61" s="16">
        <f>+Y44-(Y57*Y59)</f>
        <v>-8950769.3890084494</v>
      </c>
      <c r="Z61" s="16">
        <f>+Z44-(Z57*Z59)</f>
        <v>-51040125.714788586</v>
      </c>
      <c r="AA61" s="157">
        <f t="shared" ref="AA61" si="22">+AA44-(AA57*AA59)</f>
        <v>-7393164.0016801059</v>
      </c>
      <c r="AB61" s="157">
        <f>+AB44-(AB57*AB59)</f>
        <v>13373052.872078184</v>
      </c>
      <c r="AC61" s="157">
        <f>+AC44-(AC57*AC59)</f>
        <v>-184151.4996562647</v>
      </c>
      <c r="AD61" s="157">
        <f t="shared" si="21"/>
        <v>-69886.130589179898</v>
      </c>
      <c r="AE61" s="157">
        <f t="shared" si="21"/>
        <v>-3831.0246199423614</v>
      </c>
      <c r="AF61" s="157">
        <f t="shared" si="21"/>
        <v>-24480.220569124907</v>
      </c>
      <c r="AG61" s="157">
        <f t="shared" si="21"/>
        <v>-1909978.0874022099</v>
      </c>
      <c r="AH61" s="157">
        <f t="shared" si="21"/>
        <v>-92853.606337802761</v>
      </c>
      <c r="AI61" s="157">
        <f t="shared" si="21"/>
        <v>-308531.66010436148</v>
      </c>
      <c r="AJ61" s="157">
        <f>+AJ44-(AJ57*AJ59)</f>
        <v>72647.038566666641</v>
      </c>
      <c r="AK61" s="157">
        <f t="shared" si="21"/>
        <v>-676943.63053784647</v>
      </c>
      <c r="AL61" s="16">
        <f t="shared" si="21"/>
        <v>-3151321.5320118666</v>
      </c>
      <c r="AM61" s="157">
        <f t="shared" si="21"/>
        <v>134161.66059226336</v>
      </c>
      <c r="AN61" s="16">
        <f t="shared" si="21"/>
        <v>-5945573.4423537729</v>
      </c>
      <c r="AO61" s="157">
        <f t="shared" si="21"/>
        <v>344098.38920724997</v>
      </c>
      <c r="AP61" s="16">
        <f t="shared" si="21"/>
        <v>695604.00154802983</v>
      </c>
      <c r="AQ61" s="16">
        <f t="shared" si="21"/>
        <v>-568365.4237154373</v>
      </c>
      <c r="AR61" s="157">
        <f t="shared" si="21"/>
        <v>-303817.36784007057</v>
      </c>
      <c r="AS61" s="16">
        <f t="shared" si="21"/>
        <v>-484531.95069478441</v>
      </c>
      <c r="AT61" s="169">
        <f t="shared" si="21"/>
        <v>728937.43529596843</v>
      </c>
      <c r="AU61" s="169">
        <f t="shared" si="21"/>
        <v>-4786163.496341764</v>
      </c>
      <c r="AV61" s="134">
        <f>+AV44-(AV57*AV59)</f>
        <v>-10555091.677166166</v>
      </c>
      <c r="AW61" s="134">
        <f>+AW44-(AW57*AW59)</f>
        <v>-61595217.391954899</v>
      </c>
      <c r="AX61" s="2"/>
    </row>
    <row r="62" spans="1:50" x14ac:dyDescent="0.25">
      <c r="A62" s="101">
        <f t="shared" si="2"/>
        <v>50</v>
      </c>
      <c r="B62" s="16" t="s">
        <v>71</v>
      </c>
      <c r="C62" s="16">
        <f t="shared" ref="C62:AU62" si="23">-C61/C60</f>
        <v>55814247.140328385</v>
      </c>
      <c r="D62" s="157">
        <f t="shared" si="23"/>
        <v>-1913375.241467369</v>
      </c>
      <c r="E62" s="157">
        <f>-E61/E60</f>
        <v>-42375.322624848421</v>
      </c>
      <c r="F62" s="157">
        <f t="shared" si="23"/>
        <v>-1613079.7373487544</v>
      </c>
      <c r="G62" s="157">
        <f>-G61/G60</f>
        <v>-17135559.429472361</v>
      </c>
      <c r="H62" s="157">
        <f t="shared" si="23"/>
        <v>1872595.496089966</v>
      </c>
      <c r="I62" s="157">
        <f t="shared" si="23"/>
        <v>1665991.4124226321</v>
      </c>
      <c r="J62" s="157">
        <f t="shared" si="23"/>
        <v>166329.73575208811</v>
      </c>
      <c r="K62" s="157">
        <f t="shared" si="23"/>
        <v>248109.06932046748</v>
      </c>
      <c r="L62" s="157">
        <f t="shared" si="23"/>
        <v>-92675.2534344788</v>
      </c>
      <c r="M62" s="157">
        <f t="shared" si="23"/>
        <v>-5080.2809452130978</v>
      </c>
      <c r="N62" s="157">
        <f t="shared" si="23"/>
        <v>271190.10243520944</v>
      </c>
      <c r="O62" s="157">
        <f t="shared" si="23"/>
        <v>580930.93500389217</v>
      </c>
      <c r="P62" s="157">
        <f t="shared" si="23"/>
        <v>1021686.5303337153</v>
      </c>
      <c r="Q62" s="157">
        <f t="shared" si="23"/>
        <v>69813.458429074555</v>
      </c>
      <c r="R62" s="157">
        <f t="shared" si="23"/>
        <v>476595.72945302899</v>
      </c>
      <c r="S62" s="157">
        <f t="shared" si="23"/>
        <v>5556.8270019157908</v>
      </c>
      <c r="T62" s="157">
        <f t="shared" si="23"/>
        <v>14116.671471862088</v>
      </c>
      <c r="U62" s="16">
        <f t="shared" si="23"/>
        <v>15031642.301100429</v>
      </c>
      <c r="V62" s="16">
        <f t="shared" si="23"/>
        <v>11947908.820457187</v>
      </c>
      <c r="W62" s="157">
        <f t="shared" si="23"/>
        <v>-690347.92793144274</v>
      </c>
      <c r="X62" s="170">
        <f t="shared" si="23"/>
        <v>-10453.941706295749</v>
      </c>
      <c r="Y62" s="16">
        <f>-Y61/Y60</f>
        <v>11869519.954340687</v>
      </c>
      <c r="Z62" s="16">
        <f>-Z61/Z60</f>
        <v>67683767.09466897</v>
      </c>
      <c r="AA62" s="157">
        <f t="shared" ref="AA62" si="24">-AA61/AA60</f>
        <v>9803996.0398729946</v>
      </c>
      <c r="AB62" s="157">
        <f>-AB61/AB60</f>
        <v>-17733862.980595578</v>
      </c>
      <c r="AC62" s="157">
        <f>-AC61/AC60</f>
        <v>244201.34234225133</v>
      </c>
      <c r="AD62" s="157">
        <f t="shared" si="23"/>
        <v>92675.253434478451</v>
      </c>
      <c r="AE62" s="157">
        <f t="shared" si="23"/>
        <v>5080.2809452130978</v>
      </c>
      <c r="AF62" s="157">
        <f t="shared" si="23"/>
        <v>32462.959763962601</v>
      </c>
      <c r="AG62" s="157">
        <f t="shared" si="23"/>
        <v>2532801.5990014677</v>
      </c>
      <c r="AH62" s="157">
        <f t="shared" si="23"/>
        <v>123132.17840384295</v>
      </c>
      <c r="AI62" s="157">
        <f t="shared" si="23"/>
        <v>409140.54837025137</v>
      </c>
      <c r="AJ62" s="157">
        <f>-AJ61/AJ60</f>
        <v>-96336.464097677934</v>
      </c>
      <c r="AK62" s="157">
        <f t="shared" si="23"/>
        <v>897687.73849762895</v>
      </c>
      <c r="AL62" s="16">
        <f t="shared" si="23"/>
        <v>4178933.9196573738</v>
      </c>
      <c r="AM62" s="157">
        <f t="shared" si="23"/>
        <v>-177910.34918884886</v>
      </c>
      <c r="AN62" s="16">
        <f t="shared" si="23"/>
        <v>7884361.6170781385</v>
      </c>
      <c r="AO62" s="157">
        <f t="shared" si="23"/>
        <v>-456305.20902118686</v>
      </c>
      <c r="AP62" s="16">
        <f t="shared" si="23"/>
        <v>-922433.0577472524</v>
      </c>
      <c r="AQ62" s="16">
        <f t="shared" si="23"/>
        <v>753703.33486996673</v>
      </c>
      <c r="AR62" s="157">
        <f t="shared" si="23"/>
        <v>402888.97560933215</v>
      </c>
      <c r="AS62" s="16">
        <f t="shared" si="23"/>
        <v>642532.65918679477</v>
      </c>
      <c r="AT62" s="170">
        <f t="shared" si="23"/>
        <v>-966636.16921426344</v>
      </c>
      <c r="AU62" s="170">
        <f t="shared" si="23"/>
        <v>6346880.4362592129</v>
      </c>
      <c r="AV62" s="172">
        <f>-AV61/AV60</f>
        <v>13996994.653428094</v>
      </c>
      <c r="AW62" s="172">
        <f>-AW61/AW60</f>
        <v>81680761.748097256</v>
      </c>
      <c r="AX62" s="2"/>
    </row>
    <row r="63" spans="1:50" x14ac:dyDescent="0.25">
      <c r="B63" s="106"/>
      <c r="C63" s="2"/>
      <c r="X63" s="171"/>
      <c r="Y63" s="2"/>
      <c r="Z63" s="2"/>
      <c r="AJ63" s="157"/>
      <c r="AK63" s="157"/>
      <c r="AP63" s="2"/>
      <c r="AQ63" s="2"/>
      <c r="AS63" s="2"/>
      <c r="AT63" s="171"/>
      <c r="AU63" s="171"/>
      <c r="AV63" s="2"/>
      <c r="AW63" s="2"/>
      <c r="AX63" s="2"/>
    </row>
    <row r="64" spans="1:50" x14ac:dyDescent="0.25">
      <c r="B64" s="2"/>
      <c r="C64" s="2"/>
    </row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</sheetData>
  <printOptions horizontalCentered="1"/>
  <pageMargins left="0.2" right="0.2" top="0.5" bottom="0.5" header="0.05" footer="0.05"/>
  <pageSetup scale="55" fitToWidth="0" orientation="landscape" r:id="rId1"/>
  <colBreaks count="1" manualBreakCount="1">
    <brk id="4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CF53FB-FE3C-4950-AD9D-24C37BE1F3F7}"/>
</file>

<file path=customXml/itemProps2.xml><?xml version="1.0" encoding="utf-8"?>
<ds:datastoreItem xmlns:ds="http://schemas.openxmlformats.org/officeDocument/2006/customXml" ds:itemID="{06235FD5-E8DB-44B7-BAAE-8ADA85A31F3B}"/>
</file>

<file path=customXml/itemProps3.xml><?xml version="1.0" encoding="utf-8"?>
<ds:datastoreItem xmlns:ds="http://schemas.openxmlformats.org/officeDocument/2006/customXml" ds:itemID="{4240D630-86D1-40DF-9ADC-DC50BAA1A02C}"/>
</file>

<file path=customXml/itemProps4.xml><?xml version="1.0" encoding="utf-8"?>
<ds:datastoreItem xmlns:ds="http://schemas.openxmlformats.org/officeDocument/2006/customXml" ds:itemID="{68A11A69-4BE3-48F9-8B45-89C1F1982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SEF-19E (BR-01) p1</vt:lpstr>
      <vt:lpstr>SEF-19E (BR-01) p2-7</vt:lpstr>
      <vt:lpstr>SEF-19G (BR-01) p1</vt:lpstr>
      <vt:lpstr>SEF-19G (BR-02) p2-5</vt:lpstr>
      <vt:lpstr>'SEF-19E (BR-01) p1'!Print_Area</vt:lpstr>
      <vt:lpstr>'SEF-19E (BR-01) p2-7'!Print_Area</vt:lpstr>
      <vt:lpstr>'SEF-19G (BR-01) p1'!Print_Area</vt:lpstr>
      <vt:lpstr>'SEF-19G (BR-02) p2-5'!Print_Area</vt:lpstr>
      <vt:lpstr>'SEF-19E (BR-01) p1'!Print_Titles</vt:lpstr>
      <vt:lpstr>'SEF-19E (BR-01) p2-7'!Print_Titles</vt:lpstr>
      <vt:lpstr>'SEF-19G (BR-01) p1'!Print_Titles</vt:lpstr>
      <vt:lpstr>'SEF-19G (BR-02) p2-5'!Print_Titles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2020-02-04T16:51:52Z</cp:lastPrinted>
  <dcterms:created xsi:type="dcterms:W3CDTF">2020-02-03T22:30:18Z</dcterms:created>
  <dcterms:modified xsi:type="dcterms:W3CDTF">2020-02-04T22:22:01Z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