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ac.myhrum\Desktop\"/>
    </mc:Choice>
  </mc:AlternateContent>
  <xr:revisionPtr revIDLastSave="0" documentId="13_ncr:1_{0F5C5250-E506-483D-870A-3414C04EB94F}" xr6:coauthVersionLast="44" xr6:coauthVersionMax="44" xr10:uidLastSave="{00000000-0000-0000-0000-000000000000}"/>
  <bookViews>
    <workbookView xWindow="-28920" yWindow="-120" windowWidth="29040" windowHeight="15840" xr2:uid="{46122CCF-6CAF-42E1-80A9-BCB41B2C007E}"/>
  </bookViews>
  <sheets>
    <sheet name="WA Rates" sheetId="10" r:id="rId1"/>
    <sheet name="Core Cost Incurred" sheetId="13" r:id="rId2"/>
    <sheet name="DEFERRALS" sheetId="14" r:id="rId3"/>
  </sheets>
  <externalReferences>
    <externalReference r:id="rId4"/>
    <externalReference r:id="rId5"/>
    <externalReference r:id="rId6"/>
    <externalReference r:id="rId7"/>
  </externalReferences>
  <definedNames>
    <definedName name="FERCINT13">'[4]FERC Interest Rates'!$A$10:$C$21</definedName>
    <definedName name="FERCINT14">'[4]FERC Interest Rates'!$A$22:$C$33</definedName>
    <definedName name="FERCINT15">'[4]FERC Interest Rates'!$A$34:$C$45</definedName>
    <definedName name="FERCINT16">'[4]FERC Interest Rates'!$A$46:$C$57</definedName>
    <definedName name="FERCINT17">'[4]FERC Interest Rates'!$A$58:$C$69</definedName>
    <definedName name="FERCINT18">'[4]FERC Interest Rates'!$A$70:$C$81</definedName>
    <definedName name="FERCINT19">'[4]FERC Interest Rates'!$A$82:$C$93</definedName>
    <definedName name="FERCINT20">'[4]FERC Interest Rates'!$A$94:$C$105</definedName>
    <definedName name="_xlnm.Print_Area" localSheetId="1">'Core Cost Incurred'!$B$1:$Z$48</definedName>
    <definedName name="_xlnm.Print_Area" localSheetId="2">DEFERRALS!$B$1:$H$22</definedName>
    <definedName name="_xlnm.Print_Area" localSheetId="0">'WA Rates'!$B$1:$N$51</definedName>
    <definedName name="_xlnm.Print_Titles" localSheetId="1">'Core Cost Incurred'!$B:$F</definedName>
    <definedName name="_xlnm.Print_Titles" localSheetId="0">'WA Rates'!$1:$8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14" l="1"/>
  <c r="D8" i="14"/>
  <c r="E8" i="14"/>
  <c r="G8" i="14"/>
  <c r="D9" i="14"/>
  <c r="E9" i="14"/>
  <c r="E12" i="14" s="1"/>
  <c r="F9" i="14"/>
  <c r="G9" i="14"/>
  <c r="G12" i="14" s="1"/>
  <c r="D12" i="14"/>
  <c r="D18" i="14" s="1"/>
  <c r="F12" i="14"/>
  <c r="F18" i="14"/>
  <c r="E18" i="14" l="1"/>
  <c r="G18" i="14" s="1"/>
  <c r="V71" i="13" l="1"/>
  <c r="S71" i="13"/>
  <c r="T61" i="13"/>
  <c r="S61" i="13"/>
  <c r="Q61" i="13"/>
  <c r="P61" i="13"/>
  <c r="Q60" i="13"/>
  <c r="P60" i="13"/>
  <c r="T59" i="13"/>
  <c r="T62" i="13" s="1"/>
  <c r="S59" i="13"/>
  <c r="Q59" i="13"/>
  <c r="Q62" i="13" s="1"/>
  <c r="P59" i="13"/>
  <c r="AE45" i="13"/>
  <c r="AC43" i="13"/>
  <c r="AB43" i="13"/>
  <c r="Z43" i="13"/>
  <c r="AC42" i="13"/>
  <c r="AC44" i="13" s="1"/>
  <c r="AB42" i="13"/>
  <c r="AB44" i="13" s="1"/>
  <c r="Z42" i="13"/>
  <c r="Z44" i="13" s="1"/>
  <c r="W42" i="13"/>
  <c r="V40" i="13"/>
  <c r="S40" i="13"/>
  <c r="AC38" i="13"/>
  <c r="AC40" i="13" s="1"/>
  <c r="AB38" i="13"/>
  <c r="AB40" i="13" s="1"/>
  <c r="Z38" i="13"/>
  <c r="Z40" i="13" s="1"/>
  <c r="W38" i="13"/>
  <c r="T38" i="13"/>
  <c r="Q38" i="13"/>
  <c r="N37" i="13"/>
  <c r="K37" i="13"/>
  <c r="H37" i="13" s="1"/>
  <c r="N36" i="13"/>
  <c r="K36" i="13"/>
  <c r="H36" i="13" s="1"/>
  <c r="N35" i="13"/>
  <c r="K35" i="13"/>
  <c r="H35" i="13"/>
  <c r="N34" i="13"/>
  <c r="K34" i="13"/>
  <c r="H34" i="13"/>
  <c r="N33" i="13"/>
  <c r="H33" i="13" s="1"/>
  <c r="K33" i="13"/>
  <c r="N32" i="13"/>
  <c r="K32" i="13"/>
  <c r="H32" i="13" s="1"/>
  <c r="N31" i="13"/>
  <c r="K31" i="13"/>
  <c r="H31" i="13"/>
  <c r="N30" i="13"/>
  <c r="K30" i="13"/>
  <c r="H30" i="13" s="1"/>
  <c r="N29" i="13"/>
  <c r="K29" i="13"/>
  <c r="H29" i="13" s="1"/>
  <c r="N28" i="13"/>
  <c r="K28" i="13"/>
  <c r="H28" i="13" s="1"/>
  <c r="N27" i="13"/>
  <c r="K27" i="13"/>
  <c r="H27" i="13"/>
  <c r="N26" i="13"/>
  <c r="K26" i="13"/>
  <c r="H26" i="13"/>
  <c r="N25" i="13"/>
  <c r="H25" i="13" s="1"/>
  <c r="K25" i="13"/>
  <c r="N24" i="13"/>
  <c r="N38" i="13" s="1"/>
  <c r="K24" i="13"/>
  <c r="H24" i="13" s="1"/>
  <c r="AC22" i="13"/>
  <c r="AB22" i="13"/>
  <c r="Z22" i="13"/>
  <c r="W22" i="13"/>
  <c r="T22" i="13"/>
  <c r="N21" i="13"/>
  <c r="K21" i="13"/>
  <c r="H21" i="13" s="1"/>
  <c r="N20" i="13"/>
  <c r="K20" i="13"/>
  <c r="H20" i="13"/>
  <c r="N19" i="13"/>
  <c r="K19" i="13"/>
  <c r="H19" i="13"/>
  <c r="N18" i="13"/>
  <c r="H18" i="13" s="1"/>
  <c r="K18" i="13"/>
  <c r="T17" i="13"/>
  <c r="N17" i="13" s="1"/>
  <c r="N22" i="13" s="1"/>
  <c r="Q17" i="13"/>
  <c r="Q22" i="13" s="1"/>
  <c r="AC15" i="13"/>
  <c r="AB15" i="13"/>
  <c r="Z15" i="13"/>
  <c r="Y15" i="13"/>
  <c r="Y40" i="13" s="1"/>
  <c r="V15" i="13"/>
  <c r="S15" i="13"/>
  <c r="Q15" i="13"/>
  <c r="N14" i="13"/>
  <c r="M14" i="13"/>
  <c r="K14" i="13"/>
  <c r="J14" i="13"/>
  <c r="G14" i="13" s="1"/>
  <c r="H14" i="13"/>
  <c r="N13" i="13"/>
  <c r="M13" i="13"/>
  <c r="K13" i="13"/>
  <c r="H13" i="13" s="1"/>
  <c r="J13" i="13"/>
  <c r="G13" i="13"/>
  <c r="N12" i="13"/>
  <c r="H12" i="13" s="1"/>
  <c r="M12" i="13"/>
  <c r="K12" i="13"/>
  <c r="J12" i="13"/>
  <c r="G12" i="13" s="1"/>
  <c r="N11" i="13"/>
  <c r="M11" i="13"/>
  <c r="G11" i="13" s="1"/>
  <c r="K11" i="13"/>
  <c r="H11" i="13" s="1"/>
  <c r="J11" i="13"/>
  <c r="T10" i="13"/>
  <c r="T15" i="13" s="1"/>
  <c r="S10" i="13"/>
  <c r="Q10" i="13"/>
  <c r="K10" i="13" s="1"/>
  <c r="H10" i="13" s="1"/>
  <c r="P10" i="13"/>
  <c r="J10" i="13" s="1"/>
  <c r="G10" i="13" s="1"/>
  <c r="N10" i="13"/>
  <c r="M10" i="13"/>
  <c r="N9" i="13"/>
  <c r="K9" i="13"/>
  <c r="H9" i="13"/>
  <c r="Q8" i="13"/>
  <c r="N8" i="13"/>
  <c r="N42" i="13" s="1"/>
  <c r="M8" i="13"/>
  <c r="M15" i="13" s="1"/>
  <c r="M40" i="13" s="1"/>
  <c r="K8" i="13"/>
  <c r="K42" i="13" s="1"/>
  <c r="J8" i="13"/>
  <c r="J15" i="13" s="1"/>
  <c r="J40" i="13" s="1"/>
  <c r="G8" i="13"/>
  <c r="W7" i="13"/>
  <c r="W15" i="13" s="1"/>
  <c r="W40" i="13" s="1"/>
  <c r="N7" i="13"/>
  <c r="N6" i="13"/>
  <c r="N43" i="13" s="1"/>
  <c r="K6" i="13"/>
  <c r="V3" i="13"/>
  <c r="V1" i="13"/>
  <c r="L45" i="10"/>
  <c r="N45" i="10" s="1"/>
  <c r="K45" i="10"/>
  <c r="I45" i="10"/>
  <c r="H45" i="10"/>
  <c r="G45" i="10"/>
  <c r="L43" i="10"/>
  <c r="K43" i="10"/>
  <c r="I43" i="10"/>
  <c r="H43" i="10"/>
  <c r="L42" i="10"/>
  <c r="K42" i="10"/>
  <c r="I42" i="10"/>
  <c r="H42" i="10"/>
  <c r="L41" i="10"/>
  <c r="K41" i="10"/>
  <c r="N41" i="10" s="1"/>
  <c r="J41" i="10"/>
  <c r="M41" i="10" s="1"/>
  <c r="I41" i="10"/>
  <c r="H41" i="10"/>
  <c r="K40" i="10"/>
  <c r="J40" i="10"/>
  <c r="I40" i="10"/>
  <c r="H40" i="10"/>
  <c r="G40" i="10"/>
  <c r="M40" i="10" s="1"/>
  <c r="K39" i="10"/>
  <c r="J39" i="10"/>
  <c r="M39" i="10" s="1"/>
  <c r="I39" i="10"/>
  <c r="L39" i="10" s="1"/>
  <c r="N39" i="10" s="1"/>
  <c r="H39" i="10"/>
  <c r="I38" i="10"/>
  <c r="H38" i="10"/>
  <c r="K38" i="10" s="1"/>
  <c r="G38" i="10"/>
  <c r="L38" i="10" s="1"/>
  <c r="I36" i="10"/>
  <c r="L36" i="10" s="1"/>
  <c r="H36" i="10"/>
  <c r="K36" i="10" s="1"/>
  <c r="I35" i="10"/>
  <c r="L35" i="10" s="1"/>
  <c r="H35" i="10"/>
  <c r="K35" i="10" s="1"/>
  <c r="L34" i="10"/>
  <c r="H34" i="10"/>
  <c r="K34" i="10" s="1"/>
  <c r="M32" i="10"/>
  <c r="J32" i="10"/>
  <c r="I32" i="10"/>
  <c r="H32" i="10"/>
  <c r="G32" i="10"/>
  <c r="K32" i="10" s="1"/>
  <c r="M31" i="10"/>
  <c r="N31" i="10" s="1"/>
  <c r="L31" i="10"/>
  <c r="K31" i="10"/>
  <c r="J31" i="10"/>
  <c r="I31" i="10"/>
  <c r="H31" i="10"/>
  <c r="L30" i="10"/>
  <c r="K30" i="10"/>
  <c r="I30" i="10"/>
  <c r="H30" i="10"/>
  <c r="G30" i="10"/>
  <c r="L28" i="10"/>
  <c r="K28" i="10"/>
  <c r="I28" i="10"/>
  <c r="H28" i="10"/>
  <c r="L27" i="10"/>
  <c r="K27" i="10"/>
  <c r="I27" i="10"/>
  <c r="H27" i="10"/>
  <c r="G27" i="10"/>
  <c r="L26" i="10"/>
  <c r="K26" i="10"/>
  <c r="I26" i="10"/>
  <c r="H26" i="10"/>
  <c r="G26" i="10"/>
  <c r="K24" i="10"/>
  <c r="H24" i="10"/>
  <c r="G24" i="10"/>
  <c r="L23" i="10"/>
  <c r="K23" i="10"/>
  <c r="H23" i="10"/>
  <c r="K22" i="10"/>
  <c r="J22" i="10"/>
  <c r="I22" i="10"/>
  <c r="I24" i="10" s="1"/>
  <c r="L24" i="10" s="1"/>
  <c r="H22" i="10"/>
  <c r="G22" i="10"/>
  <c r="M22" i="10" s="1"/>
  <c r="K21" i="10"/>
  <c r="J21" i="10"/>
  <c r="I21" i="10"/>
  <c r="H21" i="10"/>
  <c r="G21" i="10"/>
  <c r="M21" i="10" s="1"/>
  <c r="K20" i="10"/>
  <c r="J20" i="10"/>
  <c r="M20" i="10" s="1"/>
  <c r="I20" i="10"/>
  <c r="L20" i="10" s="1"/>
  <c r="H20" i="10"/>
  <c r="U19" i="10"/>
  <c r="R19" i="10"/>
  <c r="L19" i="10"/>
  <c r="K19" i="10"/>
  <c r="N19" i="10" s="1"/>
  <c r="J19" i="10"/>
  <c r="M19" i="10" s="1"/>
  <c r="I19" i="10"/>
  <c r="H19" i="10"/>
  <c r="U18" i="10"/>
  <c r="L18" i="10"/>
  <c r="K18" i="10"/>
  <c r="N18" i="10" s="1"/>
  <c r="J18" i="10"/>
  <c r="H18" i="10"/>
  <c r="G18" i="10"/>
  <c r="M18" i="10" s="1"/>
  <c r="J16" i="10"/>
  <c r="I16" i="10"/>
  <c r="H16" i="10"/>
  <c r="K16" i="10" s="1"/>
  <c r="G16" i="10"/>
  <c r="L16" i="10" s="1"/>
  <c r="U15" i="10"/>
  <c r="R15" i="10"/>
  <c r="K15" i="10"/>
  <c r="N15" i="10" s="1"/>
  <c r="J15" i="10"/>
  <c r="I15" i="10"/>
  <c r="L15" i="10" s="1"/>
  <c r="H15" i="10"/>
  <c r="J14" i="10"/>
  <c r="H14" i="10"/>
  <c r="K14" i="10" s="1"/>
  <c r="G14" i="10"/>
  <c r="L14" i="10" s="1"/>
  <c r="I12" i="10"/>
  <c r="H12" i="10"/>
  <c r="G12" i="10"/>
  <c r="L12" i="10" s="1"/>
  <c r="N11" i="10"/>
  <c r="L11" i="10"/>
  <c r="K11" i="10"/>
  <c r="J11" i="10"/>
  <c r="I11" i="10"/>
  <c r="H11" i="10"/>
  <c r="M10" i="10"/>
  <c r="L10" i="10"/>
  <c r="J10" i="10"/>
  <c r="J45" i="10" s="1"/>
  <c r="M45" i="10" s="1"/>
  <c r="G10" i="10"/>
  <c r="G47" i="10" s="1"/>
  <c r="G49" i="10" s="1"/>
  <c r="G72" i="10" s="1"/>
  <c r="U9" i="10"/>
  <c r="T9" i="10"/>
  <c r="R9" i="10"/>
  <c r="Q9" i="10"/>
  <c r="N9" i="10"/>
  <c r="M9" i="10"/>
  <c r="L9" i="10"/>
  <c r="K9" i="10"/>
  <c r="I8" i="10"/>
  <c r="J8" i="10" s="1"/>
  <c r="R7" i="10"/>
  <c r="F3" i="10"/>
  <c r="H38" i="13" l="1"/>
  <c r="G15" i="13"/>
  <c r="G40" i="13" s="1"/>
  <c r="Q40" i="13"/>
  <c r="T40" i="13"/>
  <c r="T47" i="13"/>
  <c r="N44" i="13"/>
  <c r="H6" i="13"/>
  <c r="H8" i="13"/>
  <c r="N15" i="13"/>
  <c r="N40" i="13" s="1"/>
  <c r="K38" i="13"/>
  <c r="P15" i="13"/>
  <c r="P40" i="13" s="1"/>
  <c r="Q42" i="13"/>
  <c r="Q43" i="13"/>
  <c r="T42" i="13"/>
  <c r="T44" i="13" s="1"/>
  <c r="T46" i="13" s="1"/>
  <c r="T48" i="13" s="1"/>
  <c r="T43" i="13"/>
  <c r="K7" i="13"/>
  <c r="K17" i="13"/>
  <c r="W43" i="13"/>
  <c r="W44" i="13" s="1"/>
  <c r="N30" i="10"/>
  <c r="N36" i="10"/>
  <c r="N16" i="10"/>
  <c r="N43" i="10"/>
  <c r="N20" i="10"/>
  <c r="N14" i="10"/>
  <c r="N34" i="10"/>
  <c r="K12" i="10"/>
  <c r="N12" i="10" s="1"/>
  <c r="M14" i="10"/>
  <c r="J28" i="10"/>
  <c r="M28" i="10" s="1"/>
  <c r="N28" i="10" s="1"/>
  <c r="J30" i="10"/>
  <c r="M30" i="10" s="1"/>
  <c r="K10" i="10"/>
  <c r="N10" i="10" s="1"/>
  <c r="J23" i="10"/>
  <c r="M23" i="10" s="1"/>
  <c r="M47" i="10" s="1"/>
  <c r="M49" i="10" s="1"/>
  <c r="J24" i="10"/>
  <c r="M24" i="10" s="1"/>
  <c r="N24" i="10" s="1"/>
  <c r="J26" i="10"/>
  <c r="M26" i="10" s="1"/>
  <c r="N26" i="10" s="1"/>
  <c r="J27" i="10"/>
  <c r="M27" i="10" s="1"/>
  <c r="N27" i="10" s="1"/>
  <c r="L32" i="10"/>
  <c r="N32" i="10" s="1"/>
  <c r="J42" i="10"/>
  <c r="M42" i="10" s="1"/>
  <c r="N42" i="10" s="1"/>
  <c r="J36" i="10"/>
  <c r="M36" i="10" s="1"/>
  <c r="J38" i="10"/>
  <c r="M38" i="10" s="1"/>
  <c r="N38" i="10" s="1"/>
  <c r="L21" i="10"/>
  <c r="N21" i="10" s="1"/>
  <c r="L22" i="10"/>
  <c r="N22" i="10" s="1"/>
  <c r="J34" i="10"/>
  <c r="M34" i="10" s="1"/>
  <c r="L40" i="10"/>
  <c r="N40" i="10" s="1"/>
  <c r="J35" i="10"/>
  <c r="M35" i="10" s="1"/>
  <c r="N35" i="10" s="1"/>
  <c r="O35" i="10" s="1"/>
  <c r="J12" i="10"/>
  <c r="J43" i="10"/>
  <c r="M43" i="10" s="1"/>
  <c r="Q47" i="13" l="1"/>
  <c r="AE44" i="13"/>
  <c r="AE46" i="13" s="1"/>
  <c r="Q44" i="13"/>
  <c r="Q46" i="13" s="1"/>
  <c r="K22" i="13"/>
  <c r="K40" i="13" s="1"/>
  <c r="H17" i="13"/>
  <c r="H22" i="13" s="1"/>
  <c r="K15" i="13"/>
  <c r="H7" i="13"/>
  <c r="H15" i="13" s="1"/>
  <c r="K43" i="13"/>
  <c r="K44" i="13" s="1"/>
  <c r="K46" i="13" s="1"/>
  <c r="N23" i="10"/>
  <c r="N47" i="10" s="1"/>
  <c r="L47" i="10"/>
  <c r="L49" i="10" s="1"/>
  <c r="K47" i="10"/>
  <c r="K49" i="10" s="1"/>
  <c r="H40" i="13" l="1"/>
  <c r="Q48" i="13"/>
  <c r="Q48" i="10"/>
  <c r="N49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Cascade Natural Gas</author>
    <author>Brian Hoyle</author>
    <author>Jim Haug</author>
    <author>sarah.volk</author>
  </authors>
  <commentList>
    <comment ref="G9" authorId="0" shapeId="0" xr:uid="{BFD858AD-6043-4085-AF65-EE1E7D64787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H9" authorId="1" shapeId="0" xr:uid="{426B7687-D4B9-4113-8E34-61DA670292A7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WA PGA - Demand 
Rate Schedule 504</t>
        </r>
      </text>
    </comment>
    <comment ref="I9" authorId="1" shapeId="0" xr:uid="{94176FC0-E08D-4C66-A087-E12BD6ED4825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J9" authorId="1" shapeId="0" xr:uid="{E9265C63-B7FA-4A72-A8F9-C842266D0D85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0" authorId="0" shapeId="0" xr:uid="{DB7EF76B-F1B7-41CC-BEC1-9D068F6D9B7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9
</t>
        </r>
      </text>
    </comment>
    <comment ref="I10" authorId="0" shapeId="0" xr:uid="{E2DE54F5-3310-4CBD-B5AF-BB7CE3212D3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503
</t>
        </r>
      </text>
    </comment>
    <comment ref="J10" authorId="1" shapeId="0" xr:uid="{8266EAC9-25D4-46E3-95C6-B869525C5E19}">
      <text>
        <r>
          <rPr>
            <b/>
            <sz val="9"/>
            <color indexed="81"/>
            <rFont val="Tahoma"/>
            <family val="2"/>
          </rPr>
          <t>Brian Hoyle:</t>
        </r>
        <r>
          <rPr>
            <sz val="9"/>
            <color indexed="81"/>
            <rFont val="Tahoma"/>
            <family val="2"/>
          </rPr>
          <t xml:space="preserve">
Sch 595 will change in Nov/2019 - $.0074
Sch 590 - 3 years starting 4/2019</t>
        </r>
      </text>
    </comment>
    <comment ref="G11" authorId="0" shapeId="0" xr:uid="{C5CF9DFD-1E94-45FB-9DAA-109146D7AB1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2" authorId="0" shapeId="0" xr:uid="{C65D70EE-858B-43CD-BE7E-4202B127538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C27
</t>
        </r>
      </text>
    </comment>
    <comment ref="G14" authorId="0" shapeId="0" xr:uid="{666BACB3-5D9F-4454-9255-AFE5D6178B5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4" authorId="1" shapeId="0" xr:uid="{76506693-DDF0-4680-9E7F-885D896FC3FE}">
      <text>
        <r>
          <rPr>
            <sz val="9"/>
            <color indexed="81"/>
            <rFont val="Tahoma"/>
            <family val="2"/>
          </rPr>
          <t xml:space="preserve">WA PGA - Demand 
Rate Schedule 504
</t>
        </r>
      </text>
    </comment>
    <comment ref="G15" authorId="0" shapeId="0" xr:uid="{BD0BD434-9692-4A91-9DD2-342885E40EB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6" authorId="0" shapeId="0" xr:uid="{DBDF6F9F-1748-40BC-A137-130306F8C92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- D27
</t>
        </r>
      </text>
    </comment>
    <comment ref="G18" authorId="0" shapeId="0" xr:uid="{F5EFD356-54A9-4A78-9EF0-93AA8CF811F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</t>
        </r>
      </text>
    </comment>
    <comment ref="I18" authorId="0" shapeId="0" xr:uid="{CF86FBB7-5657-4A71-A1D6-FCB5880644F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 RS 511
</t>
        </r>
      </text>
    </comment>
    <comment ref="G19" authorId="0" shapeId="0" xr:uid="{D381FBD6-15CA-4177-92AE-C91A4D84376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11/12</t>
        </r>
      </text>
    </comment>
    <comment ref="G21" authorId="0" shapeId="0" xr:uid="{AC402A01-31FF-4285-A13C-D22E68F689D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2" authorId="0" shapeId="0" xr:uid="{E51D27EE-C757-42D8-839C-46387EC04916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
</t>
        </r>
      </text>
    </comment>
    <comment ref="G23" authorId="0" shapeId="0" xr:uid="{7DC79DEA-9E65-4F1D-8190-A2579CB6A85A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4" authorId="0" shapeId="0" xr:uid="{769856F0-E5AC-4163-992C-F55B7CBF9BD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B109
</t>
        </r>
      </text>
    </comment>
    <comment ref="G26" authorId="0" shapeId="0" xr:uid="{21B77C77-1D37-4B6F-AD71-AED2138885B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27" authorId="0" shapeId="0" xr:uid="{85984D0C-C5AD-43C1-9957-9A3C986CCA2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10
</t>
        </r>
      </text>
    </comment>
    <comment ref="G30" authorId="0" shapeId="0" xr:uid="{E604C786-F060-4F88-BDCD-B120C682C394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</t>
        </r>
      </text>
    </comment>
    <comment ref="G31" authorId="0" shapeId="0" xr:uid="{80311C1D-0539-403C-861B-7D116676B5DE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2" authorId="0" shapeId="0" xr:uid="{C661248D-B313-426D-BDD9-69F1B19E60ED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Unbilled B110
</t>
        </r>
      </text>
    </comment>
    <comment ref="G34" authorId="0" shapeId="0" xr:uid="{674DF149-4512-4323-A886-58EC99ED831F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1501 - Page12
</t>
        </r>
      </text>
    </comment>
    <comment ref="I34" authorId="0" shapeId="0" xr:uid="{8A8C807A-E2D1-4ECE-A020-867D496F7BC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RS 570
</t>
        </r>
      </text>
    </comment>
    <comment ref="G35" authorId="0" shapeId="0" xr:uid="{393AE33F-17B5-4C77-BCA5-5C57AC327D69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6" authorId="0" shapeId="0" xr:uid="{5A3DC40A-D04C-4793-880A-C27955D65EF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</t>
        </r>
      </text>
    </comment>
    <comment ref="G38" authorId="0" shapeId="0" xr:uid="{7AF7D7D3-107D-40F8-85B0-7BE278D9C34C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12/13
</t>
        </r>
      </text>
    </comment>
    <comment ref="G39" authorId="0" shapeId="0" xr:uid="{8F52DCB9-08D5-4EBC-A46E-EFE8A531029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0" authorId="0" shapeId="0" xr:uid="{E5BB89E3-F553-4E72-8695-86DEAC28C143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7
or Unbilled C112
</t>
        </r>
      </text>
    </comment>
    <comment ref="G41" authorId="0" shapeId="0" xr:uid="{C31415A7-CF6F-4C6D-91FD-23E0277573D7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Page 13</t>
        </r>
      </text>
    </comment>
    <comment ref="G42" authorId="0" shapeId="0" xr:uid="{9533EA01-5F8D-47EC-BC16-BDD101F26D0B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G43" authorId="0" shapeId="0" xr:uid="{0332BDE6-1C02-4277-905F-278573528245}">
      <text>
        <r>
          <rPr>
            <b/>
            <sz val="9"/>
            <color indexed="81"/>
            <rFont val="Tahoma"/>
            <family val="2"/>
          </rPr>
          <t>Cascade Natural Gas:</t>
        </r>
        <r>
          <rPr>
            <sz val="9"/>
            <color indexed="81"/>
            <rFont val="Tahoma"/>
            <family val="2"/>
          </rPr>
          <t xml:space="preserve">
1501A - Page 8
or Unbilled C113</t>
        </r>
      </text>
    </comment>
    <comment ref="N47" authorId="2" shapeId="0" xr:uid="{017134FB-D8E9-4B45-B037-F54525BFFF9B}">
      <text>
        <r>
          <rPr>
            <b/>
            <sz val="8"/>
            <color indexed="81"/>
            <rFont val="Tahoma"/>
            <family val="2"/>
          </rPr>
          <t>Jim Haug:</t>
        </r>
        <r>
          <rPr>
            <sz val="8"/>
            <color indexed="81"/>
            <rFont val="Tahoma"/>
            <family val="2"/>
          </rPr>
          <t xml:space="preserve">
Sum of Debits to 670001 (assigned gas cost).</t>
        </r>
      </text>
    </comment>
    <comment ref="M49" authorId="3" shapeId="0" xr:uid="{00A40F84-E0EE-4FB2-B35A-47AA005654A2}">
      <text>
        <r>
          <rPr>
            <b/>
            <sz val="9"/>
            <color indexed="81"/>
            <rFont val="Tahoma"/>
            <family val="2"/>
          </rPr>
          <t>sarah.volk:</t>
        </r>
        <r>
          <rPr>
            <sz val="9"/>
            <color indexed="81"/>
            <rFont val="Tahoma"/>
            <family val="2"/>
          </rPr>
          <t xml:space="preserve">
Used as a comparison to the AMORTWA spreadsheet as a cross check.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F</author>
    <author>jfresco</author>
    <author>Jennifer</author>
    <author>sarah.volk</author>
  </authors>
  <commentList>
    <comment ref="K7" authorId="0" shapeId="0" xr:uid="{377B38BC-0E66-438A-B501-11DA50C80F01}">
      <text>
        <r>
          <rPr>
            <b/>
            <sz val="7"/>
            <color indexed="81"/>
            <rFont val="Tahoma"/>
            <family val="2"/>
          </rPr>
          <t>John F:</t>
        </r>
        <r>
          <rPr>
            <sz val="7"/>
            <color indexed="81"/>
            <rFont val="Tahoma"/>
            <family val="2"/>
          </rPr>
          <t xml:space="preserve">
Beginning Sep-06 is being switch as part of the demand gas cost in calc PGA demand deferrals to conform with the PGA filing.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1" shapeId="0" xr:uid="{64DBD1E3-7378-4513-AD1F-3F3DF3AED439}">
      <text>
        <r>
          <rPr>
            <b/>
            <sz val="8"/>
            <color indexed="81"/>
            <rFont val="Tahoma"/>
            <family val="2"/>
          </rPr>
          <t>jfresco:</t>
        </r>
        <r>
          <rPr>
            <sz val="8"/>
            <color indexed="81"/>
            <rFont val="Tahoma"/>
            <family val="2"/>
          </rPr>
          <t xml:space="preserve">
Beg Oct-08, this account includes Collateral calls interest/income.
</t>
        </r>
      </text>
    </comment>
    <comment ref="K44" authorId="2" shapeId="0" xr:uid="{59F3C336-5881-49F1-96D0-4619F89D0BAF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N44" authorId="2" shapeId="0" xr:uid="{2CA5E5BB-5EEA-4B95-8403-FA746B47F18B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corvu report by WA/OR</t>
        </r>
      </text>
    </comment>
    <comment ref="Q44" authorId="2" shapeId="0" xr:uid="{66699462-131D-4674-A190-2D002C01D9FE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T44" authorId="2" shapeId="0" xr:uid="{0B6B3EA6-FDAA-48BA-854D-3A2FAF0F4811}">
      <text>
        <r>
          <rPr>
            <b/>
            <sz val="8"/>
            <color indexed="81"/>
            <rFont val="Tahoma"/>
            <family val="2"/>
          </rPr>
          <t>Jennifer:</t>
        </r>
        <r>
          <rPr>
            <sz val="8"/>
            <color indexed="81"/>
            <rFont val="Tahoma"/>
            <family val="2"/>
          </rPr>
          <t xml:space="preserve">
should equal core gas cost accrual je</t>
        </r>
      </text>
    </comment>
    <comment ref="AE44" authorId="3" shapeId="0" xr:uid="{07D0BDC4-A747-43C5-8360-8CE09363F5C3}">
      <text>
        <r>
          <rPr>
            <b/>
            <sz val="8"/>
            <color indexed="81"/>
            <rFont val="Tahoma"/>
            <family val="2"/>
          </rPr>
          <t>sarah.volk:</t>
        </r>
        <r>
          <rPr>
            <sz val="8"/>
            <color indexed="81"/>
            <rFont val="Tahoma"/>
            <family val="2"/>
          </rPr>
          <t xml:space="preserve">
This number should match the total true up from the True-up column on the Suppler Invoice tab of the Gas Supply Analysis plus any storage true-up for the month.
</t>
        </r>
        <r>
          <rPr>
            <b/>
            <sz val="10"/>
            <color indexed="81"/>
            <rFont val="Tahoma"/>
            <family val="2"/>
          </rPr>
          <t>Q65 -</t>
        </r>
        <r>
          <rPr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Tahoma"/>
            <family val="2"/>
          </rPr>
          <t>Prior Month File</t>
        </r>
      </text>
    </comment>
  </commentList>
</comments>
</file>

<file path=xl/sharedStrings.xml><?xml version="1.0" encoding="utf-8"?>
<sst xmlns="http://schemas.openxmlformats.org/spreadsheetml/2006/main" count="453" uniqueCount="200">
  <si>
    <t>Amount</t>
  </si>
  <si>
    <t>State</t>
  </si>
  <si>
    <t>Washington</t>
  </si>
  <si>
    <t>Commodity</t>
  </si>
  <si>
    <t>47WA.6011.28051</t>
  </si>
  <si>
    <t>47WA.2530.01253</t>
  </si>
  <si>
    <t>Demand</t>
  </si>
  <si>
    <t>47WA.2530.01254</t>
  </si>
  <si>
    <t>Oregon</t>
  </si>
  <si>
    <t>Amortization</t>
  </si>
  <si>
    <t>Total</t>
  </si>
  <si>
    <t>Gas Cost Recognized</t>
  </si>
  <si>
    <t>Total Gas Cost Recognized</t>
  </si>
  <si>
    <t>5</t>
  </si>
  <si>
    <t>Actual Gas Cost Incurred</t>
  </si>
  <si>
    <t>Deferred Gas Cost Journalized</t>
  </si>
  <si>
    <t>Gas Storage Mitigation</t>
  </si>
  <si>
    <t>Deferral Amount</t>
  </si>
  <si>
    <t xml:space="preserve"> Washington Deferrals</t>
  </si>
  <si>
    <t xml:space="preserve"> Month of</t>
  </si>
  <si>
    <t>4</t>
  </si>
  <si>
    <t>47WA.2530.01253 - Gas Loss</t>
  </si>
  <si>
    <t>( ____ )  = credit to gas cost</t>
  </si>
  <si>
    <t>JDE Gas Cost Account Code</t>
  </si>
  <si>
    <t>JDE Deferred Gas Account Code</t>
  </si>
  <si>
    <t xml:space="preserve"> Assignment of Core Gas Cost To</t>
  </si>
  <si>
    <t xml:space="preserve"> Class &amp; Rate Schedule</t>
  </si>
  <si>
    <t xml:space="preserve"> Blue - 1501A</t>
  </si>
  <si>
    <t xml:space="preserve"> Core Gas Cost</t>
  </si>
  <si>
    <t>Red Cells = Actual Billed Therms 1501</t>
  </si>
  <si>
    <t xml:space="preserve"> Revenue &amp; Cost by Rate Schedule - WA</t>
  </si>
  <si>
    <t>Green Cells = Unbilled Therms Incl. LV</t>
  </si>
  <si>
    <t>Sales</t>
  </si>
  <si>
    <t>Gas Cost</t>
  </si>
  <si>
    <t>CC&amp;B</t>
  </si>
  <si>
    <t>Therms</t>
  </si>
  <si>
    <t>WACOG at</t>
  </si>
  <si>
    <t>Cost</t>
  </si>
  <si>
    <t>CL</t>
  </si>
  <si>
    <t>RS</t>
  </si>
  <si>
    <t>Billed</t>
  </si>
  <si>
    <t>Recongnized</t>
  </si>
  <si>
    <t>Account Number</t>
  </si>
  <si>
    <t>Subledger</t>
  </si>
  <si>
    <t>Subledger Type</t>
  </si>
  <si>
    <t>Units</t>
  </si>
  <si>
    <t>Unit of Measure</t>
  </si>
  <si>
    <t>Posted Code</t>
  </si>
  <si>
    <t>Remark</t>
  </si>
  <si>
    <t>47WA.4002.4800</t>
  </si>
  <si>
    <t>Regular cycle</t>
  </si>
  <si>
    <t>47WA.6011.28040</t>
  </si>
  <si>
    <t>Firm Res - air con</t>
  </si>
  <si>
    <t>541</t>
  </si>
  <si>
    <t>CNGWA 541</t>
  </si>
  <si>
    <t>GC RECOGNIZED RS 15410</t>
  </si>
  <si>
    <t>Firm Residentials</t>
  </si>
  <si>
    <t>503</t>
  </si>
  <si>
    <t>CNGWA 503</t>
  </si>
  <si>
    <t>GC RECOGNIZED RS 15030</t>
  </si>
  <si>
    <t>47WA.4009.4800</t>
  </si>
  <si>
    <t>PM Unbilled - Res</t>
  </si>
  <si>
    <t>CM Unbilled - Res</t>
  </si>
  <si>
    <t>47WA.4002.4810</t>
  </si>
  <si>
    <t>Firm Commercial</t>
  </si>
  <si>
    <t>504</t>
  </si>
  <si>
    <t>CNGWA 504</t>
  </si>
  <si>
    <t>GC RECOGNIZED RS 25040</t>
  </si>
  <si>
    <t>47WA.4009.4810</t>
  </si>
  <si>
    <t>PM Unbilled - Com'l</t>
  </si>
  <si>
    <t>Reg. accrual</t>
  </si>
  <si>
    <t>CM Unbilled - Com'l</t>
  </si>
  <si>
    <t>Firm Com - Lg Vol</t>
  </si>
  <si>
    <t>511</t>
  </si>
  <si>
    <t>CNGWA 511</t>
  </si>
  <si>
    <t>GC RECOGNIZED RS 25110</t>
  </si>
  <si>
    <t>Firm Com - Compressed NG</t>
  </si>
  <si>
    <t>512</t>
  </si>
  <si>
    <t>CNGWA 512</t>
  </si>
  <si>
    <t>GC RECOGNIZED RS 25120</t>
  </si>
  <si>
    <t>Firm Com - air con</t>
  </si>
  <si>
    <t>GC RECOGNIZED RS 25410</t>
  </si>
  <si>
    <t xml:space="preserve">PM Unbilled </t>
  </si>
  <si>
    <t>CNGWA 04LV</t>
  </si>
  <si>
    <t xml:space="preserve">CM Unbilled </t>
  </si>
  <si>
    <t>47WA.4002.4809</t>
  </si>
  <si>
    <t>Firm Ind'l</t>
  </si>
  <si>
    <t>505</t>
  </si>
  <si>
    <t>CNGWA 505</t>
  </si>
  <si>
    <t>GC RECOGNIZED RS 35050</t>
  </si>
  <si>
    <t>Firm Industrial</t>
  </si>
  <si>
    <t>GC RECOGNIZED RS 35110</t>
  </si>
  <si>
    <t>Firm Ind'l - compressed NG</t>
  </si>
  <si>
    <t>GC RECOGNIZED RS 35120</t>
  </si>
  <si>
    <t>47WA.4002.4811</t>
  </si>
  <si>
    <t>Firm Ind'l - Lg Vol CNGW05LV</t>
  </si>
  <si>
    <t>CNGWA 05LV</t>
  </si>
  <si>
    <t>47WA.4009.4811</t>
  </si>
  <si>
    <t>Interr Small Commercial</t>
  </si>
  <si>
    <t>570</t>
  </si>
  <si>
    <t>CNGWA 570</t>
  </si>
  <si>
    <t>GC RECOGNIZED RS 55700</t>
  </si>
  <si>
    <t>GC RECOGNIZED RS 45700</t>
  </si>
  <si>
    <t>47WA.4009.4813</t>
  </si>
  <si>
    <t>Interr Industrial</t>
  </si>
  <si>
    <t>CM Unbilled</t>
  </si>
  <si>
    <t>47WA.4002.4813</t>
  </si>
  <si>
    <t>Interr Industrial - Ltd</t>
  </si>
  <si>
    <t>577</t>
  </si>
  <si>
    <t>CNGWA 577</t>
  </si>
  <si>
    <t>GC RECOGNIZED RS 55770</t>
  </si>
  <si>
    <t>Interr Institutional</t>
  </si>
  <si>
    <t>GC RECOGNIZED RS 65700</t>
  </si>
  <si>
    <t>Old Rates</t>
  </si>
  <si>
    <t xml:space="preserve">Total Gas Cost Recognized </t>
  </si>
  <si>
    <t>New Rates</t>
  </si>
  <si>
    <t>S003000804009990670001</t>
  </si>
  <si>
    <t>GC RECOGNIZED CORE TOTAL</t>
  </si>
  <si>
    <t>Total WA</t>
  </si>
  <si>
    <t xml:space="preserve"> </t>
  </si>
  <si>
    <t>CNGWA 11LV</t>
  </si>
  <si>
    <t>WASHINGTON - New Rates 2019</t>
  </si>
  <si>
    <t>Nov 1 2019</t>
  </si>
  <si>
    <t>04LV</t>
  </si>
  <si>
    <t>11LV</t>
  </si>
  <si>
    <t>05LV</t>
  </si>
  <si>
    <t>Unbilled</t>
  </si>
  <si>
    <t xml:space="preserve">CM 1501A (Unbilled) </t>
  </si>
  <si>
    <t>1501A</t>
  </si>
  <si>
    <t>Summary of Gas Cost Accruals by Reg Jurisdiction</t>
  </si>
  <si>
    <t>Current Month &amp; True-ups</t>
  </si>
  <si>
    <t>Current Month Accruals</t>
  </si>
  <si>
    <t xml:space="preserve">True-ups booked in </t>
  </si>
  <si>
    <t xml:space="preserve">xxx-08 True-Ups Booked in </t>
  </si>
  <si>
    <t>Washington Amount</t>
  </si>
  <si>
    <t>Oregon Amount</t>
  </si>
  <si>
    <t>JDE Acct Code</t>
  </si>
  <si>
    <t>$</t>
  </si>
  <si>
    <t>TH</t>
  </si>
  <si>
    <t>47</t>
  </si>
  <si>
    <t>Contract Demand Charges</t>
  </si>
  <si>
    <t>NA</t>
  </si>
  <si>
    <t>D</t>
  </si>
  <si>
    <t>Canadian Toll Charges</t>
  </si>
  <si>
    <t>Commodity Charges</t>
  </si>
  <si>
    <t>C</t>
  </si>
  <si>
    <t>Financial Hedges Settlement</t>
  </si>
  <si>
    <t xml:space="preserve">Core Pipeline Imbalance </t>
  </si>
  <si>
    <t>Gas Withdrawn from Storage</t>
  </si>
  <si>
    <t>Gas Injected to Storage (credit)</t>
  </si>
  <si>
    <t>Gas Used in Operations (credit)</t>
  </si>
  <si>
    <t>Off system sales</t>
  </si>
  <si>
    <t>Total Supply</t>
  </si>
  <si>
    <t>Capacity Reservation</t>
  </si>
  <si>
    <t>Firm Commodity</t>
  </si>
  <si>
    <t>Interruptible Commodity</t>
  </si>
  <si>
    <t>Other Firm Pipeline capacity</t>
  </si>
  <si>
    <t>Capacity Releases</t>
  </si>
  <si>
    <t>Total Pipeline Cap &amp; Transport</t>
  </si>
  <si>
    <t>LS Demand</t>
  </si>
  <si>
    <t>LS Capacity</t>
  </si>
  <si>
    <t>LS Commodity</t>
  </si>
  <si>
    <t>LS Liquefaction</t>
  </si>
  <si>
    <t>LS Inventory</t>
  </si>
  <si>
    <t>LS Vaporization</t>
  </si>
  <si>
    <t>TF Reservation from LS</t>
  </si>
  <si>
    <t>TF Commodity from LS</t>
  </si>
  <si>
    <t>SGS Demand</t>
  </si>
  <si>
    <t>SGS Capacity</t>
  </si>
  <si>
    <t>SGS Commodity</t>
  </si>
  <si>
    <t>SGS Inventory</t>
  </si>
  <si>
    <t>TF Reservation from SGS</t>
  </si>
  <si>
    <t>TF Commodity from SGS</t>
  </si>
  <si>
    <t>Total Peaking Services</t>
  </si>
  <si>
    <t>Total Core Gas Costs</t>
  </si>
  <si>
    <t>Total Commodity  (Col K, Rows , 10, 11, 12, 13, 14, 16, 20, 28, 29, 30, 31, 33, 36, 37 &amp; 39)</t>
  </si>
  <si>
    <t>Total Demand  (Col. K, Rows 8, 9, 19, 26, 27, 32, 34, 35, &amp; 38)</t>
  </si>
  <si>
    <t>Previous Month Gas Supply Analysis</t>
  </si>
  <si>
    <t>WA &amp; OR</t>
  </si>
  <si>
    <t>JDE Export</t>
  </si>
  <si>
    <t>True-up</t>
  </si>
  <si>
    <t xml:space="preserve">    </t>
  </si>
  <si>
    <t>AU</t>
  </si>
  <si>
    <t>Ledger Type</t>
  </si>
  <si>
    <t>AA</t>
  </si>
  <si>
    <t>Year</t>
  </si>
  <si>
    <t>2020</t>
  </si>
  <si>
    <t>Format</t>
  </si>
  <si>
    <t>per</t>
  </si>
  <si>
    <t>Period</t>
  </si>
  <si>
    <t>Currency</t>
  </si>
  <si>
    <t>***</t>
  </si>
  <si>
    <t>Company</t>
  </si>
  <si>
    <t>00047</t>
  </si>
  <si>
    <t>Business Unit</t>
  </si>
  <si>
    <t>*</t>
  </si>
  <si>
    <t>CNGC</t>
  </si>
  <si>
    <t>47WA</t>
  </si>
  <si>
    <t>47OR</t>
  </si>
  <si>
    <t>28081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</si>
</sst>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-yy;@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mmmm\-yy"/>
    <numFmt numFmtId="168" formatCode="_(&quot;$&quot;* #,##0_);_(&quot;$&quot;* \(#,##0\);_(&quot;$&quot;* &quot;-&quot;??_);_(@_)"/>
    <numFmt numFmtId="169" formatCode="_(&quot;$&quot;* #,##0.0_);_(&quot;$&quot;* \(#,##0.0\);_(&quot;$&quot;* &quot;-&quot;??_);_(@_)"/>
    <numFmt numFmtId="171" formatCode="_(* #,##0.0000_);_(* \(#,##0.0000\);_(* &quot;-&quot;??_);_(@_)"/>
  </numFmts>
  <fonts count="52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4"/>
      <name val="Arial"/>
      <family val="2"/>
    </font>
    <font>
      <b/>
      <sz val="11"/>
      <color rgb="FF0070C0"/>
      <name val="Arial"/>
      <family val="2"/>
    </font>
    <font>
      <b/>
      <sz val="11"/>
      <color indexed="10"/>
      <name val="Arial"/>
      <family val="2"/>
    </font>
    <font>
      <b/>
      <sz val="11"/>
      <color rgb="FF00B050"/>
      <name val="Arial"/>
      <family val="2"/>
    </font>
    <font>
      <sz val="10"/>
      <color rgb="FF00B050"/>
      <name val="Arial"/>
      <family val="2"/>
    </font>
    <font>
      <b/>
      <sz val="10"/>
      <color indexed="12"/>
      <name val="Arial"/>
      <family val="2"/>
    </font>
    <font>
      <u/>
      <sz val="10"/>
      <color rgb="FF00B050"/>
      <name val="Arial"/>
      <family val="2"/>
    </font>
    <font>
      <u/>
      <sz val="10"/>
      <name val="Arial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b/>
      <sz val="12"/>
      <color indexed="10"/>
      <name val="Arial"/>
      <family val="2"/>
    </font>
    <font>
      <b/>
      <sz val="12"/>
      <color rgb="FF00B050"/>
      <name val="Arial"/>
      <family val="2"/>
    </font>
    <font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rgb="FF00B050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b/>
      <sz val="12"/>
      <color rgb="FFFF0000"/>
      <name val="Arial"/>
      <family val="2"/>
    </font>
    <font>
      <i/>
      <sz val="8"/>
      <color indexed="10"/>
      <name val="Arial"/>
      <family val="2"/>
    </font>
    <font>
      <b/>
      <sz val="12"/>
      <color theme="4" tint="-0.249977111117893"/>
      <name val="Arial"/>
      <family val="2"/>
    </font>
    <font>
      <b/>
      <u/>
      <sz val="11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sz val="10.5"/>
      <name val="Arial"/>
      <family val="2"/>
    </font>
    <font>
      <b/>
      <i/>
      <sz val="8"/>
      <name val="Arial"/>
      <family val="2"/>
    </font>
    <font>
      <b/>
      <sz val="7"/>
      <color indexed="81"/>
      <name val="Tahoma"/>
      <family val="2"/>
    </font>
    <font>
      <sz val="7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DB7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BD0FF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1" fillId="0" borderId="0" xfId="0" applyFont="1"/>
    <xf numFmtId="44" fontId="0" fillId="0" borderId="0" xfId="0" applyNumberFormat="1"/>
    <xf numFmtId="0" fontId="5" fillId="0" borderId="0" xfId="0" applyFont="1"/>
    <xf numFmtId="49" fontId="2" fillId="0" borderId="0" xfId="0" applyNumberFormat="1" applyFont="1" applyAlignment="1">
      <alignment horizontal="center"/>
    </xf>
    <xf numFmtId="44" fontId="2" fillId="0" borderId="0" xfId="2" applyFont="1"/>
    <xf numFmtId="44" fontId="2" fillId="4" borderId="0" xfId="2" applyFont="1" applyFill="1"/>
    <xf numFmtId="165" fontId="5" fillId="0" borderId="0" xfId="1" applyNumberFormat="1" applyFont="1"/>
    <xf numFmtId="0" fontId="6" fillId="0" borderId="0" xfId="0" applyFont="1"/>
    <xf numFmtId="49" fontId="1" fillId="0" borderId="0" xfId="0" applyNumberFormat="1" applyFont="1" applyAlignment="1">
      <alignment horizontal="center"/>
    </xf>
    <xf numFmtId="165" fontId="1" fillId="0" borderId="0" xfId="1" applyNumberFormat="1"/>
    <xf numFmtId="49" fontId="2" fillId="0" borderId="0" xfId="1" applyNumberFormat="1" applyFont="1"/>
    <xf numFmtId="49" fontId="1" fillId="0" borderId="0" xfId="0" applyNumberFormat="1" applyFont="1"/>
    <xf numFmtId="49" fontId="14" fillId="0" borderId="0" xfId="0" applyNumberFormat="1" applyFont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/>
    </xf>
    <xf numFmtId="49" fontId="14" fillId="0" borderId="0" xfId="0" applyNumberFormat="1" applyFont="1" applyAlignment="1">
      <alignment vertical="center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vertical="top"/>
    </xf>
    <xf numFmtId="164" fontId="14" fillId="0" borderId="0" xfId="0" applyNumberFormat="1" applyFont="1" applyAlignment="1">
      <alignment horizontal="center" vertical="center" wrapText="1"/>
    </xf>
    <xf numFmtId="165" fontId="16" fillId="0" borderId="0" xfId="1" applyNumberFormat="1" applyFont="1" applyAlignment="1">
      <alignment horizontal="left"/>
    </xf>
    <xf numFmtId="165" fontId="17" fillId="0" borderId="0" xfId="1" applyNumberFormat="1" applyFont="1" applyAlignment="1">
      <alignment horizontal="left"/>
    </xf>
    <xf numFmtId="49" fontId="1" fillId="0" borderId="0" xfId="1" applyNumberFormat="1"/>
    <xf numFmtId="0" fontId="1" fillId="5" borderId="0" xfId="0" applyFont="1" applyFill="1"/>
    <xf numFmtId="49" fontId="1" fillId="5" borderId="0" xfId="1" applyNumberFormat="1" applyFill="1"/>
    <xf numFmtId="49" fontId="1" fillId="5" borderId="0" xfId="0" applyNumberFormat="1" applyFont="1" applyFill="1"/>
    <xf numFmtId="165" fontId="1" fillId="5" borderId="0" xfId="1" applyNumberFormat="1" applyFill="1" applyAlignment="1">
      <alignment horizontal="center"/>
    </xf>
    <xf numFmtId="166" fontId="1" fillId="5" borderId="0" xfId="2" applyNumberFormat="1" applyFill="1" applyAlignment="1">
      <alignment horizontal="center"/>
    </xf>
    <xf numFmtId="166" fontId="1" fillId="0" borderId="0" xfId="2" applyNumberFormat="1" applyAlignment="1">
      <alignment horizontal="center"/>
    </xf>
    <xf numFmtId="39" fontId="0" fillId="0" borderId="0" xfId="0" applyNumberFormat="1"/>
    <xf numFmtId="0" fontId="18" fillId="0" borderId="0" xfId="0" applyFont="1" applyAlignment="1">
      <alignment horizontal="center"/>
    </xf>
    <xf numFmtId="49" fontId="4" fillId="5" borderId="0" xfId="0" applyNumberFormat="1" applyFont="1" applyFill="1" applyAlignment="1">
      <alignment horizontal="center"/>
    </xf>
    <xf numFmtId="49" fontId="4" fillId="5" borderId="0" xfId="1" applyNumberFormat="1" applyFont="1" applyFill="1"/>
    <xf numFmtId="49" fontId="4" fillId="5" borderId="0" xfId="0" applyNumberFormat="1" applyFont="1" applyFill="1"/>
    <xf numFmtId="39" fontId="16" fillId="0" borderId="0" xfId="0" applyNumberFormat="1" applyFont="1"/>
    <xf numFmtId="17" fontId="18" fillId="0" borderId="0" xfId="0" applyNumberFormat="1" applyFont="1" applyAlignment="1">
      <alignment horizontal="center"/>
    </xf>
    <xf numFmtId="49" fontId="4" fillId="5" borderId="1" xfId="0" applyNumberFormat="1" applyFont="1" applyFill="1" applyBorder="1" applyAlignment="1">
      <alignment horizontal="center"/>
    </xf>
    <xf numFmtId="49" fontId="4" fillId="5" borderId="1" xfId="1" applyNumberFormat="1" applyFont="1" applyFill="1" applyBorder="1" applyAlignment="1">
      <alignment horizontal="center"/>
    </xf>
    <xf numFmtId="165" fontId="1" fillId="5" borderId="1" xfId="1" applyNumberFormat="1" applyFill="1" applyBorder="1" applyAlignment="1">
      <alignment horizontal="center"/>
    </xf>
    <xf numFmtId="166" fontId="1" fillId="5" borderId="1" xfId="2" applyNumberForma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165" fontId="22" fillId="0" borderId="0" xfId="1" applyNumberFormat="1" applyFont="1"/>
    <xf numFmtId="166" fontId="23" fillId="10" borderId="0" xfId="2" applyNumberFormat="1" applyFont="1" applyFill="1"/>
    <xf numFmtId="44" fontId="1" fillId="0" borderId="0" xfId="2"/>
    <xf numFmtId="44" fontId="1" fillId="0" borderId="0" xfId="0" applyNumberFormat="1" applyFont="1"/>
    <xf numFmtId="166" fontId="23" fillId="11" borderId="0" xfId="2" applyNumberFormat="1" applyFont="1" applyFill="1"/>
    <xf numFmtId="44" fontId="1" fillId="0" borderId="12" xfId="2" applyBorder="1"/>
    <xf numFmtId="44" fontId="16" fillId="0" borderId="0" xfId="0" applyNumberFormat="1" applyFont="1"/>
    <xf numFmtId="44" fontId="4" fillId="0" borderId="0" xfId="0" applyNumberFormat="1" applyFont="1"/>
    <xf numFmtId="165" fontId="25" fillId="12" borderId="0" xfId="1" applyNumberFormat="1" applyFont="1" applyFill="1"/>
    <xf numFmtId="44" fontId="27" fillId="0" borderId="0" xfId="2" applyFont="1"/>
    <xf numFmtId="165" fontId="28" fillId="0" borderId="0" xfId="1" applyNumberFormat="1" applyFont="1"/>
    <xf numFmtId="165" fontId="29" fillId="12" borderId="0" xfId="1" applyNumberFormat="1" applyFont="1" applyFill="1"/>
    <xf numFmtId="165" fontId="18" fillId="0" borderId="0" xfId="1" applyNumberFormat="1" applyFont="1"/>
    <xf numFmtId="165" fontId="26" fillId="0" borderId="0" xfId="1" applyNumberFormat="1" applyFont="1"/>
    <xf numFmtId="166" fontId="19" fillId="11" borderId="0" xfId="2" applyNumberFormat="1" applyFont="1" applyFill="1"/>
    <xf numFmtId="166" fontId="1" fillId="0" borderId="0" xfId="2" applyNumberFormat="1"/>
    <xf numFmtId="165" fontId="30" fillId="12" borderId="0" xfId="1" applyNumberFormat="1" applyFont="1" applyFill="1"/>
    <xf numFmtId="165" fontId="31" fillId="0" borderId="0" xfId="1" applyNumberFormat="1" applyFont="1"/>
    <xf numFmtId="165" fontId="11" fillId="0" borderId="0" xfId="1" applyNumberFormat="1" applyFont="1"/>
    <xf numFmtId="166" fontId="32" fillId="0" borderId="0" xfId="2" applyNumberFormat="1" applyFont="1"/>
    <xf numFmtId="0" fontId="4" fillId="0" borderId="0" xfId="0" applyFont="1" applyAlignment="1">
      <alignment horizontal="left" indent="1"/>
    </xf>
    <xf numFmtId="49" fontId="1" fillId="0" borderId="0" xfId="0" applyNumberFormat="1" applyFont="1" applyAlignment="1">
      <alignment horizontal="right"/>
    </xf>
    <xf numFmtId="49" fontId="4" fillId="0" borderId="0" xfId="0" applyNumberFormat="1" applyFont="1"/>
    <xf numFmtId="165" fontId="2" fillId="0" borderId="0" xfId="1" applyNumberFormat="1" applyFont="1"/>
    <xf numFmtId="165" fontId="7" fillId="0" borderId="0" xfId="1" applyNumberFormat="1" applyFont="1"/>
    <xf numFmtId="44" fontId="4" fillId="6" borderId="0" xfId="0" applyNumberFormat="1" applyFont="1" applyFill="1" applyAlignment="1">
      <alignment horizontal="center"/>
    </xf>
    <xf numFmtId="44" fontId="4" fillId="7" borderId="0" xfId="0" applyNumberFormat="1" applyFont="1" applyFill="1" applyAlignment="1">
      <alignment horizontal="center"/>
    </xf>
    <xf numFmtId="44" fontId="4" fillId="0" borderId="0" xfId="2" applyFont="1"/>
    <xf numFmtId="44" fontId="4" fillId="3" borderId="0" xfId="2" applyFont="1" applyFill="1"/>
    <xf numFmtId="165" fontId="7" fillId="12" borderId="0" xfId="1" applyNumberFormat="1" applyFont="1" applyFill="1"/>
    <xf numFmtId="168" fontId="1" fillId="0" borderId="0" xfId="2" applyNumberFormat="1"/>
    <xf numFmtId="44" fontId="28" fillId="0" borderId="0" xfId="2" applyFont="1"/>
    <xf numFmtId="165" fontId="3" fillId="0" borderId="0" xfId="1" applyNumberFormat="1" applyFont="1" applyAlignment="1">
      <alignment horizontal="center" vertical="center"/>
    </xf>
    <xf numFmtId="44" fontId="4" fillId="0" borderId="0" xfId="2" applyFont="1" applyAlignment="1">
      <alignment horizontal="left"/>
    </xf>
    <xf numFmtId="166" fontId="1" fillId="0" borderId="0" xfId="2" applyNumberFormat="1" applyAlignment="1">
      <alignment horizontal="left"/>
    </xf>
    <xf numFmtId="43" fontId="1" fillId="0" borderId="0" xfId="1" applyAlignment="1">
      <alignment horizontal="left"/>
    </xf>
    <xf numFmtId="169" fontId="1" fillId="0" borderId="0" xfId="2" applyNumberFormat="1"/>
    <xf numFmtId="43" fontId="4" fillId="0" borderId="0" xfId="1" applyFont="1" applyAlignment="1">
      <alignment horizontal="left"/>
    </xf>
    <xf numFmtId="44" fontId="23" fillId="0" borderId="0" xfId="2" applyFont="1"/>
    <xf numFmtId="43" fontId="1" fillId="0" borderId="0" xfId="1"/>
    <xf numFmtId="44" fontId="1" fillId="0" borderId="6" xfId="2" applyBorder="1"/>
    <xf numFmtId="0" fontId="1" fillId="0" borderId="0" xfId="3"/>
    <xf numFmtId="44" fontId="4" fillId="13" borderId="0" xfId="2" applyFont="1" applyFill="1"/>
    <xf numFmtId="0" fontId="1" fillId="0" borderId="0" xfId="3" applyAlignment="1">
      <alignment horizontal="center"/>
    </xf>
    <xf numFmtId="0" fontId="1" fillId="0" borderId="1" xfId="3" applyBorder="1" applyAlignment="1">
      <alignment horizontal="center"/>
    </xf>
    <xf numFmtId="44" fontId="1" fillId="0" borderId="0" xfId="3" applyNumberFormat="1"/>
    <xf numFmtId="44" fontId="1" fillId="0" borderId="1" xfId="2" applyBorder="1"/>
    <xf numFmtId="165" fontId="1" fillId="0" borderId="2" xfId="1" applyNumberFormat="1" applyBorder="1"/>
    <xf numFmtId="44" fontId="1" fillId="0" borderId="2" xfId="2" applyBorder="1"/>
    <xf numFmtId="0" fontId="4" fillId="0" borderId="0" xfId="3" applyFont="1"/>
    <xf numFmtId="49" fontId="3" fillId="0" borderId="0" xfId="0" applyNumberFormat="1" applyFont="1" applyAlignment="1">
      <alignment vertical="center"/>
    </xf>
    <xf numFmtId="49" fontId="2" fillId="0" borderId="0" xfId="0" applyNumberFormat="1" applyFont="1"/>
    <xf numFmtId="39" fontId="6" fillId="0" borderId="0" xfId="0" applyNumberFormat="1" applyFont="1"/>
    <xf numFmtId="49" fontId="1" fillId="5" borderId="0" xfId="0" applyNumberFormat="1" applyFont="1" applyFill="1" applyAlignment="1">
      <alignment horizontal="center"/>
    </xf>
    <xf numFmtId="49" fontId="1" fillId="5" borderId="1" xfId="0" applyNumberFormat="1" applyFont="1" applyFill="1" applyBorder="1" applyAlignment="1">
      <alignment horizontal="center"/>
    </xf>
    <xf numFmtId="167" fontId="23" fillId="5" borderId="1" xfId="2" applyNumberFormat="1" applyFont="1" applyFill="1" applyBorder="1" applyAlignment="1">
      <alignment horizontal="center"/>
    </xf>
    <xf numFmtId="0" fontId="6" fillId="5" borderId="0" xfId="1" applyNumberFormat="1" applyFont="1" applyFill="1" applyAlignment="1">
      <alignment horizontal="center" vertical="center"/>
    </xf>
    <xf numFmtId="165" fontId="6" fillId="0" borderId="0" xfId="1" applyNumberFormat="1" applyFont="1"/>
    <xf numFmtId="0" fontId="1" fillId="0" borderId="0" xfId="2" applyNumberFormat="1"/>
    <xf numFmtId="37" fontId="1" fillId="0" borderId="0" xfId="2" applyNumberFormat="1"/>
    <xf numFmtId="165" fontId="37" fillId="0" borderId="6" xfId="1" applyNumberFormat="1" applyFont="1" applyBorder="1"/>
    <xf numFmtId="165" fontId="37" fillId="0" borderId="0" xfId="1" applyNumberFormat="1" applyFont="1"/>
    <xf numFmtId="165" fontId="26" fillId="12" borderId="0" xfId="1" applyNumberFormat="1" applyFont="1" applyFill="1"/>
    <xf numFmtId="44" fontId="6" fillId="0" borderId="0" xfId="0" applyNumberFormat="1" applyFont="1"/>
    <xf numFmtId="44" fontId="3" fillId="0" borderId="0" xfId="2" applyFont="1"/>
    <xf numFmtId="49" fontId="2" fillId="0" borderId="0" xfId="0" applyNumberFormat="1" applyFont="1"/>
    <xf numFmtId="44" fontId="22" fillId="0" borderId="0" xfId="2" applyFont="1"/>
    <xf numFmtId="165" fontId="6" fillId="0" borderId="0" xfId="1" applyNumberFormat="1" applyFont="1" applyAlignment="1">
      <alignment horizontal="center"/>
    </xf>
    <xf numFmtId="166" fontId="6" fillId="0" borderId="0" xfId="2" applyNumberFormat="1" applyFont="1" applyAlignment="1">
      <alignment horizontal="left"/>
    </xf>
    <xf numFmtId="49" fontId="6" fillId="0" borderId="0" xfId="1" applyNumberFormat="1" applyFont="1"/>
    <xf numFmtId="49" fontId="5" fillId="0" borderId="0" xfId="1" applyNumberFormat="1" applyFont="1"/>
    <xf numFmtId="49" fontId="3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left"/>
    </xf>
    <xf numFmtId="43" fontId="5" fillId="0" borderId="0" xfId="1" applyFont="1"/>
    <xf numFmtId="165" fontId="5" fillId="14" borderId="0" xfId="1" applyNumberFormat="1" applyFont="1" applyFill="1"/>
    <xf numFmtId="43" fontId="38" fillId="0" borderId="0" xfId="1" applyFont="1"/>
    <xf numFmtId="165" fontId="34" fillId="0" borderId="0" xfId="1" applyNumberFormat="1" applyFont="1"/>
    <xf numFmtId="43" fontId="34" fillId="0" borderId="0" xfId="1" applyFont="1"/>
    <xf numFmtId="164" fontId="22" fillId="0" borderId="0" xfId="1" applyNumberFormat="1" applyFont="1" applyAlignment="1">
      <alignment horizontal="center"/>
    </xf>
    <xf numFmtId="164" fontId="39" fillId="0" borderId="0" xfId="1" applyNumberFormat="1" applyFont="1" applyAlignment="1">
      <alignment horizontal="left"/>
    </xf>
    <xf numFmtId="165" fontId="33" fillId="0" borderId="0" xfId="1" applyNumberFormat="1" applyFont="1" applyAlignment="1">
      <alignment horizontal="center"/>
    </xf>
    <xf numFmtId="165" fontId="24" fillId="0" borderId="0" xfId="1" applyNumberFormat="1" applyFont="1" applyAlignment="1">
      <alignment horizontal="center"/>
    </xf>
    <xf numFmtId="165" fontId="22" fillId="0" borderId="0" xfId="1" applyNumberFormat="1" applyFont="1" applyAlignment="1">
      <alignment horizontal="center"/>
    </xf>
    <xf numFmtId="49" fontId="7" fillId="0" borderId="0" xfId="1" applyNumberFormat="1" applyFont="1"/>
    <xf numFmtId="165" fontId="1" fillId="14" borderId="0" xfId="1" applyNumberFormat="1" applyFill="1"/>
    <xf numFmtId="165" fontId="36" fillId="0" borderId="0" xfId="1" applyNumberFormat="1" applyFont="1" applyAlignment="1">
      <alignment horizontal="center"/>
    </xf>
    <xf numFmtId="165" fontId="36" fillId="0" borderId="0" xfId="1" applyNumberFormat="1" applyFont="1" applyAlignment="1">
      <alignment horizontal="center"/>
    </xf>
    <xf numFmtId="49" fontId="5" fillId="0" borderId="1" xfId="1" applyNumberFormat="1" applyFont="1" applyBorder="1"/>
    <xf numFmtId="49" fontId="7" fillId="0" borderId="1" xfId="1" applyNumberFormat="1" applyFont="1" applyBorder="1"/>
    <xf numFmtId="165" fontId="2" fillId="0" borderId="1" xfId="1" applyNumberFormat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165" fontId="2" fillId="14" borderId="0" xfId="1" applyNumberFormat="1" applyFont="1" applyFill="1"/>
    <xf numFmtId="165" fontId="7" fillId="0" borderId="1" xfId="1" applyNumberFormat="1" applyFont="1" applyBorder="1" applyAlignment="1">
      <alignment horizontal="center" vertical="center"/>
    </xf>
    <xf numFmtId="165" fontId="7" fillId="0" borderId="0" xfId="1" applyNumberFormat="1" applyFont="1" applyAlignment="1">
      <alignment vertical="center"/>
    </xf>
    <xf numFmtId="165" fontId="34" fillId="0" borderId="0" xfId="1" applyNumberFormat="1" applyFont="1" applyAlignment="1">
      <alignment horizontal="center"/>
    </xf>
    <xf numFmtId="49" fontId="7" fillId="5" borderId="1" xfId="1" applyNumberFormat="1" applyFont="1" applyFill="1" applyBorder="1" applyAlignment="1">
      <alignment horizontal="left"/>
    </xf>
    <xf numFmtId="165" fontId="1" fillId="5" borderId="1" xfId="1" applyNumberFormat="1" applyFill="1" applyBorder="1"/>
    <xf numFmtId="165" fontId="8" fillId="5" borderId="2" xfId="1" applyNumberFormat="1" applyFont="1" applyFill="1" applyBorder="1" applyAlignment="1">
      <alignment horizontal="center"/>
    </xf>
    <xf numFmtId="43" fontId="8" fillId="5" borderId="2" xfId="1" applyFont="1" applyFill="1" applyBorder="1" applyAlignment="1">
      <alignment horizontal="center"/>
    </xf>
    <xf numFmtId="165" fontId="8" fillId="5" borderId="1" xfId="1" applyNumberFormat="1" applyFont="1" applyFill="1" applyBorder="1" applyAlignment="1">
      <alignment horizontal="center"/>
    </xf>
    <xf numFmtId="43" fontId="8" fillId="5" borderId="1" xfId="1" applyFont="1" applyFill="1" applyBorder="1" applyAlignment="1">
      <alignment horizontal="center"/>
    </xf>
    <xf numFmtId="165" fontId="40" fillId="5" borderId="1" xfId="1" applyNumberFormat="1" applyFont="1" applyFill="1" applyBorder="1" applyAlignment="1">
      <alignment horizontal="center"/>
    </xf>
    <xf numFmtId="165" fontId="40" fillId="5" borderId="2" xfId="1" applyNumberFormat="1" applyFont="1" applyFill="1" applyBorder="1" applyAlignment="1">
      <alignment horizontal="center"/>
    </xf>
    <xf numFmtId="43" fontId="40" fillId="5" borderId="2" xfId="1" applyFont="1" applyFill="1" applyBorder="1" applyAlignment="1">
      <alignment horizontal="center"/>
    </xf>
    <xf numFmtId="43" fontId="40" fillId="5" borderId="1" xfId="1" applyFont="1" applyFill="1" applyBorder="1" applyAlignment="1">
      <alignment horizontal="center"/>
    </xf>
    <xf numFmtId="43" fontId="21" fillId="0" borderId="0" xfId="1" applyFont="1" applyAlignment="1">
      <alignment horizontal="center"/>
    </xf>
    <xf numFmtId="49" fontId="1" fillId="15" borderId="0" xfId="1" applyNumberFormat="1" applyFill="1" applyAlignment="1">
      <alignment horizontal="right"/>
    </xf>
    <xf numFmtId="0" fontId="1" fillId="15" borderId="0" xfId="1" applyNumberFormat="1" applyFill="1" applyAlignment="1">
      <alignment horizontal="center"/>
    </xf>
    <xf numFmtId="0" fontId="7" fillId="0" borderId="0" xfId="1" applyNumberFormat="1" applyFont="1" applyAlignment="1">
      <alignment horizontal="center"/>
    </xf>
    <xf numFmtId="165" fontId="1" fillId="0" borderId="0" xfId="1" applyNumberFormat="1" applyAlignment="1">
      <alignment horizontal="center"/>
    </xf>
    <xf numFmtId="165" fontId="1" fillId="0" borderId="0" xfId="1" applyNumberFormat="1" applyAlignment="1">
      <alignment horizontal="left" indent="3"/>
    </xf>
    <xf numFmtId="44" fontId="1" fillId="16" borderId="0" xfId="2" applyFill="1"/>
    <xf numFmtId="165" fontId="1" fillId="0" borderId="0" xfId="1" applyNumberFormat="1" applyAlignment="1">
      <alignment horizontal="left"/>
    </xf>
    <xf numFmtId="165" fontId="32" fillId="14" borderId="0" xfId="1" applyNumberFormat="1" applyFont="1" applyFill="1"/>
    <xf numFmtId="44" fontId="11" fillId="16" borderId="0" xfId="2" applyFont="1" applyFill="1"/>
    <xf numFmtId="165" fontId="32" fillId="0" borderId="0" xfId="1" applyNumberFormat="1" applyFont="1" applyAlignment="1">
      <alignment horizontal="left"/>
    </xf>
    <xf numFmtId="44" fontId="16" fillId="16" borderId="0" xfId="2" applyFont="1" applyFill="1"/>
    <xf numFmtId="0" fontId="7" fillId="16" borderId="0" xfId="2" applyNumberFormat="1" applyFont="1" applyFill="1" applyAlignment="1">
      <alignment horizontal="center"/>
    </xf>
    <xf numFmtId="44" fontId="1" fillId="17" borderId="0" xfId="2" applyFill="1"/>
    <xf numFmtId="165" fontId="16" fillId="0" borderId="0" xfId="1" applyNumberFormat="1" applyFont="1"/>
    <xf numFmtId="44" fontId="16" fillId="17" borderId="0" xfId="2" applyFont="1" applyFill="1"/>
    <xf numFmtId="165" fontId="41" fillId="0" borderId="0" xfId="1" applyNumberFormat="1" applyFont="1" applyAlignment="1">
      <alignment horizontal="left"/>
    </xf>
    <xf numFmtId="165" fontId="41" fillId="0" borderId="0" xfId="1" applyNumberFormat="1" applyFont="1" applyAlignment="1">
      <alignment horizontal="left" indent="1"/>
    </xf>
    <xf numFmtId="44" fontId="35" fillId="18" borderId="0" xfId="2" applyFont="1" applyFill="1"/>
    <xf numFmtId="0" fontId="7" fillId="17" borderId="0" xfId="1" applyNumberFormat="1" applyFont="1" applyFill="1" applyAlignment="1">
      <alignment horizontal="center"/>
    </xf>
    <xf numFmtId="165" fontId="1" fillId="0" borderId="0" xfId="1" applyNumberFormat="1" applyAlignment="1">
      <alignment horizontal="left" indent="4"/>
    </xf>
    <xf numFmtId="165" fontId="42" fillId="0" borderId="0" xfId="1" applyNumberFormat="1" applyFont="1" applyAlignment="1">
      <alignment horizontal="left" indent="4"/>
    </xf>
    <xf numFmtId="44" fontId="11" fillId="17" borderId="0" xfId="2" applyFont="1" applyFill="1"/>
    <xf numFmtId="165" fontId="43" fillId="0" borderId="0" xfId="1" applyNumberFormat="1" applyFont="1" applyAlignment="1">
      <alignment horizontal="left"/>
    </xf>
    <xf numFmtId="43" fontId="32" fillId="14" borderId="0" xfId="1" applyFont="1" applyFill="1"/>
    <xf numFmtId="49" fontId="1" fillId="2" borderId="0" xfId="1" applyNumberFormat="1" applyFill="1" applyAlignment="1">
      <alignment horizontal="right"/>
    </xf>
    <xf numFmtId="0" fontId="1" fillId="2" borderId="0" xfId="1" applyNumberFormat="1" applyFill="1" applyAlignment="1">
      <alignment horizontal="center"/>
    </xf>
    <xf numFmtId="0" fontId="7" fillId="19" borderId="0" xfId="1" applyNumberFormat="1" applyFont="1" applyFill="1" applyAlignment="1">
      <alignment horizontal="center"/>
    </xf>
    <xf numFmtId="165" fontId="1" fillId="19" borderId="0" xfId="1" applyNumberFormat="1" applyFill="1"/>
    <xf numFmtId="44" fontId="11" fillId="19" borderId="0" xfId="2" applyFont="1" applyFill="1"/>
    <xf numFmtId="165" fontId="32" fillId="0" borderId="0" xfId="1" applyNumberFormat="1" applyFont="1"/>
    <xf numFmtId="165" fontId="32" fillId="14" borderId="0" xfId="1" applyNumberFormat="1" applyFont="1" applyFill="1" applyAlignment="1">
      <alignment horizontal="left" vertical="top"/>
    </xf>
    <xf numFmtId="44" fontId="16" fillId="19" borderId="0" xfId="2" applyFont="1" applyFill="1"/>
    <xf numFmtId="165" fontId="44" fillId="0" borderId="0" xfId="1" applyNumberFormat="1" applyFont="1"/>
    <xf numFmtId="43" fontId="45" fillId="0" borderId="0" xfId="1" applyFont="1"/>
    <xf numFmtId="165" fontId="42" fillId="0" borderId="0" xfId="1" applyNumberFormat="1" applyFont="1" applyAlignment="1">
      <alignment horizontal="left"/>
    </xf>
    <xf numFmtId="165" fontId="45" fillId="0" borderId="0" xfId="1" applyNumberFormat="1" applyFont="1"/>
    <xf numFmtId="165" fontId="1" fillId="0" borderId="1" xfId="1" applyNumberFormat="1" applyBorder="1"/>
    <xf numFmtId="44" fontId="1" fillId="17" borderId="1" xfId="2" applyFill="1" applyBorder="1"/>
    <xf numFmtId="165" fontId="28" fillId="0" borderId="1" xfId="1" applyNumberFormat="1" applyFont="1" applyBorder="1"/>
    <xf numFmtId="44" fontId="28" fillId="17" borderId="0" xfId="2" applyFont="1" applyFill="1"/>
    <xf numFmtId="44" fontId="11" fillId="17" borderId="1" xfId="2" applyFont="1" applyFill="1" applyBorder="1"/>
    <xf numFmtId="49" fontId="1" fillId="15" borderId="0" xfId="1" applyNumberFormat="1" applyFill="1" applyAlignment="1">
      <alignment horizontal="center"/>
    </xf>
    <xf numFmtId="49" fontId="7" fillId="0" borderId="0" xfId="1" applyNumberFormat="1" applyFont="1" applyAlignment="1">
      <alignment horizontal="center"/>
    </xf>
    <xf numFmtId="43" fontId="1" fillId="0" borderId="2" xfId="1" applyBorder="1"/>
    <xf numFmtId="165" fontId="1" fillId="0" borderId="6" xfId="1" applyNumberFormat="1" applyBorder="1"/>
    <xf numFmtId="44" fontId="2" fillId="0" borderId="2" xfId="2" applyFont="1" applyBorder="1"/>
    <xf numFmtId="165" fontId="5" fillId="0" borderId="2" xfId="1" applyNumberFormat="1" applyFont="1" applyBorder="1" applyAlignment="1">
      <alignment horizontal="left"/>
    </xf>
    <xf numFmtId="44" fontId="34" fillId="0" borderId="0" xfId="2" applyFont="1"/>
    <xf numFmtId="43" fontId="1" fillId="0" borderId="6" xfId="1" applyBorder="1"/>
    <xf numFmtId="165" fontId="32" fillId="0" borderId="6" xfId="1" applyNumberFormat="1" applyFont="1" applyBorder="1"/>
    <xf numFmtId="43" fontId="32" fillId="0" borderId="6" xfId="1" applyFont="1" applyBorder="1"/>
    <xf numFmtId="43" fontId="32" fillId="0" borderId="0" xfId="1" applyFont="1"/>
    <xf numFmtId="165" fontId="32" fillId="0" borderId="0" xfId="1" applyNumberFormat="1" applyFont="1" applyAlignment="1">
      <alignment horizontal="left" indent="4"/>
    </xf>
    <xf numFmtId="165" fontId="32" fillId="0" borderId="0" xfId="1" applyNumberFormat="1" applyFont="1" applyAlignment="1">
      <alignment horizontal="left" indent="3"/>
    </xf>
    <xf numFmtId="165" fontId="34" fillId="0" borderId="0" xfId="1" applyNumberFormat="1" applyFont="1" applyAlignment="1">
      <alignment horizontal="left"/>
    </xf>
    <xf numFmtId="165" fontId="44" fillId="0" borderId="0" xfId="1" applyNumberFormat="1" applyFont="1" applyAlignment="1">
      <alignment horizontal="left"/>
    </xf>
    <xf numFmtId="44" fontId="5" fillId="0" borderId="0" xfId="2" applyFont="1"/>
    <xf numFmtId="165" fontId="32" fillId="0" borderId="1" xfId="1" applyNumberFormat="1" applyFont="1" applyBorder="1" applyAlignment="1">
      <alignment horizontal="left" indent="3"/>
    </xf>
    <xf numFmtId="44" fontId="1" fillId="16" borderId="1" xfId="2" applyFill="1" applyBorder="1"/>
    <xf numFmtId="165" fontId="1" fillId="0" borderId="1" xfId="1" applyNumberFormat="1" applyBorder="1" applyAlignment="1">
      <alignment horizontal="left" indent="3"/>
    </xf>
    <xf numFmtId="44" fontId="11" fillId="16" borderId="1" xfId="2" applyFont="1" applyFill="1" applyBorder="1"/>
    <xf numFmtId="165" fontId="32" fillId="0" borderId="2" xfId="1" applyNumberFormat="1" applyFont="1" applyBorder="1" applyAlignment="1">
      <alignment horizontal="left" indent="3"/>
    </xf>
    <xf numFmtId="165" fontId="1" fillId="0" borderId="6" xfId="1" applyNumberFormat="1" applyBorder="1" applyAlignment="1">
      <alignment horizontal="left" indent="3"/>
    </xf>
    <xf numFmtId="165" fontId="32" fillId="0" borderId="2" xfId="1" applyNumberFormat="1" applyFont="1" applyBorder="1"/>
    <xf numFmtId="44" fontId="2" fillId="0" borderId="6" xfId="2" applyFont="1" applyBorder="1"/>
    <xf numFmtId="165" fontId="5" fillId="0" borderId="6" xfId="1" applyNumberFormat="1" applyFont="1" applyBorder="1"/>
    <xf numFmtId="165" fontId="32" fillId="0" borderId="6" xfId="1" applyNumberFormat="1" applyFont="1" applyBorder="1" applyAlignment="1">
      <alignment horizontal="left" indent="3"/>
    </xf>
    <xf numFmtId="165" fontId="7" fillId="0" borderId="0" xfId="1" applyNumberFormat="1" applyFont="1" applyAlignment="1">
      <alignment horizontal="left"/>
    </xf>
    <xf numFmtId="165" fontId="2" fillId="0" borderId="0" xfId="1" applyNumberFormat="1" applyFont="1" applyAlignment="1">
      <alignment horizontal="left"/>
    </xf>
    <xf numFmtId="165" fontId="32" fillId="0" borderId="1" xfId="1" applyNumberFormat="1" applyFont="1" applyBorder="1"/>
    <xf numFmtId="165" fontId="4" fillId="0" borderId="0" xfId="1" applyNumberFormat="1" applyFont="1"/>
    <xf numFmtId="165" fontId="5" fillId="0" borderId="0" xfId="1" applyNumberFormat="1" applyFont="1" applyAlignment="1">
      <alignment horizontal="left" indent="1"/>
    </xf>
    <xf numFmtId="43" fontId="32" fillId="0" borderId="2" xfId="1" applyFont="1" applyBorder="1"/>
    <xf numFmtId="165" fontId="4" fillId="0" borderId="2" xfId="1" applyNumberFormat="1" applyFont="1" applyBorder="1"/>
    <xf numFmtId="44" fontId="4" fillId="0" borderId="2" xfId="2" applyFont="1" applyBorder="1"/>
    <xf numFmtId="165" fontId="5" fillId="0" borderId="2" xfId="1" applyNumberFormat="1" applyFont="1" applyBorder="1"/>
    <xf numFmtId="165" fontId="2" fillId="0" borderId="2" xfId="1" applyNumberFormat="1" applyFont="1" applyBorder="1"/>
    <xf numFmtId="165" fontId="7" fillId="0" borderId="2" xfId="1" applyNumberFormat="1" applyFont="1" applyBorder="1"/>
    <xf numFmtId="44" fontId="7" fillId="0" borderId="2" xfId="2" applyFont="1" applyBorder="1"/>
    <xf numFmtId="165" fontId="5" fillId="0" borderId="2" xfId="1" applyNumberFormat="1" applyFont="1" applyBorder="1" applyAlignment="1">
      <alignment horizontal="right"/>
    </xf>
    <xf numFmtId="43" fontId="5" fillId="0" borderId="6" xfId="1" applyFont="1" applyBorder="1"/>
    <xf numFmtId="165" fontId="4" fillId="0" borderId="0" xfId="1" applyNumberFormat="1" applyFont="1" applyAlignment="1">
      <alignment horizontal="center"/>
    </xf>
    <xf numFmtId="44" fontId="2" fillId="8" borderId="0" xfId="2" applyFont="1" applyFill="1"/>
    <xf numFmtId="44" fontId="2" fillId="17" borderId="0" xfId="2" applyFont="1" applyFill="1"/>
    <xf numFmtId="44" fontId="5" fillId="18" borderId="0" xfId="2" applyFont="1" applyFill="1"/>
    <xf numFmtId="44" fontId="2" fillId="16" borderId="0" xfId="2" applyFont="1" applyFill="1"/>
    <xf numFmtId="44" fontId="5" fillId="16" borderId="0" xfId="2" applyFont="1" applyFill="1"/>
    <xf numFmtId="44" fontId="34" fillId="0" borderId="2" xfId="2" applyFont="1" applyBorder="1"/>
    <xf numFmtId="43" fontId="7" fillId="3" borderId="2" xfId="1" applyFont="1" applyFill="1" applyBorder="1"/>
    <xf numFmtId="165" fontId="46" fillId="0" borderId="0" xfId="1" applyNumberFormat="1" applyFont="1"/>
    <xf numFmtId="43" fontId="7" fillId="0" borderId="0" xfId="1" applyFont="1" applyAlignment="1">
      <alignment horizontal="left"/>
    </xf>
    <xf numFmtId="43" fontId="4" fillId="0" borderId="6" xfId="1" applyFont="1" applyBorder="1"/>
    <xf numFmtId="165" fontId="47" fillId="0" borderId="0" xfId="1" applyNumberFormat="1" applyFont="1" applyAlignment="1">
      <alignment horizontal="left" wrapText="1"/>
    </xf>
    <xf numFmtId="43" fontId="5" fillId="0" borderId="0" xfId="1" applyFont="1" applyAlignment="1">
      <alignment horizontal="left"/>
    </xf>
    <xf numFmtId="43" fontId="7" fillId="20" borderId="2" xfId="1" applyFont="1" applyFill="1" applyBorder="1" applyAlignment="1">
      <alignment horizontal="left"/>
    </xf>
    <xf numFmtId="43" fontId="2" fillId="0" borderId="0" xfId="1" applyFont="1" applyAlignment="1">
      <alignment horizontal="left"/>
    </xf>
    <xf numFmtId="49" fontId="2" fillId="14" borderId="0" xfId="0" applyNumberFormat="1" applyFont="1" applyFill="1" applyAlignment="1">
      <alignment horizontal="right"/>
    </xf>
    <xf numFmtId="49" fontId="1" fillId="14" borderId="0" xfId="0" applyNumberFormat="1" applyFont="1" applyFill="1" applyAlignment="1">
      <alignment horizontal="right"/>
    </xf>
    <xf numFmtId="0" fontId="5" fillId="0" borderId="0" xfId="1" applyNumberFormat="1" applyFont="1"/>
    <xf numFmtId="15" fontId="5" fillId="0" borderId="0" xfId="1" applyNumberFormat="1" applyFont="1"/>
    <xf numFmtId="49" fontId="2" fillId="9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right"/>
    </xf>
    <xf numFmtId="165" fontId="4" fillId="0" borderId="3" xfId="1" applyNumberFormat="1" applyFont="1" applyBorder="1" applyAlignment="1">
      <alignment horizontal="center" vertical="top"/>
    </xf>
    <xf numFmtId="165" fontId="34" fillId="0" borderId="3" xfId="1" applyNumberFormat="1" applyFont="1" applyBorder="1"/>
    <xf numFmtId="43" fontId="7" fillId="0" borderId="0" xfId="1" applyFont="1"/>
    <xf numFmtId="165" fontId="32" fillId="0" borderId="0" xfId="1" applyNumberFormat="1" applyFont="1" applyAlignment="1">
      <alignment horizontal="right"/>
    </xf>
    <xf numFmtId="43" fontId="7" fillId="0" borderId="6" xfId="1" applyFont="1" applyBorder="1" applyAlignment="1">
      <alignment vertical="center"/>
    </xf>
    <xf numFmtId="171" fontId="34" fillId="0" borderId="0" xfId="1" applyNumberFormat="1" applyFont="1"/>
    <xf numFmtId="171" fontId="5" fillId="0" borderId="0" xfId="1" applyNumberFormat="1" applyFont="1"/>
    <xf numFmtId="165" fontId="5" fillId="0" borderId="0" xfId="4" applyNumberFormat="1" applyFont="1"/>
    <xf numFmtId="0" fontId="11" fillId="0" borderId="0" xfId="3" applyFont="1" applyAlignment="1">
      <alignment horizontal="center"/>
    </xf>
    <xf numFmtId="0" fontId="11" fillId="0" borderId="9" xfId="3" applyFont="1" applyBorder="1" applyAlignment="1">
      <alignment horizontal="center"/>
    </xf>
    <xf numFmtId="0" fontId="2" fillId="0" borderId="0" xfId="3" applyFont="1" applyAlignment="1">
      <alignment horizontal="right"/>
    </xf>
    <xf numFmtId="44" fontId="2" fillId="0" borderId="0" xfId="3" applyNumberFormat="1" applyFont="1" applyAlignment="1">
      <alignment horizontal="right"/>
    </xf>
    <xf numFmtId="165" fontId="1" fillId="0" borderId="0" xfId="4" applyNumberFormat="1"/>
    <xf numFmtId="44" fontId="2" fillId="0" borderId="0" xfId="3" applyNumberFormat="1" applyFont="1"/>
    <xf numFmtId="44" fontId="2" fillId="0" borderId="4" xfId="3" applyNumberFormat="1" applyFont="1" applyBorder="1"/>
    <xf numFmtId="0" fontId="2" fillId="0" borderId="0" xfId="3" applyFont="1"/>
    <xf numFmtId="49" fontId="8" fillId="0" borderId="4" xfId="3" applyNumberFormat="1" applyFont="1" applyBorder="1" applyAlignment="1">
      <alignment horizontal="center"/>
    </xf>
    <xf numFmtId="49" fontId="8" fillId="0" borderId="0" xfId="3" applyNumberFormat="1" applyFont="1" applyAlignment="1">
      <alignment horizontal="center"/>
    </xf>
    <xf numFmtId="44" fontId="11" fillId="0" borderId="4" xfId="3" applyNumberFormat="1" applyFont="1" applyBorder="1" applyAlignment="1">
      <alignment horizontal="center"/>
    </xf>
    <xf numFmtId="44" fontId="2" fillId="0" borderId="10" xfId="3" applyNumberFormat="1" applyFont="1" applyBorder="1" applyAlignment="1">
      <alignment horizontal="left"/>
    </xf>
    <xf numFmtId="44" fontId="2" fillId="0" borderId="0" xfId="3" applyNumberFormat="1" applyFont="1" applyAlignment="1">
      <alignment horizontal="center"/>
    </xf>
    <xf numFmtId="0" fontId="2" fillId="0" borderId="4" xfId="3" applyFont="1" applyBorder="1"/>
    <xf numFmtId="0" fontId="2" fillId="0" borderId="10" xfId="3" applyFont="1" applyBorder="1"/>
    <xf numFmtId="44" fontId="7" fillId="0" borderId="2" xfId="3" applyNumberFormat="1" applyFont="1" applyBorder="1"/>
    <xf numFmtId="44" fontId="7" fillId="0" borderId="11" xfId="3" applyNumberFormat="1" applyFont="1" applyBorder="1"/>
    <xf numFmtId="0" fontId="4" fillId="0" borderId="2" xfId="3" applyFont="1" applyBorder="1"/>
    <xf numFmtId="0" fontId="2" fillId="0" borderId="2" xfId="3" applyFont="1" applyBorder="1"/>
    <xf numFmtId="44" fontId="2" fillId="0" borderId="0" xfId="5" applyFont="1"/>
    <xf numFmtId="44" fontId="2" fillId="0" borderId="4" xfId="5" applyFont="1" applyBorder="1"/>
    <xf numFmtId="0" fontId="2" fillId="0" borderId="1" xfId="3" applyFont="1" applyBorder="1"/>
    <xf numFmtId="0" fontId="2" fillId="0" borderId="10" xfId="5" applyNumberFormat="1" applyFont="1" applyBorder="1" applyAlignment="1">
      <alignment horizontal="left"/>
    </xf>
    <xf numFmtId="44" fontId="2" fillId="0" borderId="10" xfId="5" applyFont="1" applyBorder="1"/>
    <xf numFmtId="44" fontId="2" fillId="0" borderId="7" xfId="5" applyFont="1" applyBorder="1"/>
    <xf numFmtId="44" fontId="2" fillId="0" borderId="1" xfId="3" applyNumberFormat="1" applyFont="1" applyBorder="1"/>
    <xf numFmtId="44" fontId="2" fillId="0" borderId="5" xfId="5" applyFont="1" applyBorder="1"/>
    <xf numFmtId="44" fontId="2" fillId="0" borderId="1" xfId="5" applyFont="1" applyBorder="1"/>
    <xf numFmtId="44" fontId="2" fillId="0" borderId="8" xfId="3" applyNumberFormat="1" applyFont="1" applyBorder="1" applyAlignment="1">
      <alignment horizontal="center"/>
    </xf>
    <xf numFmtId="44" fontId="2" fillId="0" borderId="4" xfId="3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7" fillId="0" borderId="1" xfId="3" applyFont="1" applyBorder="1"/>
    <xf numFmtId="0" fontId="8" fillId="0" borderId="0" xfId="3" applyFont="1" applyAlignment="1">
      <alignment horizontal="center"/>
    </xf>
    <xf numFmtId="0" fontId="8" fillId="0" borderId="4" xfId="3" applyFont="1" applyBorder="1" applyAlignment="1">
      <alignment horizontal="center"/>
    </xf>
    <xf numFmtId="0" fontId="1" fillId="0" borderId="3" xfId="3" applyBorder="1" applyAlignment="1">
      <alignment horizontal="center"/>
    </xf>
    <xf numFmtId="0" fontId="1" fillId="0" borderId="1" xfId="3" applyBorder="1" applyAlignment="1">
      <alignment horizontal="center"/>
    </xf>
    <xf numFmtId="164" fontId="6" fillId="0" borderId="0" xfId="3" applyNumberFormat="1" applyFont="1"/>
    <xf numFmtId="164" fontId="6" fillId="0" borderId="0" xfId="3" applyNumberFormat="1" applyFont="1" applyAlignment="1">
      <alignment horizontal="left"/>
    </xf>
    <xf numFmtId="0" fontId="6" fillId="0" borderId="0" xfId="3" applyFont="1"/>
    <xf numFmtId="0" fontId="4" fillId="0" borderId="0" xfId="3" applyFont="1" applyAlignment="1">
      <alignment horizontal="center" vertical="center"/>
    </xf>
    <xf numFmtId="0" fontId="6" fillId="0" borderId="0" xfId="3" applyFont="1" applyAlignment="1">
      <alignment horizontal="right"/>
    </xf>
  </cellXfs>
  <cellStyles count="6">
    <cellStyle name="Comma" xfId="1" builtinId="3"/>
    <cellStyle name="Comma 3" xfId="4" xr:uid="{143D93D9-8F29-4FD3-A928-179C28C89B0B}"/>
    <cellStyle name="Currency" xfId="2" builtinId="4"/>
    <cellStyle name="Currency 3" xfId="5" xr:uid="{7B98DC88-CEBC-41BF-93A0-A9C0E79A053B}"/>
    <cellStyle name="Normal" xfId="0" builtinId="0"/>
    <cellStyle name="Normal 3" xfId="3" xr:uid="{760ED0C0-96D8-4978-AD7C-B398B281B5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5-2020\PGA%20Allocations%205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arah.volk/Application%20Data/Microsoft/Excel/11-2010%20Core%20Billed%20Therm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Accounting\GA\GASCOST\Gas%20Cost%20CY2020\Gas%20Supply%20Analysis\4-2020%20Gas%20Supply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Deferrals\Deferrals%202020\5-2020\WA\UG-190773%20CNGC%20Monthly%20PGA%20Rpt%20May%202020,%206.30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"/>
      <sheetName val="OR Deferrals"/>
      <sheetName val="WA Deferrals"/>
      <sheetName val="WA Rates Old Rates"/>
      <sheetName val="OR Rates 2015"/>
      <sheetName val="OR Deferrals Incl true-up 2"/>
      <sheetName val="WA Rates - old Rates"/>
      <sheetName val="OR Rates Old Rates"/>
      <sheetName val="WA Rates - 2018"/>
      <sheetName val="WA Rates"/>
      <sheetName val="OR Rates 2018"/>
      <sheetName val="OR Rates"/>
      <sheetName val="Core Cost Incurre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47">
          <cell r="K47">
            <v>2734395.9300000006</v>
          </cell>
        </row>
      </sheetData>
      <sheetData sheetId="10" refreshError="1"/>
      <sheetData sheetId="11" refreshError="1"/>
      <sheetData sheetId="12">
        <row r="2">
          <cell r="B2">
            <v>43976</v>
          </cell>
        </row>
        <row r="42">
          <cell r="K42">
            <v>1847883.6599999997</v>
          </cell>
        </row>
        <row r="43">
          <cell r="K43">
            <v>3733155.7600000002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e Billed Therms "/>
      <sheetName val="Bill Freq Sum"/>
    </sheetNames>
    <sheetDataSet>
      <sheetData sheetId="0">
        <row r="12">
          <cell r="J12">
            <v>0</v>
          </cell>
        </row>
        <row r="88">
          <cell r="J88">
            <v>0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Accrual"/>
      <sheetName val="C Actual"/>
      <sheetName val="Demand JE"/>
      <sheetName val="Tenaska JE"/>
      <sheetName val="NWP JE"/>
      <sheetName val="GTN JE"/>
      <sheetName val="Invoices"/>
      <sheetName val="True-Up"/>
      <sheetName val="Commodity"/>
    </sheetNames>
    <sheetDataSet>
      <sheetData sheetId="0">
        <row r="79">
          <cell r="F79">
            <v>27586810</v>
          </cell>
        </row>
      </sheetData>
      <sheetData sheetId="1"/>
      <sheetData sheetId="2"/>
      <sheetData sheetId="3"/>
      <sheetData sheetId="4"/>
      <sheetData sheetId="5"/>
      <sheetData sheetId="6">
        <row r="94">
          <cell r="N94">
            <v>-16715.09542300029</v>
          </cell>
        </row>
      </sheetData>
      <sheetData sheetId="7"/>
      <sheetData sheetId="8">
        <row r="79">
          <cell r="D79">
            <v>27900000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 2530.01253"/>
      <sheetName val="DG 2530.01254"/>
      <sheetName val="DG 2530.01288"/>
      <sheetName val="DG 2530.01289"/>
      <sheetName val="RA 1860.20479"/>
      <sheetName val="RA 1823.47020430"/>
      <sheetName val="RA 1823.47020431"/>
      <sheetName val="RA 1823.47020444"/>
      <sheetName val="RA 1823.47020449"/>
      <sheetName val="RA 1862.20477"/>
      <sheetName val="RA 1823.47020478"/>
      <sheetName val="RA 1862.20480"/>
      <sheetName val="RA 1860.20481"/>
      <sheetName val="RA 1860.20484"/>
      <sheetName val="FERC Interest Rates"/>
      <sheetName val="Therm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0">
          <cell r="A10">
            <v>41305</v>
          </cell>
          <cell r="B10">
            <v>3.2500000000000001E-2</v>
          </cell>
          <cell r="C10">
            <v>31</v>
          </cell>
        </row>
        <row r="11">
          <cell r="A11">
            <v>41333</v>
          </cell>
          <cell r="B11">
            <v>3.2500000000000001E-2</v>
          </cell>
          <cell r="C11">
            <v>28</v>
          </cell>
        </row>
        <row r="12">
          <cell r="A12">
            <v>41364</v>
          </cell>
          <cell r="B12">
            <v>3.2500000000000001E-2</v>
          </cell>
          <cell r="C12">
            <v>31</v>
          </cell>
        </row>
        <row r="13">
          <cell r="A13">
            <v>41394</v>
          </cell>
          <cell r="B13">
            <v>3.2500000000000001E-2</v>
          </cell>
          <cell r="C13">
            <v>30</v>
          </cell>
        </row>
        <row r="14">
          <cell r="A14">
            <v>41425</v>
          </cell>
          <cell r="B14">
            <v>3.2500000000000001E-2</v>
          </cell>
          <cell r="C14">
            <v>31</v>
          </cell>
        </row>
        <row r="15">
          <cell r="A15">
            <v>41455</v>
          </cell>
          <cell r="B15">
            <v>3.2500000000000001E-2</v>
          </cell>
          <cell r="C15">
            <v>30</v>
          </cell>
        </row>
        <row r="16">
          <cell r="A16">
            <v>41486</v>
          </cell>
          <cell r="B16">
            <v>3.2500000000000001E-2</v>
          </cell>
          <cell r="C16">
            <v>31</v>
          </cell>
        </row>
        <row r="17">
          <cell r="A17">
            <v>41517</v>
          </cell>
          <cell r="B17">
            <v>3.2500000000000001E-2</v>
          </cell>
          <cell r="C17">
            <v>31</v>
          </cell>
        </row>
        <row r="18">
          <cell r="A18">
            <v>41547</v>
          </cell>
          <cell r="B18">
            <v>3.2500000000000001E-2</v>
          </cell>
          <cell r="C18">
            <v>30</v>
          </cell>
        </row>
        <row r="19">
          <cell r="A19">
            <v>41578</v>
          </cell>
          <cell r="B19">
            <v>3.2500000000000001E-2</v>
          </cell>
          <cell r="C19">
            <v>31</v>
          </cell>
        </row>
        <row r="20">
          <cell r="A20">
            <v>41608</v>
          </cell>
          <cell r="B20">
            <v>3.2500000000000001E-2</v>
          </cell>
          <cell r="C20">
            <v>30</v>
          </cell>
        </row>
        <row r="21">
          <cell r="A21">
            <v>41639</v>
          </cell>
          <cell r="B21">
            <v>3.2500000000000001E-2</v>
          </cell>
          <cell r="C21">
            <v>31</v>
          </cell>
        </row>
        <row r="22">
          <cell r="A22">
            <v>41670</v>
          </cell>
          <cell r="B22">
            <v>3.2500000000000001E-2</v>
          </cell>
          <cell r="C22">
            <v>31</v>
          </cell>
        </row>
        <row r="23">
          <cell r="A23">
            <v>41698</v>
          </cell>
          <cell r="B23">
            <v>3.2500000000000001E-2</v>
          </cell>
          <cell r="C23">
            <v>28</v>
          </cell>
        </row>
        <row r="24">
          <cell r="A24">
            <v>41729</v>
          </cell>
          <cell r="B24">
            <v>3.2500000000000001E-2</v>
          </cell>
          <cell r="C24">
            <v>31</v>
          </cell>
        </row>
        <row r="25">
          <cell r="A25">
            <v>41759</v>
          </cell>
          <cell r="B25">
            <v>3.2500000000000001E-2</v>
          </cell>
          <cell r="C25">
            <v>30</v>
          </cell>
        </row>
        <row r="26">
          <cell r="A26">
            <v>41790</v>
          </cell>
          <cell r="B26">
            <v>3.2500000000000001E-2</v>
          </cell>
          <cell r="C26">
            <v>31</v>
          </cell>
        </row>
        <row r="27">
          <cell r="A27">
            <v>41820</v>
          </cell>
          <cell r="B27">
            <v>3.2500000000000001E-2</v>
          </cell>
          <cell r="C27">
            <v>30</v>
          </cell>
        </row>
        <row r="28">
          <cell r="A28">
            <v>41851</v>
          </cell>
          <cell r="B28">
            <v>3.2500000000000001E-2</v>
          </cell>
          <cell r="C28">
            <v>31</v>
          </cell>
        </row>
        <row r="29">
          <cell r="A29">
            <v>41882</v>
          </cell>
          <cell r="B29">
            <v>3.2500000000000001E-2</v>
          </cell>
          <cell r="C29">
            <v>31</v>
          </cell>
        </row>
        <row r="30">
          <cell r="A30">
            <v>41912</v>
          </cell>
          <cell r="B30">
            <v>3.2500000000000001E-2</v>
          </cell>
          <cell r="C30">
            <v>30</v>
          </cell>
        </row>
        <row r="31">
          <cell r="A31">
            <v>41943</v>
          </cell>
          <cell r="B31">
            <v>3.2500000000000001E-2</v>
          </cell>
          <cell r="C31">
            <v>31</v>
          </cell>
        </row>
        <row r="32">
          <cell r="A32">
            <v>41973</v>
          </cell>
          <cell r="B32">
            <v>3.2500000000000001E-2</v>
          </cell>
          <cell r="C32">
            <v>30</v>
          </cell>
        </row>
        <row r="33">
          <cell r="A33">
            <v>42004</v>
          </cell>
          <cell r="B33">
            <v>3.2500000000000001E-2</v>
          </cell>
          <cell r="C33">
            <v>31</v>
          </cell>
        </row>
        <row r="34">
          <cell r="A34">
            <v>42035</v>
          </cell>
          <cell r="B34">
            <v>3.2500000000000001E-2</v>
          </cell>
          <cell r="C34">
            <v>31</v>
          </cell>
        </row>
        <row r="35">
          <cell r="A35">
            <v>42063</v>
          </cell>
          <cell r="B35">
            <v>3.2500000000000001E-2</v>
          </cell>
          <cell r="C35">
            <v>28</v>
          </cell>
        </row>
        <row r="36">
          <cell r="A36">
            <v>42094</v>
          </cell>
          <cell r="B36">
            <v>3.2500000000000001E-2</v>
          </cell>
          <cell r="C36">
            <v>31</v>
          </cell>
        </row>
        <row r="37">
          <cell r="A37">
            <v>42124</v>
          </cell>
          <cell r="B37">
            <v>3.2500000000000001E-2</v>
          </cell>
          <cell r="C37">
            <v>30</v>
          </cell>
        </row>
        <row r="38">
          <cell r="A38">
            <v>42155</v>
          </cell>
          <cell r="B38">
            <v>3.2500000000000001E-2</v>
          </cell>
          <cell r="C38">
            <v>31</v>
          </cell>
        </row>
        <row r="39">
          <cell r="A39">
            <v>42185</v>
          </cell>
          <cell r="B39">
            <v>3.2500000000000001E-2</v>
          </cell>
          <cell r="C39">
            <v>30</v>
          </cell>
        </row>
        <row r="40">
          <cell r="A40">
            <v>42216</v>
          </cell>
          <cell r="B40">
            <v>3.2500000000000001E-2</v>
          </cell>
          <cell r="C40">
            <v>31</v>
          </cell>
        </row>
        <row r="41">
          <cell r="A41">
            <v>42247</v>
          </cell>
          <cell r="B41">
            <v>3.2500000000000001E-2</v>
          </cell>
          <cell r="C41">
            <v>31</v>
          </cell>
        </row>
        <row r="42">
          <cell r="A42">
            <v>42277</v>
          </cell>
          <cell r="B42">
            <v>3.2500000000000001E-2</v>
          </cell>
          <cell r="C42">
            <v>30</v>
          </cell>
        </row>
        <row r="43">
          <cell r="A43">
            <v>42308</v>
          </cell>
          <cell r="B43">
            <v>3.2500000000000001E-2</v>
          </cell>
          <cell r="C43">
            <v>31</v>
          </cell>
        </row>
        <row r="44">
          <cell r="A44">
            <v>42338</v>
          </cell>
          <cell r="B44">
            <v>3.2500000000000001E-2</v>
          </cell>
          <cell r="C44">
            <v>30</v>
          </cell>
        </row>
        <row r="45">
          <cell r="A45">
            <v>42369</v>
          </cell>
          <cell r="B45">
            <v>3.2500000000000001E-2</v>
          </cell>
          <cell r="C45">
            <v>31</v>
          </cell>
        </row>
        <row r="46">
          <cell r="A46">
            <v>42400</v>
          </cell>
          <cell r="B46">
            <v>3.2500000000000001E-2</v>
          </cell>
          <cell r="C46">
            <v>31</v>
          </cell>
        </row>
        <row r="47">
          <cell r="A47">
            <v>42429</v>
          </cell>
          <cell r="B47">
            <v>3.2500000000000001E-2</v>
          </cell>
          <cell r="C47">
            <v>29</v>
          </cell>
        </row>
        <row r="48">
          <cell r="A48">
            <v>42460</v>
          </cell>
          <cell r="B48">
            <v>3.2500000000000001E-2</v>
          </cell>
          <cell r="C48">
            <v>31</v>
          </cell>
        </row>
        <row r="49">
          <cell r="A49">
            <v>42490</v>
          </cell>
          <cell r="B49">
            <v>3.4599999999999999E-2</v>
          </cell>
          <cell r="C49">
            <v>30</v>
          </cell>
        </row>
        <row r="50">
          <cell r="A50">
            <v>42521</v>
          </cell>
          <cell r="B50">
            <v>3.4599999999999999E-2</v>
          </cell>
          <cell r="C50">
            <v>31</v>
          </cell>
        </row>
        <row r="51">
          <cell r="A51">
            <v>42551</v>
          </cell>
          <cell r="B51">
            <v>3.4599999999999999E-2</v>
          </cell>
          <cell r="C51">
            <v>30</v>
          </cell>
        </row>
        <row r="52">
          <cell r="A52">
            <v>42582</v>
          </cell>
          <cell r="B52">
            <v>3.5000000000000003E-2</v>
          </cell>
          <cell r="C52">
            <v>31</v>
          </cell>
        </row>
        <row r="53">
          <cell r="A53">
            <v>42613</v>
          </cell>
          <cell r="B53">
            <v>3.5000000000000003E-2</v>
          </cell>
          <cell r="C53">
            <v>31</v>
          </cell>
        </row>
        <row r="54">
          <cell r="A54">
            <v>42643</v>
          </cell>
          <cell r="B54">
            <v>3.5000000000000003E-2</v>
          </cell>
          <cell r="C54">
            <v>30</v>
          </cell>
        </row>
        <row r="55">
          <cell r="A55">
            <v>42674</v>
          </cell>
          <cell r="B55">
            <v>3.5000000000000003E-2</v>
          </cell>
          <cell r="C55">
            <v>31</v>
          </cell>
        </row>
        <row r="56">
          <cell r="A56">
            <v>42704</v>
          </cell>
          <cell r="B56">
            <v>3.5000000000000003E-2</v>
          </cell>
          <cell r="C56">
            <v>30</v>
          </cell>
        </row>
        <row r="57">
          <cell r="A57">
            <v>42735</v>
          </cell>
          <cell r="B57">
            <v>3.5000000000000003E-2</v>
          </cell>
          <cell r="C57">
            <v>31</v>
          </cell>
        </row>
        <row r="58">
          <cell r="A58">
            <v>42766</v>
          </cell>
          <cell r="B58">
            <v>3.5000000000000003E-2</v>
          </cell>
          <cell r="C58">
            <v>31</v>
          </cell>
        </row>
        <row r="59">
          <cell r="A59">
            <v>42794</v>
          </cell>
          <cell r="B59">
            <v>3.5000000000000003E-2</v>
          </cell>
          <cell r="C59">
            <v>28</v>
          </cell>
        </row>
        <row r="60">
          <cell r="A60">
            <v>42825</v>
          </cell>
          <cell r="B60">
            <v>3.5000000000000003E-2</v>
          </cell>
          <cell r="C60">
            <v>31</v>
          </cell>
        </row>
        <row r="61">
          <cell r="A61">
            <v>42855</v>
          </cell>
          <cell r="B61">
            <v>3.7100000000000001E-2</v>
          </cell>
          <cell r="C61">
            <v>30</v>
          </cell>
        </row>
        <row r="62">
          <cell r="A62">
            <v>42886</v>
          </cell>
          <cell r="B62">
            <v>3.7100000000000001E-2</v>
          </cell>
          <cell r="C62">
            <v>31</v>
          </cell>
        </row>
        <row r="63">
          <cell r="A63">
            <v>42916</v>
          </cell>
          <cell r="B63">
            <v>3.7100000000000001E-2</v>
          </cell>
          <cell r="C63">
            <v>30</v>
          </cell>
        </row>
        <row r="64">
          <cell r="A64">
            <v>42947</v>
          </cell>
          <cell r="B64">
            <v>3.9600000000000003E-2</v>
          </cell>
          <cell r="C64">
            <v>31</v>
          </cell>
        </row>
        <row r="65">
          <cell r="A65">
            <v>42978</v>
          </cell>
          <cell r="B65">
            <v>3.9600000000000003E-2</v>
          </cell>
          <cell r="C65">
            <v>31</v>
          </cell>
        </row>
        <row r="66">
          <cell r="A66">
            <v>43008</v>
          </cell>
          <cell r="B66">
            <v>3.9600000000000003E-2</v>
          </cell>
          <cell r="C66">
            <v>30</v>
          </cell>
        </row>
        <row r="67">
          <cell r="A67">
            <v>43039</v>
          </cell>
          <cell r="B67">
            <v>4.2099999999999999E-2</v>
          </cell>
          <cell r="C67">
            <v>31</v>
          </cell>
        </row>
        <row r="68">
          <cell r="A68">
            <v>43069</v>
          </cell>
          <cell r="B68">
            <v>4.2099999999999999E-2</v>
          </cell>
          <cell r="C68">
            <v>30</v>
          </cell>
        </row>
        <row r="69">
          <cell r="A69">
            <v>43100</v>
          </cell>
          <cell r="B69">
            <v>4.2099999999999999E-2</v>
          </cell>
          <cell r="C69">
            <v>31</v>
          </cell>
        </row>
        <row r="70">
          <cell r="A70">
            <v>43131</v>
          </cell>
          <cell r="B70">
            <v>4.2500000000000003E-2</v>
          </cell>
          <cell r="C70">
            <v>31</v>
          </cell>
        </row>
        <row r="71">
          <cell r="A71">
            <v>43159</v>
          </cell>
          <cell r="B71">
            <v>4.2500000000000003E-2</v>
          </cell>
          <cell r="C71">
            <v>28</v>
          </cell>
        </row>
        <row r="72">
          <cell r="A72">
            <v>43190</v>
          </cell>
          <cell r="B72">
            <v>4.2500000000000003E-2</v>
          </cell>
          <cell r="C72">
            <v>31</v>
          </cell>
        </row>
        <row r="73">
          <cell r="A73">
            <v>43220</v>
          </cell>
          <cell r="B73">
            <v>4.4699999999999997E-2</v>
          </cell>
          <cell r="C73">
            <v>30</v>
          </cell>
        </row>
        <row r="74">
          <cell r="A74">
            <v>43251</v>
          </cell>
          <cell r="B74">
            <v>4.4699999999999997E-2</v>
          </cell>
          <cell r="C74">
            <v>31</v>
          </cell>
        </row>
        <row r="75">
          <cell r="A75">
            <v>43281</v>
          </cell>
          <cell r="B75">
            <v>4.4699999999999997E-2</v>
          </cell>
          <cell r="C75">
            <v>30</v>
          </cell>
        </row>
        <row r="76">
          <cell r="A76">
            <v>43312</v>
          </cell>
          <cell r="B76">
            <v>4.6899999999999997E-2</v>
          </cell>
          <cell r="C76">
            <v>31</v>
          </cell>
        </row>
        <row r="77">
          <cell r="A77">
            <v>43343</v>
          </cell>
          <cell r="B77">
            <v>4.6899999999999997E-2</v>
          </cell>
          <cell r="C77">
            <v>31</v>
          </cell>
        </row>
        <row r="78">
          <cell r="A78">
            <v>43373</v>
          </cell>
          <cell r="B78">
            <v>4.6899999999999997E-2</v>
          </cell>
          <cell r="C78">
            <v>30</v>
          </cell>
        </row>
        <row r="79">
          <cell r="A79">
            <v>43404</v>
          </cell>
          <cell r="B79">
            <v>4.9599999999999998E-2</v>
          </cell>
          <cell r="C79">
            <v>31</v>
          </cell>
        </row>
        <row r="80">
          <cell r="A80">
            <v>43434</v>
          </cell>
          <cell r="B80">
            <v>4.9599999999999998E-2</v>
          </cell>
          <cell r="C80">
            <v>30</v>
          </cell>
        </row>
        <row r="81">
          <cell r="A81">
            <v>43465</v>
          </cell>
          <cell r="B81">
            <v>4.9599999999999998E-2</v>
          </cell>
          <cell r="C81">
            <v>31</v>
          </cell>
        </row>
        <row r="82">
          <cell r="A82">
            <v>43496</v>
          </cell>
          <cell r="B82">
            <v>5.1799999999999999E-2</v>
          </cell>
          <cell r="C82">
            <v>31</v>
          </cell>
        </row>
        <row r="83">
          <cell r="A83">
            <v>43524</v>
          </cell>
          <cell r="B83">
            <v>5.1799999999999999E-2</v>
          </cell>
          <cell r="C83">
            <v>28</v>
          </cell>
        </row>
        <row r="84">
          <cell r="A84">
            <v>43555</v>
          </cell>
          <cell r="B84">
            <v>5.1799999999999999E-2</v>
          </cell>
          <cell r="C84">
            <v>31</v>
          </cell>
        </row>
        <row r="85">
          <cell r="A85">
            <v>43585</v>
          </cell>
          <cell r="B85">
            <v>5.45E-2</v>
          </cell>
          <cell r="C85">
            <v>30</v>
          </cell>
        </row>
        <row r="86">
          <cell r="A86">
            <v>43616</v>
          </cell>
          <cell r="B86">
            <v>5.45E-2</v>
          </cell>
          <cell r="C86">
            <v>31</v>
          </cell>
        </row>
        <row r="87">
          <cell r="A87">
            <v>43646</v>
          </cell>
          <cell r="B87">
            <v>5.45E-2</v>
          </cell>
          <cell r="C87">
            <v>30</v>
          </cell>
        </row>
        <row r="88">
          <cell r="A88">
            <v>43677</v>
          </cell>
          <cell r="B88">
            <v>5.5E-2</v>
          </cell>
          <cell r="C88">
            <v>31</v>
          </cell>
        </row>
        <row r="89">
          <cell r="A89">
            <v>43708</v>
          </cell>
          <cell r="B89">
            <v>5.5E-2</v>
          </cell>
          <cell r="C89">
            <v>31</v>
          </cell>
        </row>
        <row r="90">
          <cell r="A90">
            <v>43738</v>
          </cell>
          <cell r="B90">
            <v>5.5E-2</v>
          </cell>
          <cell r="C90">
            <v>30</v>
          </cell>
        </row>
        <row r="91">
          <cell r="A91">
            <v>43769</v>
          </cell>
          <cell r="B91">
            <v>5.4199999999999998E-2</v>
          </cell>
          <cell r="C91">
            <v>31</v>
          </cell>
        </row>
        <row r="92">
          <cell r="A92">
            <v>43799</v>
          </cell>
          <cell r="B92">
            <v>5.4199999999999998E-2</v>
          </cell>
          <cell r="C92">
            <v>30</v>
          </cell>
        </row>
        <row r="93">
          <cell r="A93">
            <v>43830</v>
          </cell>
          <cell r="B93">
            <v>5.4199999999999998E-2</v>
          </cell>
          <cell r="C93">
            <v>31</v>
          </cell>
        </row>
        <row r="94">
          <cell r="A94">
            <v>43861</v>
          </cell>
          <cell r="B94">
            <v>4.9599999999999998E-2</v>
          </cell>
          <cell r="C94">
            <v>31</v>
          </cell>
        </row>
        <row r="95">
          <cell r="A95">
            <v>43890</v>
          </cell>
          <cell r="B95">
            <v>4.9599999999999998E-2</v>
          </cell>
          <cell r="C95">
            <v>29</v>
          </cell>
        </row>
        <row r="96">
          <cell r="A96">
            <v>43921</v>
          </cell>
          <cell r="B96">
            <v>4.9599999999999998E-2</v>
          </cell>
          <cell r="C96">
            <v>31</v>
          </cell>
        </row>
        <row r="97">
          <cell r="A97">
            <v>43951</v>
          </cell>
          <cell r="B97">
            <v>4.7500000000000001E-2</v>
          </cell>
          <cell r="C97">
            <v>30</v>
          </cell>
        </row>
        <row r="98">
          <cell r="A98">
            <v>43982</v>
          </cell>
          <cell r="B98">
            <v>4.7500000000000001E-2</v>
          </cell>
          <cell r="C98">
            <v>31</v>
          </cell>
        </row>
        <row r="99">
          <cell r="A99">
            <v>44012</v>
          </cell>
          <cell r="B99">
            <v>4.7500000000000001E-2</v>
          </cell>
          <cell r="C99">
            <v>30</v>
          </cell>
        </row>
        <row r="100">
          <cell r="A100">
            <v>44043</v>
          </cell>
          <cell r="B100">
            <v>4.7500000000000001E-2</v>
          </cell>
          <cell r="C100">
            <v>31</v>
          </cell>
        </row>
        <row r="101">
          <cell r="A101">
            <v>44074</v>
          </cell>
          <cell r="B101">
            <v>4.7500000000000001E-2</v>
          </cell>
          <cell r="C101">
            <v>31</v>
          </cell>
        </row>
        <row r="102">
          <cell r="A102">
            <v>44104</v>
          </cell>
          <cell r="B102">
            <v>4.7500000000000001E-2</v>
          </cell>
          <cell r="C102">
            <v>30</v>
          </cell>
        </row>
        <row r="103">
          <cell r="A103">
            <v>44135</v>
          </cell>
          <cell r="B103">
            <v>4.7500000000000001E-2</v>
          </cell>
          <cell r="C103">
            <v>31</v>
          </cell>
        </row>
        <row r="104">
          <cell r="A104">
            <v>44165</v>
          </cell>
          <cell r="B104">
            <v>4.7500000000000001E-2</v>
          </cell>
          <cell r="C104">
            <v>30</v>
          </cell>
        </row>
        <row r="105">
          <cell r="A105">
            <v>44196</v>
          </cell>
          <cell r="B105">
            <v>4.7500000000000001E-2</v>
          </cell>
          <cell r="C105">
            <v>31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24BFA-5D62-4339-8CF6-0166EB603382}">
  <dimension ref="B1:AL111"/>
  <sheetViews>
    <sheetView showGridLines="0" tabSelected="1" zoomScaleNormal="100" workbookViewId="0">
      <selection activeCell="I51" sqref="I51"/>
    </sheetView>
  </sheetViews>
  <sheetFormatPr defaultRowHeight="15" x14ac:dyDescent="0.2"/>
  <cols>
    <col min="1" max="1" width="1.7109375" customWidth="1"/>
    <col min="2" max="2" width="21.7109375" style="4" customWidth="1"/>
    <col min="3" max="3" width="26.140625" style="24" customWidth="1"/>
    <col min="4" max="4" width="3.5703125" style="15" hidden="1" customWidth="1"/>
    <col min="5" max="5" width="4" style="15" bestFit="1" customWidth="1"/>
    <col min="6" max="6" width="13.7109375" style="15" customWidth="1"/>
    <col min="7" max="7" width="15" style="56" bestFit="1" customWidth="1"/>
    <col min="8" max="8" width="12.140625" style="61" customWidth="1"/>
    <col min="9" max="9" width="11.85546875" style="61" bestFit="1" customWidth="1"/>
    <col min="10" max="10" width="14" style="61" bestFit="1" customWidth="1"/>
    <col min="11" max="12" width="16.140625" style="61" bestFit="1" customWidth="1"/>
    <col min="13" max="13" width="14.5703125" style="61" bestFit="1" customWidth="1"/>
    <col min="14" max="14" width="16.85546875" style="61" bestFit="1" customWidth="1"/>
    <col min="15" max="15" width="8.28515625" style="61" hidden="1" customWidth="1"/>
    <col min="16" max="16" width="1.7109375" customWidth="1"/>
    <col min="17" max="17" width="16.42578125" hidden="1" customWidth="1"/>
    <col min="18" max="18" width="14.7109375" hidden="1" customWidth="1"/>
    <col min="19" max="19" width="9.7109375" hidden="1" customWidth="1"/>
    <col min="20" max="20" width="13.85546875" hidden="1" customWidth="1"/>
    <col min="21" max="21" width="12.85546875" hidden="1" customWidth="1"/>
    <col min="22" max="22" width="5.5703125" customWidth="1"/>
    <col min="23" max="23" width="6.28515625" customWidth="1"/>
    <col min="24" max="24" width="5.28515625" bestFit="1" customWidth="1"/>
    <col min="25" max="25" width="14.28515625" style="11" bestFit="1" customWidth="1"/>
    <col min="26" max="29" width="9.7109375" customWidth="1"/>
    <col min="30" max="30" width="25.28515625" customWidth="1"/>
    <col min="31" max="31" width="19.28515625" bestFit="1" customWidth="1"/>
    <col min="32" max="32" width="11.42578125" bestFit="1" customWidth="1"/>
    <col min="33" max="33" width="17" bestFit="1" customWidth="1"/>
    <col min="34" max="34" width="14.7109375" customWidth="1"/>
    <col min="36" max="36" width="17" bestFit="1" customWidth="1"/>
    <col min="37" max="37" width="13.85546875" bestFit="1" customWidth="1"/>
    <col min="38" max="38" width="31.7109375" customWidth="1"/>
  </cols>
  <sheetData>
    <row r="1" spans="2:38" ht="14.25" customHeight="1" x14ac:dyDescent="0.2">
      <c r="B1" s="1" t="s">
        <v>25</v>
      </c>
      <c r="C1" s="14"/>
      <c r="E1" s="16" t="s">
        <v>121</v>
      </c>
      <c r="F1" s="16"/>
      <c r="G1" s="16"/>
      <c r="H1" s="16"/>
      <c r="I1" s="16"/>
      <c r="J1" s="16"/>
      <c r="K1" s="16"/>
      <c r="L1" s="17"/>
      <c r="M1" s="17"/>
      <c r="N1" s="17"/>
      <c r="O1" s="17"/>
      <c r="P1" s="17"/>
      <c r="Q1" s="18"/>
      <c r="R1" s="18"/>
      <c r="S1" s="18"/>
      <c r="T1" s="18"/>
      <c r="U1" s="18"/>
      <c r="V1" s="18"/>
      <c r="W1" s="18"/>
      <c r="X1" s="18"/>
      <c r="Y1" s="96"/>
      <c r="Z1" s="18"/>
      <c r="AA1" s="18"/>
      <c r="AB1" s="18"/>
      <c r="AC1" s="18"/>
    </row>
    <row r="2" spans="2:38" ht="14.25" customHeight="1" x14ac:dyDescent="0.25">
      <c r="B2" s="1" t="s">
        <v>26</v>
      </c>
      <c r="C2" s="14"/>
      <c r="D2" s="18"/>
      <c r="E2" s="16"/>
      <c r="F2" s="16"/>
      <c r="G2" s="16"/>
      <c r="H2" s="16"/>
      <c r="I2" s="16"/>
      <c r="J2" s="16"/>
      <c r="K2" s="16"/>
      <c r="L2" s="22" t="s">
        <v>29</v>
      </c>
      <c r="M2" s="22"/>
      <c r="N2" s="22"/>
      <c r="O2" s="22"/>
      <c r="P2" s="22"/>
    </row>
    <row r="3" spans="2:38" ht="14.25" customHeight="1" x14ac:dyDescent="0.25">
      <c r="B3" s="97" t="s">
        <v>28</v>
      </c>
      <c r="C3" s="97"/>
      <c r="D3" s="18"/>
      <c r="E3" s="20"/>
      <c r="F3" s="21">
        <f>'Core Cost Incurred'!B2</f>
        <v>43976</v>
      </c>
      <c r="G3" s="21"/>
      <c r="H3" s="21"/>
      <c r="I3" s="21"/>
      <c r="J3" s="21"/>
      <c r="K3" s="21"/>
      <c r="L3" s="19" t="s">
        <v>27</v>
      </c>
      <c r="M3" s="19"/>
      <c r="N3" s="19"/>
      <c r="O3" s="19"/>
      <c r="P3" s="19"/>
    </row>
    <row r="4" spans="2:38" ht="14.25" customHeight="1" x14ac:dyDescent="0.25">
      <c r="B4" s="97" t="s">
        <v>30</v>
      </c>
      <c r="C4" s="97"/>
      <c r="D4" s="18"/>
      <c r="E4" s="20"/>
      <c r="F4" s="21"/>
      <c r="G4" s="21"/>
      <c r="H4" s="21"/>
      <c r="I4" s="21"/>
      <c r="J4" s="21"/>
      <c r="K4" s="21"/>
      <c r="L4" s="23" t="s">
        <v>31</v>
      </c>
      <c r="M4" s="23"/>
      <c r="N4" s="23"/>
      <c r="O4" s="23"/>
      <c r="P4" s="23"/>
    </row>
    <row r="5" spans="2:38" ht="14.25" customHeight="1" x14ac:dyDescent="0.2">
      <c r="D5" s="18"/>
      <c r="E5" s="20"/>
      <c r="F5" s="20"/>
      <c r="G5" s="20"/>
      <c r="H5" s="20"/>
      <c r="I5" s="20"/>
      <c r="J5" s="20"/>
      <c r="K5" s="20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96"/>
      <c r="Z5" s="18"/>
      <c r="AA5" s="18"/>
      <c r="AB5" s="18"/>
      <c r="AC5" s="18"/>
    </row>
    <row r="6" spans="2:38" ht="15.75" x14ac:dyDescent="0.25">
      <c r="B6" s="25"/>
      <c r="C6" s="26"/>
      <c r="D6" s="27"/>
      <c r="E6" s="27"/>
      <c r="F6" s="27"/>
      <c r="G6" s="28" t="s">
        <v>32</v>
      </c>
      <c r="H6" s="29" t="s">
        <v>3</v>
      </c>
      <c r="I6" s="29" t="s">
        <v>6</v>
      </c>
      <c r="J6" s="29" t="s">
        <v>33</v>
      </c>
      <c r="K6" s="29" t="s">
        <v>3</v>
      </c>
      <c r="L6" s="29" t="s">
        <v>6</v>
      </c>
      <c r="M6" s="29"/>
      <c r="N6" s="29" t="s">
        <v>10</v>
      </c>
      <c r="O6" s="30"/>
      <c r="Q6" s="31"/>
      <c r="R6" s="36">
        <v>200294.94</v>
      </c>
      <c r="S6" s="31"/>
      <c r="T6" s="31"/>
      <c r="U6" s="36">
        <v>140046.39000000001</v>
      </c>
      <c r="V6" s="31"/>
      <c r="W6" s="31"/>
      <c r="X6" s="31"/>
      <c r="Y6" s="98"/>
      <c r="Z6" s="31"/>
      <c r="AA6" s="31"/>
      <c r="AB6" s="31"/>
      <c r="AC6" s="31"/>
      <c r="AD6" s="32"/>
    </row>
    <row r="7" spans="2:38" ht="15.75" x14ac:dyDescent="0.25">
      <c r="B7" s="33"/>
      <c r="C7" s="34"/>
      <c r="D7" s="35"/>
      <c r="E7" s="35"/>
      <c r="F7" s="99" t="s">
        <v>34</v>
      </c>
      <c r="G7" s="28" t="s">
        <v>35</v>
      </c>
      <c r="H7" s="29" t="s">
        <v>36</v>
      </c>
      <c r="I7" s="29" t="s">
        <v>36</v>
      </c>
      <c r="J7" s="29" t="s">
        <v>9</v>
      </c>
      <c r="K7" s="29" t="s">
        <v>37</v>
      </c>
      <c r="L7" s="29" t="s">
        <v>37</v>
      </c>
      <c r="M7" s="29" t="s">
        <v>33</v>
      </c>
      <c r="N7" s="29" t="s">
        <v>33</v>
      </c>
      <c r="O7" s="30"/>
      <c r="Q7" s="36">
        <v>11214374</v>
      </c>
      <c r="R7" s="36">
        <f>2345597.06+78799.97+56688.77</f>
        <v>2481085.8000000003</v>
      </c>
      <c r="S7" s="31"/>
      <c r="T7" s="36">
        <v>2845776</v>
      </c>
      <c r="U7" s="36">
        <v>459339.89</v>
      </c>
      <c r="V7" s="31"/>
      <c r="W7" s="31"/>
      <c r="X7" s="31"/>
      <c r="Y7" s="98"/>
      <c r="Z7" s="31"/>
      <c r="AA7" s="31"/>
      <c r="AB7" s="31"/>
      <c r="AC7" s="31"/>
      <c r="AD7" s="37"/>
      <c r="AE7" s="3"/>
    </row>
    <row r="8" spans="2:38" s="44" customFormat="1" x14ac:dyDescent="0.2">
      <c r="B8" s="38"/>
      <c r="C8" s="39"/>
      <c r="D8" s="38" t="s">
        <v>38</v>
      </c>
      <c r="E8" s="100" t="s">
        <v>39</v>
      </c>
      <c r="F8" s="100" t="s">
        <v>39</v>
      </c>
      <c r="G8" s="40" t="s">
        <v>40</v>
      </c>
      <c r="H8" s="101" t="s">
        <v>122</v>
      </c>
      <c r="I8" s="101" t="str">
        <f>+H8</f>
        <v>Nov 1 2019</v>
      </c>
      <c r="J8" s="101" t="str">
        <f>I8</f>
        <v>Nov 1 2019</v>
      </c>
      <c r="K8" s="41" t="s">
        <v>41</v>
      </c>
      <c r="L8" s="41" t="s">
        <v>41</v>
      </c>
      <c r="M8" s="41" t="s">
        <v>9</v>
      </c>
      <c r="N8" s="41" t="s">
        <v>41</v>
      </c>
      <c r="O8" s="30"/>
      <c r="P8"/>
      <c r="V8" s="31"/>
      <c r="Y8" s="102">
        <v>1501</v>
      </c>
      <c r="Z8" s="31"/>
      <c r="AA8" s="31"/>
      <c r="AB8" s="31"/>
      <c r="AC8" s="31"/>
      <c r="AD8" s="42"/>
      <c r="AE8" s="3" t="s">
        <v>42</v>
      </c>
      <c r="AF8" s="3" t="s">
        <v>43</v>
      </c>
      <c r="AG8" s="3" t="s">
        <v>44</v>
      </c>
      <c r="AH8" s="43" t="s">
        <v>0</v>
      </c>
      <c r="AI8" s="3" t="s">
        <v>45</v>
      </c>
      <c r="AJ8" s="3" t="s">
        <v>46</v>
      </c>
      <c r="AK8" s="3" t="s">
        <v>47</v>
      </c>
      <c r="AL8" s="3" t="s">
        <v>48</v>
      </c>
    </row>
    <row r="9" spans="2:38" ht="15.75" hidden="1" x14ac:dyDescent="0.25">
      <c r="B9" s="45" t="s">
        <v>49</v>
      </c>
      <c r="C9" s="24" t="s">
        <v>52</v>
      </c>
      <c r="D9" s="12">
        <v>1</v>
      </c>
      <c r="E9" s="15" t="s">
        <v>53</v>
      </c>
      <c r="F9" s="15" t="s">
        <v>54</v>
      </c>
      <c r="G9" s="46">
        <v>0</v>
      </c>
      <c r="H9" s="47"/>
      <c r="I9" s="47"/>
      <c r="J9" s="47"/>
      <c r="K9" s="48">
        <f>ROUND(H9*G9,2)</f>
        <v>0</v>
      </c>
      <c r="L9" s="48">
        <f>ROUND(G9*I9,2)</f>
        <v>0</v>
      </c>
      <c r="M9" s="51">
        <f>ROUND(G9*J9,2)</f>
        <v>0</v>
      </c>
      <c r="N9" s="48">
        <f>SUM(K9:M9)</f>
        <v>0</v>
      </c>
      <c r="O9" s="48"/>
      <c r="Q9" s="52">
        <f>+-1529533-194708</f>
        <v>-1724241</v>
      </c>
      <c r="R9" s="52">
        <f>+-304369.99-70364.48</f>
        <v>-374734.47</v>
      </c>
      <c r="S9" s="49"/>
      <c r="T9" s="53">
        <f>+-505447-64182</f>
        <v>-569629</v>
      </c>
      <c r="U9" s="53">
        <f>+-100581.61-23194.4</f>
        <v>-123776.01000000001</v>
      </c>
      <c r="V9" s="49"/>
      <c r="Y9" s="103"/>
      <c r="Z9" s="49"/>
      <c r="AA9" s="49"/>
      <c r="AB9" s="49"/>
      <c r="AC9" s="49"/>
      <c r="AD9" s="31"/>
      <c r="AE9" t="s">
        <v>51</v>
      </c>
      <c r="AH9" s="31">
        <v>0</v>
      </c>
      <c r="AL9" t="s">
        <v>55</v>
      </c>
    </row>
    <row r="10" spans="2:38" ht="15.75" x14ac:dyDescent="0.25">
      <c r="B10" s="45" t="s">
        <v>49</v>
      </c>
      <c r="C10" s="24" t="s">
        <v>56</v>
      </c>
      <c r="D10" s="12">
        <v>1</v>
      </c>
      <c r="E10" s="15" t="s">
        <v>57</v>
      </c>
      <c r="F10" s="15" t="s">
        <v>58</v>
      </c>
      <c r="G10" s="46">
        <f>+Y10</f>
        <v>6809502</v>
      </c>
      <c r="H10" s="47">
        <v>0.24510999999999999</v>
      </c>
      <c r="I10" s="47">
        <v>0.17580000000000001</v>
      </c>
      <c r="J10" s="47">
        <f>0.05671+0.07276</f>
        <v>0.12947</v>
      </c>
      <c r="K10" s="48">
        <f>ROUND(H10*G10,2)</f>
        <v>1669077.04</v>
      </c>
      <c r="L10" s="48">
        <f>ROUND(G10*I10,2)</f>
        <v>1197110.45</v>
      </c>
      <c r="M10" s="48">
        <f>ROUND(G10*J10,2)</f>
        <v>881626.22</v>
      </c>
      <c r="N10" s="48">
        <f>SUM(K10:M10)</f>
        <v>3747813.71</v>
      </c>
      <c r="O10" s="48"/>
      <c r="Q10" s="53"/>
      <c r="R10" s="53"/>
      <c r="S10" s="53"/>
      <c r="T10" s="53"/>
      <c r="U10" s="53"/>
      <c r="V10" s="49"/>
      <c r="W10" s="104">
        <v>4800</v>
      </c>
      <c r="X10" s="105">
        <v>503</v>
      </c>
      <c r="Y10" s="106">
        <v>6809502</v>
      </c>
      <c r="Z10" s="49"/>
      <c r="AA10" s="49"/>
      <c r="AB10" s="49"/>
      <c r="AC10" s="49"/>
      <c r="AD10" s="31"/>
      <c r="AE10" t="s">
        <v>51</v>
      </c>
      <c r="AH10" s="31">
        <v>0</v>
      </c>
      <c r="AL10" t="s">
        <v>59</v>
      </c>
    </row>
    <row r="11" spans="2:38" ht="15.75" x14ac:dyDescent="0.25">
      <c r="B11" s="45" t="s">
        <v>60</v>
      </c>
      <c r="C11" s="24" t="s">
        <v>61</v>
      </c>
      <c r="D11" s="12">
        <v>1</v>
      </c>
      <c r="E11" s="15" t="s">
        <v>57</v>
      </c>
      <c r="F11" s="15" t="s">
        <v>58</v>
      </c>
      <c r="G11" s="54">
        <v>-3624357</v>
      </c>
      <c r="H11" s="50">
        <f>$H$10</f>
        <v>0.24510999999999999</v>
      </c>
      <c r="I11" s="50">
        <f>$I$10</f>
        <v>0.17580000000000001</v>
      </c>
      <c r="J11" s="50">
        <f>+$J$10</f>
        <v>0.12947</v>
      </c>
      <c r="K11" s="48">
        <f>ROUND(H11*G11,2)</f>
        <v>-888366.14</v>
      </c>
      <c r="L11" s="48">
        <f>ROUND(G11*I11,2)</f>
        <v>-637161.96</v>
      </c>
      <c r="M11" s="48"/>
      <c r="N11" s="48">
        <f>SUM(K11:M11)</f>
        <v>-1525528.1</v>
      </c>
      <c r="O11" s="48"/>
      <c r="Q11" s="53"/>
      <c r="R11" s="53"/>
      <c r="S11" s="53"/>
      <c r="T11" s="53"/>
      <c r="U11" s="53"/>
      <c r="V11" s="49"/>
      <c r="W11" s="104">
        <v>4809</v>
      </c>
      <c r="X11" s="105">
        <v>505</v>
      </c>
      <c r="Y11" s="107">
        <v>713209</v>
      </c>
      <c r="Z11" s="49"/>
      <c r="AA11" s="49"/>
      <c r="AB11" s="49"/>
      <c r="AC11" s="49"/>
      <c r="AD11" s="31"/>
      <c r="AE11" t="s">
        <v>51</v>
      </c>
      <c r="AH11" s="31">
        <v>0</v>
      </c>
      <c r="AL11" t="s">
        <v>59</v>
      </c>
    </row>
    <row r="12" spans="2:38" ht="15.75" x14ac:dyDescent="0.25">
      <c r="B12" s="45" t="s">
        <v>60</v>
      </c>
      <c r="C12" s="24" t="s">
        <v>62</v>
      </c>
      <c r="D12" s="12">
        <v>1</v>
      </c>
      <c r="E12" s="15" t="s">
        <v>57</v>
      </c>
      <c r="F12" s="15" t="s">
        <v>58</v>
      </c>
      <c r="G12" s="108">
        <f>+Y21</f>
        <v>2235478</v>
      </c>
      <c r="H12" s="50">
        <f>$H$10</f>
        <v>0.24510999999999999</v>
      </c>
      <c r="I12" s="50">
        <f>$I$10</f>
        <v>0.17580000000000001</v>
      </c>
      <c r="J12" s="50">
        <f>+$J$10</f>
        <v>0.12947</v>
      </c>
      <c r="K12" s="48">
        <f>ROUND(H12*G12,2)</f>
        <v>547938.01</v>
      </c>
      <c r="L12" s="48">
        <f>ROUND(G12*I12,2)</f>
        <v>392997.03</v>
      </c>
      <c r="M12" s="48"/>
      <c r="N12" s="48">
        <f>SUM(K12:M12)</f>
        <v>940935.04</v>
      </c>
      <c r="O12" s="48"/>
      <c r="Q12" s="53"/>
      <c r="R12" s="53"/>
      <c r="S12" s="53"/>
      <c r="T12" s="53"/>
      <c r="U12" s="53"/>
      <c r="V12" s="49"/>
      <c r="W12" s="104">
        <v>4809</v>
      </c>
      <c r="X12" s="105">
        <v>511</v>
      </c>
      <c r="Y12" s="107">
        <v>222952</v>
      </c>
      <c r="Z12" s="49"/>
      <c r="AA12" s="49"/>
      <c r="AB12" s="49"/>
      <c r="AC12" s="49"/>
      <c r="AD12" s="31"/>
      <c r="AE12" t="s">
        <v>51</v>
      </c>
      <c r="AH12" s="31">
        <v>0</v>
      </c>
      <c r="AL12" t="s">
        <v>59</v>
      </c>
    </row>
    <row r="13" spans="2:38" ht="15" customHeight="1" x14ac:dyDescent="0.25">
      <c r="B13" s="45"/>
      <c r="D13" s="12"/>
      <c r="G13" s="46"/>
      <c r="H13" s="50"/>
      <c r="I13" s="50"/>
      <c r="J13" s="50"/>
      <c r="K13" s="48"/>
      <c r="L13" s="48"/>
      <c r="M13" s="48"/>
      <c r="N13" s="48"/>
      <c r="O13" s="48"/>
      <c r="Q13" s="49"/>
      <c r="R13" s="49"/>
      <c r="S13" s="49"/>
      <c r="T13" s="49"/>
      <c r="U13" s="49"/>
      <c r="V13" s="49"/>
      <c r="W13" s="104">
        <v>4810</v>
      </c>
      <c r="X13" s="105" t="s">
        <v>123</v>
      </c>
      <c r="Y13" s="107">
        <v>3889</v>
      </c>
      <c r="Z13" s="49"/>
      <c r="AA13" s="49"/>
      <c r="AB13" s="49"/>
      <c r="AC13" s="49"/>
      <c r="AD13" s="31"/>
      <c r="AH13" s="31"/>
    </row>
    <row r="14" spans="2:38" ht="15.75" x14ac:dyDescent="0.25">
      <c r="B14" s="45" t="s">
        <v>63</v>
      </c>
      <c r="C14" s="24" t="s">
        <v>64</v>
      </c>
      <c r="D14" s="12">
        <v>2</v>
      </c>
      <c r="E14" s="15" t="s">
        <v>65</v>
      </c>
      <c r="F14" s="15" t="s">
        <v>66</v>
      </c>
      <c r="G14" s="46">
        <f>+Y15</f>
        <v>4127918</v>
      </c>
      <c r="H14" s="50">
        <f t="shared" ref="H14:H16" si="0">$H$10</f>
        <v>0.24510999999999999</v>
      </c>
      <c r="I14" s="47">
        <v>0.17316000000000001</v>
      </c>
      <c r="J14" s="50">
        <f t="shared" ref="J14:J16" si="1">+$J$10</f>
        <v>0.12947</v>
      </c>
      <c r="K14" s="48">
        <f>ROUND(H14*G14,2)</f>
        <v>1011793.98</v>
      </c>
      <c r="L14" s="48">
        <f>ROUND(G14*I14,2)</f>
        <v>714790.28</v>
      </c>
      <c r="M14" s="48">
        <f>ROUND(G14*J14,2)</f>
        <v>534441.54</v>
      </c>
      <c r="N14" s="48">
        <f>SUM(K14:M14)</f>
        <v>2261025.7999999998</v>
      </c>
      <c r="O14" s="55">
        <v>-0.02</v>
      </c>
      <c r="Q14" s="49" t="s">
        <v>50</v>
      </c>
      <c r="R14" s="49"/>
      <c r="S14" s="49"/>
      <c r="T14" s="49"/>
      <c r="U14" s="49"/>
      <c r="V14" s="49"/>
      <c r="W14" s="104">
        <v>4810</v>
      </c>
      <c r="X14" s="105" t="s">
        <v>124</v>
      </c>
      <c r="Y14" s="107">
        <v>1363626</v>
      </c>
      <c r="Z14" s="49"/>
      <c r="AA14" s="49"/>
      <c r="AB14" s="49"/>
      <c r="AC14" s="49"/>
      <c r="AD14" s="31"/>
      <c r="AE14" t="s">
        <v>51</v>
      </c>
      <c r="AH14" s="31">
        <v>0</v>
      </c>
      <c r="AL14" t="s">
        <v>67</v>
      </c>
    </row>
    <row r="15" spans="2:38" ht="15.75" x14ac:dyDescent="0.25">
      <c r="B15" s="45" t="s">
        <v>68</v>
      </c>
      <c r="C15" s="24" t="s">
        <v>69</v>
      </c>
      <c r="D15" s="12">
        <v>2</v>
      </c>
      <c r="E15" s="15" t="s">
        <v>65</v>
      </c>
      <c r="F15" s="15" t="s">
        <v>66</v>
      </c>
      <c r="G15" s="54">
        <v>-2944986</v>
      </c>
      <c r="H15" s="50">
        <f t="shared" si="0"/>
        <v>0.24510999999999999</v>
      </c>
      <c r="I15" s="50">
        <f>+$I$14</f>
        <v>0.17316000000000001</v>
      </c>
      <c r="J15" s="50">
        <f t="shared" si="1"/>
        <v>0.12947</v>
      </c>
      <c r="K15" s="48">
        <f>ROUND(H15*G15,2)</f>
        <v>-721845.52</v>
      </c>
      <c r="L15" s="48">
        <f>ROUND(G15*I15,2)</f>
        <v>-509953.78</v>
      </c>
      <c r="M15" s="48"/>
      <c r="N15" s="48">
        <f>SUM(K15:M15)</f>
        <v>-1231799.3</v>
      </c>
      <c r="O15" s="55"/>
      <c r="Q15" s="49" t="s">
        <v>70</v>
      </c>
      <c r="R15" s="49">
        <f>101807.82+3135667.8</f>
        <v>3237475.6199999996</v>
      </c>
      <c r="S15" s="49"/>
      <c r="T15" s="49"/>
      <c r="U15" s="53">
        <f>242253.38+412186.68</f>
        <v>654440.06000000006</v>
      </c>
      <c r="V15" s="49"/>
      <c r="W15" s="104">
        <v>4810</v>
      </c>
      <c r="X15" s="105">
        <v>504</v>
      </c>
      <c r="Y15" s="107">
        <v>4127918</v>
      </c>
      <c r="Z15" s="49"/>
      <c r="AA15" s="49"/>
      <c r="AB15" s="49"/>
      <c r="AC15" s="49"/>
      <c r="AD15" s="31"/>
      <c r="AE15" t="s">
        <v>51</v>
      </c>
      <c r="AH15" s="31">
        <v>0</v>
      </c>
      <c r="AL15" t="s">
        <v>67</v>
      </c>
    </row>
    <row r="16" spans="2:38" ht="15.75" x14ac:dyDescent="0.25">
      <c r="B16" s="45" t="s">
        <v>68</v>
      </c>
      <c r="C16" s="24" t="s">
        <v>71</v>
      </c>
      <c r="D16" s="12">
        <v>2</v>
      </c>
      <c r="E16" s="15" t="s">
        <v>65</v>
      </c>
      <c r="F16" s="15" t="s">
        <v>66</v>
      </c>
      <c r="G16" s="108">
        <f>+Y22</f>
        <v>1984707</v>
      </c>
      <c r="H16" s="50">
        <f t="shared" si="0"/>
        <v>0.24510999999999999</v>
      </c>
      <c r="I16" s="50">
        <f>+$I$14</f>
        <v>0.17316000000000001</v>
      </c>
      <c r="J16" s="50">
        <f t="shared" si="1"/>
        <v>0.12947</v>
      </c>
      <c r="K16" s="48">
        <f>ROUND(H16*G16,2)</f>
        <v>486471.53</v>
      </c>
      <c r="L16" s="48">
        <f>ROUND(G16*I16,2)</f>
        <v>343671.86</v>
      </c>
      <c r="M16" s="48"/>
      <c r="N16" s="48">
        <f>SUM(K16:M16)</f>
        <v>830143.39</v>
      </c>
      <c r="O16" s="48"/>
      <c r="Q16" s="49" t="s">
        <v>70</v>
      </c>
      <c r="R16" s="49">
        <v>55387.57</v>
      </c>
      <c r="S16" s="49"/>
      <c r="T16" s="49"/>
      <c r="U16" s="53">
        <v>7182.43</v>
      </c>
      <c r="V16" s="49"/>
      <c r="W16" s="104">
        <v>4810</v>
      </c>
      <c r="X16" s="105">
        <v>511</v>
      </c>
      <c r="Y16" s="107">
        <v>540957</v>
      </c>
      <c r="Z16" s="49"/>
      <c r="AA16" s="49"/>
      <c r="AB16" s="49"/>
      <c r="AC16" s="49"/>
      <c r="AD16" s="31"/>
      <c r="AE16" t="s">
        <v>51</v>
      </c>
      <c r="AH16" s="31">
        <v>0</v>
      </c>
      <c r="AL16" t="s">
        <v>67</v>
      </c>
    </row>
    <row r="17" spans="2:38" ht="15" customHeight="1" x14ac:dyDescent="0.25">
      <c r="B17" s="45"/>
      <c r="D17" s="12"/>
      <c r="G17" s="46"/>
      <c r="H17" s="50"/>
      <c r="I17" s="50"/>
      <c r="J17" s="50"/>
      <c r="K17" s="48"/>
      <c r="L17" s="48"/>
      <c r="M17" s="48"/>
      <c r="N17" s="48"/>
      <c r="O17" s="48"/>
      <c r="Q17" s="5"/>
      <c r="R17" s="5"/>
      <c r="S17" s="5"/>
      <c r="T17" s="5"/>
      <c r="U17" s="53"/>
      <c r="V17" s="5"/>
      <c r="W17" s="104">
        <v>4811</v>
      </c>
      <c r="X17" s="105" t="s">
        <v>125</v>
      </c>
      <c r="Y17" s="107">
        <v>193</v>
      </c>
      <c r="Z17" s="5"/>
      <c r="AA17" s="5"/>
      <c r="AB17" s="5"/>
      <c r="AC17" s="5"/>
      <c r="AD17" s="31"/>
      <c r="AH17" s="31"/>
    </row>
    <row r="18" spans="2:38" ht="15.75" x14ac:dyDescent="0.25">
      <c r="B18" s="45" t="s">
        <v>63</v>
      </c>
      <c r="C18" s="24" t="s">
        <v>72</v>
      </c>
      <c r="D18" s="12">
        <v>2</v>
      </c>
      <c r="E18" s="15" t="s">
        <v>73</v>
      </c>
      <c r="F18" s="15" t="s">
        <v>74</v>
      </c>
      <c r="G18" s="46">
        <f>+Y16</f>
        <v>540957</v>
      </c>
      <c r="H18" s="50">
        <f t="shared" ref="H18:H24" si="2">$H$10</f>
        <v>0.24510999999999999</v>
      </c>
      <c r="I18" s="47">
        <v>0.16012999999999999</v>
      </c>
      <c r="J18" s="50">
        <f t="shared" ref="J18:J24" si="3">+$J$10</f>
        <v>0.12947</v>
      </c>
      <c r="K18" s="48">
        <f t="shared" ref="K18:K24" si="4">ROUND(H18*G18,2)</f>
        <v>132593.97</v>
      </c>
      <c r="L18" s="48">
        <f t="shared" ref="L18:L24" si="5">ROUND(G18*I18,2)</f>
        <v>86623.44</v>
      </c>
      <c r="M18" s="48">
        <f t="shared" ref="M18:M24" si="6">ROUND(G18*J18,2)</f>
        <v>70037.7</v>
      </c>
      <c r="N18" s="48">
        <f t="shared" ref="N18:N24" si="7">SUM(K18:M18)</f>
        <v>289255.11</v>
      </c>
      <c r="O18" s="55">
        <v>2.0699999999999998</v>
      </c>
      <c r="Q18" s="49" t="s">
        <v>50</v>
      </c>
      <c r="R18" s="49">
        <v>625208.07999999996</v>
      </c>
      <c r="S18" s="49"/>
      <c r="T18" s="49"/>
      <c r="U18" s="53">
        <f>44136.69+5300</f>
        <v>49436.69</v>
      </c>
      <c r="V18" s="49"/>
      <c r="W18" s="104">
        <v>4813</v>
      </c>
      <c r="X18" s="105">
        <v>570</v>
      </c>
      <c r="Y18" s="107">
        <v>189521</v>
      </c>
      <c r="Z18" s="49"/>
      <c r="AA18" s="49"/>
      <c r="AB18" s="49"/>
      <c r="AC18" s="49"/>
      <c r="AD18" s="31"/>
      <c r="AE18" t="s">
        <v>51</v>
      </c>
      <c r="AH18" s="31">
        <v>0</v>
      </c>
      <c r="AL18" t="s">
        <v>75</v>
      </c>
    </row>
    <row r="19" spans="2:38" x14ac:dyDescent="0.2">
      <c r="B19" s="45" t="s">
        <v>63</v>
      </c>
      <c r="C19" s="24" t="s">
        <v>76</v>
      </c>
      <c r="D19" s="12">
        <v>2</v>
      </c>
      <c r="E19" s="15" t="s">
        <v>77</v>
      </c>
      <c r="F19" s="15" t="s">
        <v>78</v>
      </c>
      <c r="G19" s="46"/>
      <c r="H19" s="50">
        <f t="shared" si="2"/>
        <v>0.24510999999999999</v>
      </c>
      <c r="I19" s="50">
        <f t="shared" ref="I19:I20" si="8">+$I$14</f>
        <v>0.17316000000000001</v>
      </c>
      <c r="J19" s="50">
        <f t="shared" si="3"/>
        <v>0.12947</v>
      </c>
      <c r="K19" s="48">
        <f t="shared" si="4"/>
        <v>0</v>
      </c>
      <c r="L19" s="48">
        <f t="shared" si="5"/>
        <v>0</v>
      </c>
      <c r="M19" s="48">
        <f t="shared" si="6"/>
        <v>0</v>
      </c>
      <c r="N19" s="48">
        <f>SUM(K19:M19)</f>
        <v>0</v>
      </c>
      <c r="O19" s="48">
        <v>0.01</v>
      </c>
      <c r="Q19" s="49" t="s">
        <v>50</v>
      </c>
      <c r="R19" s="49">
        <f>+-128.04-565547.01</f>
        <v>-565675.05000000005</v>
      </c>
      <c r="S19" s="49"/>
      <c r="T19" s="49"/>
      <c r="U19" s="53">
        <f>+-193.7-79036.58</f>
        <v>-79230.28</v>
      </c>
      <c r="V19" s="49"/>
      <c r="W19" s="104"/>
      <c r="X19" s="105"/>
      <c r="Y19" s="109"/>
      <c r="Z19" s="49"/>
      <c r="AA19" s="49"/>
      <c r="AB19" s="49"/>
      <c r="AC19" s="49"/>
      <c r="AD19" s="56"/>
      <c r="AE19" t="s">
        <v>51</v>
      </c>
      <c r="AH19" s="31">
        <v>0</v>
      </c>
      <c r="AL19" t="s">
        <v>79</v>
      </c>
    </row>
    <row r="20" spans="2:38" x14ac:dyDescent="0.2">
      <c r="B20" s="45" t="s">
        <v>63</v>
      </c>
      <c r="C20" s="24" t="s">
        <v>80</v>
      </c>
      <c r="D20" s="12">
        <v>2</v>
      </c>
      <c r="E20" s="15" t="s">
        <v>53</v>
      </c>
      <c r="F20" s="15" t="s">
        <v>54</v>
      </c>
      <c r="G20" s="46">
        <v>0</v>
      </c>
      <c r="H20" s="50">
        <f t="shared" si="2"/>
        <v>0.24510999999999999</v>
      </c>
      <c r="I20" s="50">
        <f t="shared" si="8"/>
        <v>0.17316000000000001</v>
      </c>
      <c r="J20" s="50">
        <f t="shared" si="3"/>
        <v>0.12947</v>
      </c>
      <c r="K20" s="48">
        <f t="shared" si="4"/>
        <v>0</v>
      </c>
      <c r="L20" s="48">
        <f t="shared" si="5"/>
        <v>0</v>
      </c>
      <c r="M20" s="48">
        <f t="shared" si="6"/>
        <v>0</v>
      </c>
      <c r="N20" s="48">
        <f t="shared" si="7"/>
        <v>0</v>
      </c>
      <c r="O20" s="48"/>
      <c r="Q20" s="49" t="s">
        <v>50</v>
      </c>
      <c r="R20" s="49"/>
      <c r="S20" s="49"/>
      <c r="T20" s="49"/>
      <c r="U20" s="49"/>
      <c r="V20" s="49"/>
      <c r="W20" s="104"/>
      <c r="X20" s="105"/>
      <c r="Y20" s="102" t="s">
        <v>126</v>
      </c>
      <c r="Z20" s="49"/>
      <c r="AA20" s="49"/>
      <c r="AB20" s="49"/>
      <c r="AC20" s="49"/>
      <c r="AD20" s="56"/>
      <c r="AE20" t="s">
        <v>51</v>
      </c>
      <c r="AH20" s="31">
        <v>0</v>
      </c>
      <c r="AL20" t="s">
        <v>81</v>
      </c>
    </row>
    <row r="21" spans="2:38" ht="15.75" x14ac:dyDescent="0.25">
      <c r="B21" s="45" t="s">
        <v>63</v>
      </c>
      <c r="C21" s="24" t="s">
        <v>72</v>
      </c>
      <c r="D21" s="12">
        <v>2</v>
      </c>
      <c r="E21" s="15" t="s">
        <v>73</v>
      </c>
      <c r="F21" s="15" t="s">
        <v>83</v>
      </c>
      <c r="G21" s="46">
        <f>+Y13</f>
        <v>3889</v>
      </c>
      <c r="H21" s="50">
        <f t="shared" si="2"/>
        <v>0.24510999999999999</v>
      </c>
      <c r="I21" s="50">
        <f>+$I$18</f>
        <v>0.16012999999999999</v>
      </c>
      <c r="J21" s="50">
        <f t="shared" si="3"/>
        <v>0.12947</v>
      </c>
      <c r="K21" s="48">
        <f t="shared" si="4"/>
        <v>953.23</v>
      </c>
      <c r="L21" s="48">
        <f t="shared" si="5"/>
        <v>622.75</v>
      </c>
      <c r="M21" s="48">
        <f t="shared" si="6"/>
        <v>503.51</v>
      </c>
      <c r="N21" s="48">
        <f t="shared" si="7"/>
        <v>2079.4899999999998</v>
      </c>
      <c r="O21" s="55"/>
      <c r="Q21" s="49" t="s">
        <v>50</v>
      </c>
      <c r="R21" s="49"/>
      <c r="S21" s="49"/>
      <c r="T21" s="49"/>
      <c r="U21" s="49"/>
      <c r="V21" s="49"/>
      <c r="W21" s="104"/>
      <c r="X21" s="105"/>
      <c r="Y21" s="54">
        <v>2235478</v>
      </c>
      <c r="Z21" s="49"/>
      <c r="AA21" s="49"/>
      <c r="AB21" s="49"/>
      <c r="AC21" s="49"/>
      <c r="AD21" s="31"/>
      <c r="AE21" t="s">
        <v>51</v>
      </c>
      <c r="AH21" s="31">
        <v>0</v>
      </c>
      <c r="AL21" t="s">
        <v>75</v>
      </c>
    </row>
    <row r="22" spans="2:38" ht="15.75" x14ac:dyDescent="0.25">
      <c r="B22" s="45" t="s">
        <v>63</v>
      </c>
      <c r="C22" s="24" t="s">
        <v>72</v>
      </c>
      <c r="D22" s="12">
        <v>2</v>
      </c>
      <c r="E22" s="15" t="s">
        <v>73</v>
      </c>
      <c r="F22" s="15" t="s">
        <v>120</v>
      </c>
      <c r="G22" s="46">
        <f>+Y14</f>
        <v>1363626</v>
      </c>
      <c r="H22" s="50">
        <f t="shared" si="2"/>
        <v>0.24510999999999999</v>
      </c>
      <c r="I22" s="50">
        <f>+I21</f>
        <v>0.16012999999999999</v>
      </c>
      <c r="J22" s="50">
        <f t="shared" si="3"/>
        <v>0.12947</v>
      </c>
      <c r="K22" s="48">
        <f t="shared" si="4"/>
        <v>334238.37</v>
      </c>
      <c r="L22" s="48">
        <f t="shared" si="5"/>
        <v>218357.43</v>
      </c>
      <c r="M22" s="48">
        <f t="shared" si="6"/>
        <v>176548.66</v>
      </c>
      <c r="N22" s="48">
        <f t="shared" si="7"/>
        <v>729144.46000000008</v>
      </c>
      <c r="O22" s="55"/>
      <c r="Q22" s="49"/>
      <c r="R22" s="49"/>
      <c r="S22" s="49"/>
      <c r="T22" s="49"/>
      <c r="U22" s="49"/>
      <c r="V22" s="49"/>
      <c r="W22" s="104"/>
      <c r="X22" s="105"/>
      <c r="Y22" s="54">
        <v>1984707</v>
      </c>
      <c r="Z22" s="49"/>
      <c r="AA22" s="49"/>
      <c r="AB22" s="49"/>
      <c r="AC22" s="49"/>
      <c r="AD22" s="31"/>
      <c r="AH22" s="31"/>
    </row>
    <row r="23" spans="2:38" ht="15.75" x14ac:dyDescent="0.25">
      <c r="B23" s="45" t="s">
        <v>68</v>
      </c>
      <c r="C23" s="24" t="s">
        <v>82</v>
      </c>
      <c r="D23" s="12">
        <v>2</v>
      </c>
      <c r="E23" s="15" t="s">
        <v>73</v>
      </c>
      <c r="F23" s="15" t="s">
        <v>83</v>
      </c>
      <c r="G23" s="57">
        <v>-1367515</v>
      </c>
      <c r="H23" s="50">
        <f t="shared" si="2"/>
        <v>0.24510999999999999</v>
      </c>
      <c r="I23" s="50">
        <v>0.16012999999999999</v>
      </c>
      <c r="J23" s="50">
        <f t="shared" si="3"/>
        <v>0.12947</v>
      </c>
      <c r="K23" s="48">
        <f t="shared" si="4"/>
        <v>-335191.59999999998</v>
      </c>
      <c r="L23" s="48">
        <f t="shared" si="5"/>
        <v>-218980.18</v>
      </c>
      <c r="M23" s="48">
        <f t="shared" si="6"/>
        <v>-177052.17</v>
      </c>
      <c r="N23" s="48">
        <f t="shared" si="7"/>
        <v>-731223.95000000007</v>
      </c>
      <c r="O23" s="55"/>
      <c r="Q23" s="5"/>
      <c r="R23" s="5">
        <v>57899.56</v>
      </c>
      <c r="S23" s="5"/>
      <c r="T23" s="5"/>
      <c r="U23" s="53">
        <v>8091.98</v>
      </c>
      <c r="V23" s="49"/>
      <c r="W23" s="104"/>
      <c r="X23" s="105"/>
      <c r="Z23" s="5"/>
      <c r="AA23" s="5"/>
      <c r="AB23" s="5"/>
      <c r="AC23" s="5"/>
      <c r="AD23" s="58"/>
      <c r="AE23" t="s">
        <v>51</v>
      </c>
      <c r="AH23" s="31">
        <v>0</v>
      </c>
      <c r="AL23" t="s">
        <v>75</v>
      </c>
    </row>
    <row r="24" spans="2:38" x14ac:dyDescent="0.2">
      <c r="B24" s="45" t="s">
        <v>68</v>
      </c>
      <c r="C24" s="24" t="s">
        <v>127</v>
      </c>
      <c r="D24" s="12">
        <v>2</v>
      </c>
      <c r="E24" s="15" t="s">
        <v>73</v>
      </c>
      <c r="F24" s="15" t="s">
        <v>83</v>
      </c>
      <c r="G24" s="62">
        <f>+Y25</f>
        <v>950937</v>
      </c>
      <c r="H24" s="50">
        <f t="shared" si="2"/>
        <v>0.24510999999999999</v>
      </c>
      <c r="I24" s="50">
        <f>+I22</f>
        <v>0.16012999999999999</v>
      </c>
      <c r="J24" s="50">
        <f t="shared" si="3"/>
        <v>0.12947</v>
      </c>
      <c r="K24" s="48">
        <f t="shared" si="4"/>
        <v>233084.17</v>
      </c>
      <c r="L24" s="48">
        <f t="shared" si="5"/>
        <v>152273.54</v>
      </c>
      <c r="M24" s="48">
        <f t="shared" si="6"/>
        <v>123117.81</v>
      </c>
      <c r="N24" s="48">
        <f t="shared" si="7"/>
        <v>508475.52</v>
      </c>
      <c r="O24" s="48"/>
      <c r="Q24" s="5"/>
      <c r="R24" s="5">
        <v>61282.61</v>
      </c>
      <c r="S24" s="5"/>
      <c r="T24" s="5"/>
      <c r="U24" s="53">
        <v>6665.73</v>
      </c>
      <c r="V24" s="49"/>
      <c r="W24" s="49"/>
      <c r="X24" s="49"/>
      <c r="Y24" s="102" t="s">
        <v>128</v>
      </c>
      <c r="Z24" s="5"/>
      <c r="AA24" s="5"/>
      <c r="AB24" s="5"/>
      <c r="AC24" s="5"/>
      <c r="AD24" s="58"/>
      <c r="AE24" t="s">
        <v>51</v>
      </c>
      <c r="AH24" s="31">
        <v>0</v>
      </c>
      <c r="AL24" t="s">
        <v>75</v>
      </c>
    </row>
    <row r="25" spans="2:38" ht="15.75" x14ac:dyDescent="0.25">
      <c r="B25" s="45"/>
      <c r="D25" s="12"/>
      <c r="G25" s="59"/>
      <c r="H25" s="60"/>
      <c r="I25" s="50"/>
      <c r="J25" s="50"/>
      <c r="K25" s="48"/>
      <c r="L25" s="48"/>
      <c r="M25" s="48"/>
      <c r="N25" s="48"/>
      <c r="O25" s="48"/>
      <c r="Q25" s="5"/>
      <c r="R25" s="5"/>
      <c r="S25" s="5"/>
      <c r="T25" s="5"/>
      <c r="U25" s="53"/>
      <c r="V25" s="49"/>
      <c r="W25" s="5"/>
      <c r="X25" s="5"/>
      <c r="Y25" s="57">
        <v>950937</v>
      </c>
      <c r="Z25" s="5"/>
      <c r="AA25" s="5"/>
      <c r="AB25" s="5"/>
      <c r="AC25" s="5"/>
      <c r="AD25" s="58"/>
      <c r="AH25" s="31"/>
    </row>
    <row r="26" spans="2:38" ht="15.75" x14ac:dyDescent="0.25">
      <c r="B26" s="45" t="s">
        <v>85</v>
      </c>
      <c r="C26" s="24" t="s">
        <v>86</v>
      </c>
      <c r="D26" s="12">
        <v>3</v>
      </c>
      <c r="E26" s="15" t="s">
        <v>87</v>
      </c>
      <c r="F26" s="15" t="s">
        <v>88</v>
      </c>
      <c r="G26" s="46">
        <f>+Y11</f>
        <v>713209</v>
      </c>
      <c r="H26" s="50">
        <f t="shared" ref="H26:H28" si="9">$H$10</f>
        <v>0.24510999999999999</v>
      </c>
      <c r="I26" s="50">
        <f>$I$18</f>
        <v>0.16012999999999999</v>
      </c>
      <c r="J26" s="50">
        <f t="shared" ref="J26:J28" si="10">+$J$10</f>
        <v>0.12947</v>
      </c>
      <c r="K26" s="48">
        <f>ROUND(H26*G26,2)</f>
        <v>174814.66</v>
      </c>
      <c r="L26" s="48">
        <f>ROUND(G26*I26,2)</f>
        <v>114206.16</v>
      </c>
      <c r="M26" s="48">
        <f>ROUND(G26*J26,2)</f>
        <v>92339.17</v>
      </c>
      <c r="N26" s="48">
        <f>SUM(K26:M26)</f>
        <v>381359.99</v>
      </c>
      <c r="O26" s="48">
        <v>-0.01</v>
      </c>
      <c r="Q26" s="49" t="s">
        <v>50</v>
      </c>
      <c r="R26" s="49">
        <v>49965.85</v>
      </c>
      <c r="S26" s="49"/>
      <c r="T26" s="49"/>
      <c r="U26" s="53">
        <v>5434.8</v>
      </c>
      <c r="V26" s="49"/>
      <c r="W26" s="49"/>
      <c r="X26" s="49"/>
      <c r="Y26" s="57">
        <v>0</v>
      </c>
      <c r="Z26" s="49"/>
      <c r="AA26" s="49"/>
      <c r="AB26" s="49"/>
      <c r="AC26" s="49"/>
      <c r="AD26" s="56"/>
      <c r="AE26" t="s">
        <v>51</v>
      </c>
      <c r="AH26" s="31">
        <v>0</v>
      </c>
      <c r="AL26" t="s">
        <v>89</v>
      </c>
    </row>
    <row r="27" spans="2:38" ht="15.75" x14ac:dyDescent="0.25">
      <c r="B27" s="45" t="s">
        <v>85</v>
      </c>
      <c r="C27" s="24" t="s">
        <v>90</v>
      </c>
      <c r="D27" s="12">
        <v>3</v>
      </c>
      <c r="E27" s="15" t="s">
        <v>73</v>
      </c>
      <c r="F27" s="15" t="s">
        <v>74</v>
      </c>
      <c r="G27" s="46">
        <f>+'WA Rates'!Y12</f>
        <v>222952</v>
      </c>
      <c r="H27" s="50">
        <f t="shared" si="9"/>
        <v>0.24510999999999999</v>
      </c>
      <c r="I27" s="50">
        <f>$I$18</f>
        <v>0.16012999999999999</v>
      </c>
      <c r="J27" s="50">
        <f t="shared" si="10"/>
        <v>0.12947</v>
      </c>
      <c r="K27" s="48">
        <f>ROUND(H27*G27,2)</f>
        <v>54647.76</v>
      </c>
      <c r="L27" s="48">
        <f>ROUND(G27*I27,2)</f>
        <v>35701.300000000003</v>
      </c>
      <c r="M27" s="48">
        <f>ROUND(G27*J27,2)</f>
        <v>28865.599999999999</v>
      </c>
      <c r="N27" s="48">
        <f>SUM(K27:M27)</f>
        <v>119214.66</v>
      </c>
      <c r="O27" s="48"/>
      <c r="Q27" s="49" t="s">
        <v>50</v>
      </c>
      <c r="R27" s="49"/>
      <c r="S27" s="49"/>
      <c r="T27" s="49"/>
      <c r="U27" s="53"/>
      <c r="V27" s="49"/>
      <c r="W27" s="49"/>
      <c r="X27" s="49"/>
      <c r="Y27" s="57">
        <v>139474</v>
      </c>
      <c r="Z27" s="49"/>
      <c r="AA27" s="49"/>
      <c r="AB27" s="49"/>
      <c r="AC27" s="49"/>
      <c r="AD27" s="56"/>
      <c r="AE27" t="s">
        <v>51</v>
      </c>
      <c r="AH27" s="31">
        <v>0</v>
      </c>
      <c r="AL27" t="s">
        <v>91</v>
      </c>
    </row>
    <row r="28" spans="2:38" x14ac:dyDescent="0.2">
      <c r="B28" s="45" t="s">
        <v>85</v>
      </c>
      <c r="C28" s="24" t="s">
        <v>92</v>
      </c>
      <c r="D28" s="12">
        <v>3</v>
      </c>
      <c r="E28" s="15" t="s">
        <v>77</v>
      </c>
      <c r="F28" s="15" t="s">
        <v>78</v>
      </c>
      <c r="G28" s="46">
        <v>0</v>
      </c>
      <c r="H28" s="50">
        <f t="shared" si="9"/>
        <v>0.24510999999999999</v>
      </c>
      <c r="I28" s="50">
        <f>+$I$14</f>
        <v>0.17316000000000001</v>
      </c>
      <c r="J28" s="50">
        <f t="shared" si="10"/>
        <v>0.12947</v>
      </c>
      <c r="K28" s="48">
        <f>ROUND(H28*G28,2)</f>
        <v>0</v>
      </c>
      <c r="L28" s="48">
        <f>ROUND(G28*I28,2)</f>
        <v>0</v>
      </c>
      <c r="M28" s="48">
        <f>ROUND(G28*J28,2)</f>
        <v>0</v>
      </c>
      <c r="N28" s="48">
        <f>SUM(K28:M28)</f>
        <v>0</v>
      </c>
      <c r="O28" s="48"/>
      <c r="Q28" s="5"/>
      <c r="R28" s="5"/>
      <c r="S28" s="5"/>
      <c r="T28" s="5"/>
      <c r="U28" s="53"/>
      <c r="V28" s="5"/>
      <c r="W28" s="5"/>
      <c r="X28" s="5"/>
      <c r="Z28" s="5"/>
      <c r="AA28" s="5"/>
      <c r="AB28" s="5"/>
      <c r="AC28" s="5"/>
      <c r="AD28" s="31"/>
      <c r="AE28" t="s">
        <v>51</v>
      </c>
      <c r="AH28" s="31">
        <v>0</v>
      </c>
      <c r="AL28" t="s">
        <v>93</v>
      </c>
    </row>
    <row r="29" spans="2:38" ht="12.2" customHeight="1" x14ac:dyDescent="0.2">
      <c r="B29" s="45"/>
      <c r="D29" s="12"/>
      <c r="G29" s="46"/>
      <c r="H29" s="50"/>
      <c r="I29" s="50"/>
      <c r="J29" s="50"/>
      <c r="K29" s="48"/>
      <c r="L29" s="48"/>
      <c r="M29" s="48"/>
      <c r="N29" s="48"/>
      <c r="O29" s="48"/>
      <c r="Q29" s="5"/>
      <c r="R29" s="5">
        <v>17029.240000000002</v>
      </c>
      <c r="S29" s="5"/>
      <c r="T29" s="5"/>
      <c r="U29" s="53">
        <v>1729.72</v>
      </c>
      <c r="V29" s="5"/>
      <c r="W29" s="5"/>
      <c r="X29" s="5"/>
      <c r="Z29" s="5"/>
      <c r="AA29" s="5"/>
      <c r="AB29" s="5"/>
      <c r="AC29" s="5"/>
      <c r="AD29" s="31"/>
      <c r="AH29" s="31"/>
    </row>
    <row r="30" spans="2:38" x14ac:dyDescent="0.2">
      <c r="B30" s="45" t="s">
        <v>94</v>
      </c>
      <c r="C30" s="24" t="s">
        <v>95</v>
      </c>
      <c r="D30" s="12">
        <v>3</v>
      </c>
      <c r="E30" s="15" t="s">
        <v>87</v>
      </c>
      <c r="F30" s="15" t="s">
        <v>96</v>
      </c>
      <c r="G30" s="46">
        <f>+Y17</f>
        <v>193</v>
      </c>
      <c r="H30" s="50">
        <f t="shared" ref="H30:H32" si="11">$H$10</f>
        <v>0.24510999999999999</v>
      </c>
      <c r="I30" s="50">
        <f>$I$18</f>
        <v>0.16012999999999999</v>
      </c>
      <c r="J30" s="50">
        <f t="shared" ref="J30:J32" si="12">+$J$10</f>
        <v>0.12947</v>
      </c>
      <c r="K30" s="48">
        <f t="shared" ref="K30:K32" si="13">ROUND(H30*G30,2)</f>
        <v>47.31</v>
      </c>
      <c r="L30" s="48">
        <f t="shared" ref="L30:L32" si="14">ROUND(G30*I30,2)</f>
        <v>30.91</v>
      </c>
      <c r="M30" s="48">
        <f t="shared" ref="M30:M32" si="15">ROUND(G30*J30,2)</f>
        <v>24.99</v>
      </c>
      <c r="N30" s="48">
        <f t="shared" ref="N30:N32" si="16">SUM(K30:M30)</f>
        <v>103.21</v>
      </c>
      <c r="O30" s="48"/>
      <c r="Q30" s="49" t="s">
        <v>50</v>
      </c>
      <c r="R30" s="49"/>
      <c r="S30" s="49"/>
      <c r="T30" s="49"/>
      <c r="U30" s="53"/>
      <c r="V30" s="49"/>
      <c r="W30" s="49"/>
      <c r="X30" s="49"/>
      <c r="Z30" s="49"/>
      <c r="AA30" s="49"/>
      <c r="AB30" s="49"/>
      <c r="AC30" s="49"/>
      <c r="AD30" s="56"/>
      <c r="AE30" t="s">
        <v>51</v>
      </c>
      <c r="AH30" s="31">
        <v>0</v>
      </c>
      <c r="AL30" t="s">
        <v>89</v>
      </c>
    </row>
    <row r="31" spans="2:38" ht="15.75" x14ac:dyDescent="0.25">
      <c r="B31" s="45" t="s">
        <v>97</v>
      </c>
      <c r="C31" s="24" t="s">
        <v>82</v>
      </c>
      <c r="D31" s="12">
        <v>3</v>
      </c>
      <c r="E31" s="15" t="s">
        <v>87</v>
      </c>
      <c r="F31" s="15" t="s">
        <v>96</v>
      </c>
      <c r="G31" s="57">
        <v>-193</v>
      </c>
      <c r="H31" s="50">
        <f t="shared" si="11"/>
        <v>0.24510999999999999</v>
      </c>
      <c r="I31" s="50">
        <f>$I$18</f>
        <v>0.16012999999999999</v>
      </c>
      <c r="J31" s="50">
        <f t="shared" si="12"/>
        <v>0.12947</v>
      </c>
      <c r="K31" s="48">
        <f t="shared" si="13"/>
        <v>-47.31</v>
      </c>
      <c r="L31" s="48">
        <f t="shared" si="14"/>
        <v>-30.91</v>
      </c>
      <c r="M31" s="48">
        <f t="shared" si="15"/>
        <v>-24.99</v>
      </c>
      <c r="N31" s="48">
        <f t="shared" si="16"/>
        <v>-103.21</v>
      </c>
      <c r="O31" s="48"/>
      <c r="Q31" s="5"/>
      <c r="R31" s="5">
        <v>128505.68</v>
      </c>
      <c r="S31" s="5"/>
      <c r="T31" s="5"/>
      <c r="U31" s="53">
        <v>17959.87</v>
      </c>
      <c r="V31" s="5"/>
      <c r="W31" s="5"/>
      <c r="X31" s="5"/>
      <c r="Z31" s="5"/>
      <c r="AA31" s="5"/>
      <c r="AB31" s="5"/>
      <c r="AC31" s="5"/>
      <c r="AD31" s="58"/>
      <c r="AE31" t="s">
        <v>51</v>
      </c>
      <c r="AH31" s="31">
        <v>0</v>
      </c>
      <c r="AL31" t="s">
        <v>89</v>
      </c>
    </row>
    <row r="32" spans="2:38" x14ac:dyDescent="0.2">
      <c r="B32" s="45" t="s">
        <v>97</v>
      </c>
      <c r="C32" s="24" t="s">
        <v>127</v>
      </c>
      <c r="D32" s="12">
        <v>3</v>
      </c>
      <c r="E32" s="15" t="s">
        <v>87</v>
      </c>
      <c r="F32" s="15" t="s">
        <v>96</v>
      </c>
      <c r="G32" s="62">
        <f>+Y26</f>
        <v>0</v>
      </c>
      <c r="H32" s="50">
        <f t="shared" si="11"/>
        <v>0.24510999999999999</v>
      </c>
      <c r="I32" s="50">
        <f>$I$18</f>
        <v>0.16012999999999999</v>
      </c>
      <c r="J32" s="50">
        <f t="shared" si="12"/>
        <v>0.12947</v>
      </c>
      <c r="K32" s="48">
        <f t="shared" si="13"/>
        <v>0</v>
      </c>
      <c r="L32" s="48">
        <f t="shared" si="14"/>
        <v>0</v>
      </c>
      <c r="M32" s="48">
        <f t="shared" si="15"/>
        <v>0</v>
      </c>
      <c r="N32" s="48">
        <f t="shared" si="16"/>
        <v>0</v>
      </c>
      <c r="O32" s="48"/>
      <c r="Q32" s="5"/>
      <c r="R32" s="5">
        <v>97.86</v>
      </c>
      <c r="S32" s="5"/>
      <c r="T32" s="5"/>
      <c r="U32" s="53">
        <v>10.64</v>
      </c>
      <c r="V32" s="5"/>
      <c r="W32" s="5"/>
      <c r="X32" s="5"/>
      <c r="Y32" s="109"/>
      <c r="Z32" s="5"/>
      <c r="AA32" s="5"/>
      <c r="AB32" s="5"/>
      <c r="AC32" s="5"/>
      <c r="AD32" s="58"/>
      <c r="AE32" t="s">
        <v>51</v>
      </c>
      <c r="AH32" s="31">
        <v>0</v>
      </c>
      <c r="AL32" t="s">
        <v>89</v>
      </c>
    </row>
    <row r="33" spans="2:38" ht="12.2" customHeight="1" x14ac:dyDescent="0.2">
      <c r="B33" s="45"/>
      <c r="D33" s="12"/>
      <c r="G33" s="46"/>
      <c r="H33" s="50"/>
      <c r="I33" s="50"/>
      <c r="J33" s="50"/>
      <c r="K33" s="48"/>
      <c r="L33" s="48"/>
      <c r="M33" s="48"/>
      <c r="N33" s="48"/>
      <c r="O33" s="48"/>
      <c r="Q33" s="5"/>
      <c r="R33" s="5"/>
      <c r="S33" s="5"/>
      <c r="T33" s="5"/>
      <c r="U33" s="53"/>
      <c r="V33" s="5"/>
      <c r="W33" s="5"/>
      <c r="X33" s="5"/>
      <c r="Y33" s="109"/>
      <c r="Z33" s="5"/>
      <c r="AA33" s="5"/>
      <c r="AB33" s="5"/>
      <c r="AC33" s="5"/>
      <c r="AD33" s="56"/>
      <c r="AH33" s="31"/>
    </row>
    <row r="34" spans="2:38" x14ac:dyDescent="0.2">
      <c r="B34" s="45" t="s">
        <v>94</v>
      </c>
      <c r="C34" s="24" t="s">
        <v>98</v>
      </c>
      <c r="D34" s="12" t="s">
        <v>20</v>
      </c>
      <c r="E34" s="15" t="s">
        <v>99</v>
      </c>
      <c r="F34" s="15" t="s">
        <v>100</v>
      </c>
      <c r="G34" s="46">
        <v>0</v>
      </c>
      <c r="H34" s="50">
        <f t="shared" ref="H34:H36" si="17">$H$10</f>
        <v>0.24510999999999999</v>
      </c>
      <c r="I34" s="47">
        <v>0.14713999999999999</v>
      </c>
      <c r="J34" s="50">
        <f t="shared" ref="J34:J36" si="18">+$J$10</f>
        <v>0.12947</v>
      </c>
      <c r="K34" s="48">
        <f>ROUND(H34*G34,2)</f>
        <v>0</v>
      </c>
      <c r="L34" s="48">
        <f>ROUND(G34*I34,2)</f>
        <v>0</v>
      </c>
      <c r="M34" s="48">
        <f>ROUND(G34*J34,2)</f>
        <v>0</v>
      </c>
      <c r="N34" s="48">
        <f>SUM(K34:M34)</f>
        <v>0</v>
      </c>
      <c r="Q34" s="5"/>
      <c r="R34" s="5"/>
      <c r="S34" s="5"/>
      <c r="T34" s="5"/>
      <c r="U34" s="53"/>
      <c r="V34" s="5"/>
      <c r="W34" s="5"/>
      <c r="X34" s="5"/>
      <c r="Y34" s="109"/>
      <c r="Z34" s="5"/>
      <c r="AA34" s="5"/>
      <c r="AB34" s="5"/>
      <c r="AC34" s="5"/>
      <c r="AD34" s="31"/>
      <c r="AE34" t="s">
        <v>51</v>
      </c>
      <c r="AH34" s="31">
        <v>0</v>
      </c>
      <c r="AL34" t="s">
        <v>101</v>
      </c>
    </row>
    <row r="35" spans="2:38" x14ac:dyDescent="0.2">
      <c r="B35" s="45" t="s">
        <v>97</v>
      </c>
      <c r="C35" s="24" t="s">
        <v>82</v>
      </c>
      <c r="D35" s="12">
        <v>4</v>
      </c>
      <c r="E35" s="15" t="s">
        <v>99</v>
      </c>
      <c r="F35" s="15" t="s">
        <v>100</v>
      </c>
      <c r="G35" s="62">
        <v>0</v>
      </c>
      <c r="H35" s="50">
        <f t="shared" si="17"/>
        <v>0.24510999999999999</v>
      </c>
      <c r="I35" s="50">
        <f>$I$34</f>
        <v>0.14713999999999999</v>
      </c>
      <c r="J35" s="50">
        <f t="shared" si="18"/>
        <v>0.12947</v>
      </c>
      <c r="K35" s="48">
        <f>ROUND(H35*G35,2)</f>
        <v>0</v>
      </c>
      <c r="L35" s="48">
        <f>ROUND(G35*I35,2)</f>
        <v>0</v>
      </c>
      <c r="M35" s="48">
        <f>ROUND(G35*J35,2)</f>
        <v>0</v>
      </c>
      <c r="N35" s="48">
        <f>SUM(K35:M35)</f>
        <v>0</v>
      </c>
      <c r="O35" s="48">
        <f>-N35-80.06</f>
        <v>-80.06</v>
      </c>
      <c r="Q35" s="5"/>
      <c r="R35" s="5">
        <v>18307.25</v>
      </c>
      <c r="S35" s="5"/>
      <c r="T35" s="5"/>
      <c r="U35" s="53">
        <v>1859.59</v>
      </c>
      <c r="V35" s="5"/>
      <c r="W35" s="5"/>
      <c r="X35" s="5"/>
      <c r="Y35" s="109"/>
      <c r="Z35" s="5"/>
      <c r="AA35" s="5"/>
      <c r="AB35" s="5"/>
      <c r="AC35" s="5"/>
      <c r="AD35" s="58"/>
      <c r="AE35" t="s">
        <v>51</v>
      </c>
      <c r="AH35" s="31">
        <v>0</v>
      </c>
      <c r="AL35" t="s">
        <v>102</v>
      </c>
    </row>
    <row r="36" spans="2:38" x14ac:dyDescent="0.2">
      <c r="B36" s="45" t="s">
        <v>97</v>
      </c>
      <c r="C36" s="24" t="s">
        <v>84</v>
      </c>
      <c r="D36" s="12">
        <v>4</v>
      </c>
      <c r="E36" s="15" t="s">
        <v>99</v>
      </c>
      <c r="F36" s="15" t="s">
        <v>100</v>
      </c>
      <c r="G36" s="62">
        <v>0</v>
      </c>
      <c r="H36" s="50">
        <f t="shared" si="17"/>
        <v>0.24510999999999999</v>
      </c>
      <c r="I36" s="50">
        <f>$I$34</f>
        <v>0.14713999999999999</v>
      </c>
      <c r="J36" s="50">
        <f t="shared" si="18"/>
        <v>0.12947</v>
      </c>
      <c r="K36" s="48">
        <f>ROUND(H36*G36,2)</f>
        <v>0</v>
      </c>
      <c r="L36" s="48">
        <f>ROUND(G36*I36,2)</f>
        <v>0</v>
      </c>
      <c r="M36" s="48">
        <f>ROUND(G36*J36,2)</f>
        <v>0</v>
      </c>
      <c r="N36" s="48">
        <f>SUM(K36:M36)</f>
        <v>0</v>
      </c>
      <c r="O36" s="48"/>
      <c r="Q36" s="5"/>
      <c r="R36" s="5"/>
      <c r="S36" s="5"/>
      <c r="T36" s="5"/>
      <c r="U36" s="53"/>
      <c r="V36" s="5"/>
      <c r="W36" s="5"/>
      <c r="X36" s="5"/>
      <c r="Y36" s="109"/>
      <c r="Z36" s="5"/>
      <c r="AA36" s="5"/>
      <c r="AB36" s="5"/>
      <c r="AC36" s="5"/>
      <c r="AD36" s="58"/>
      <c r="AE36" t="s">
        <v>51</v>
      </c>
      <c r="AH36" s="31">
        <v>0</v>
      </c>
      <c r="AL36" t="s">
        <v>102</v>
      </c>
    </row>
    <row r="37" spans="2:38" ht="12.2" customHeight="1" x14ac:dyDescent="0.2">
      <c r="B37" s="45"/>
      <c r="D37" s="12"/>
      <c r="G37" s="46"/>
      <c r="H37" s="50"/>
      <c r="I37" s="50"/>
      <c r="J37" s="50"/>
      <c r="M37" s="48"/>
      <c r="Q37" s="5"/>
      <c r="R37" s="5"/>
      <c r="S37" s="5"/>
      <c r="T37" s="5"/>
      <c r="U37" s="5"/>
      <c r="V37" s="5"/>
      <c r="W37" s="5"/>
      <c r="X37" s="5"/>
      <c r="Y37" s="109"/>
      <c r="Z37" s="5"/>
      <c r="AA37" s="5"/>
      <c r="AB37" s="5"/>
      <c r="AC37" s="5"/>
      <c r="AD37" s="31"/>
      <c r="AH37" s="31"/>
    </row>
    <row r="38" spans="2:38" x14ac:dyDescent="0.2">
      <c r="B38" s="45" t="s">
        <v>103</v>
      </c>
      <c r="C38" s="24" t="s">
        <v>104</v>
      </c>
      <c r="D38" s="12" t="s">
        <v>13</v>
      </c>
      <c r="E38" s="15" t="s">
        <v>99</v>
      </c>
      <c r="F38" s="15" t="s">
        <v>100</v>
      </c>
      <c r="G38" s="46">
        <f>+Y18</f>
        <v>189521</v>
      </c>
      <c r="H38" s="50">
        <f t="shared" ref="H38:H43" si="19">$H$10</f>
        <v>0.24510999999999999</v>
      </c>
      <c r="I38" s="50">
        <f t="shared" ref="I38:I43" si="20">$I$34</f>
        <v>0.14713999999999999</v>
      </c>
      <c r="J38" s="50">
        <f t="shared" ref="J38:J45" si="21">+$J$10</f>
        <v>0.12947</v>
      </c>
      <c r="K38" s="48">
        <f t="shared" ref="K38:K43" si="22">ROUND(H38*G38,2)</f>
        <v>46453.49</v>
      </c>
      <c r="L38" s="48">
        <f t="shared" ref="L38:L43" si="23">ROUND(G38*I38,2)</f>
        <v>27886.12</v>
      </c>
      <c r="M38" s="48">
        <f t="shared" ref="M38:M42" si="24">ROUND(G38*J38,2)</f>
        <v>24537.279999999999</v>
      </c>
      <c r="N38" s="48">
        <f>SUM(K38:M38)</f>
        <v>98876.89</v>
      </c>
      <c r="O38" s="48">
        <v>0.01</v>
      </c>
      <c r="Q38" s="5"/>
      <c r="R38" s="5"/>
      <c r="S38" s="5"/>
      <c r="T38" s="5"/>
      <c r="U38" s="5"/>
      <c r="V38" s="5"/>
      <c r="W38" s="5"/>
      <c r="X38" s="5"/>
      <c r="Y38" s="109"/>
      <c r="Z38" s="5"/>
      <c r="AA38" s="5"/>
      <c r="AB38" s="5"/>
      <c r="AC38" s="5"/>
      <c r="AD38" s="31"/>
      <c r="AE38" t="s">
        <v>51</v>
      </c>
      <c r="AH38" s="31">
        <v>0</v>
      </c>
      <c r="AL38" t="s">
        <v>102</v>
      </c>
    </row>
    <row r="39" spans="2:38" ht="15.75" x14ac:dyDescent="0.25">
      <c r="B39" s="45" t="s">
        <v>103</v>
      </c>
      <c r="C39" s="24" t="s">
        <v>82</v>
      </c>
      <c r="D39" s="12">
        <v>5</v>
      </c>
      <c r="E39" s="15" t="s">
        <v>99</v>
      </c>
      <c r="F39" s="15" t="s">
        <v>100</v>
      </c>
      <c r="G39" s="57">
        <v>-189521</v>
      </c>
      <c r="H39" s="50">
        <f t="shared" si="19"/>
        <v>0.24510999999999999</v>
      </c>
      <c r="I39" s="50">
        <f t="shared" si="20"/>
        <v>0.14713999999999999</v>
      </c>
      <c r="J39" s="50">
        <f t="shared" si="21"/>
        <v>0.12947</v>
      </c>
      <c r="K39" s="48">
        <f t="shared" si="22"/>
        <v>-46453.49</v>
      </c>
      <c r="L39" s="48">
        <f t="shared" si="23"/>
        <v>-27886.12</v>
      </c>
      <c r="M39" s="48">
        <f t="shared" si="24"/>
        <v>-24537.279999999999</v>
      </c>
      <c r="N39" s="48">
        <f t="shared" ref="N39:N43" si="25">SUM(K39:M39)</f>
        <v>-98876.89</v>
      </c>
      <c r="O39" s="48"/>
      <c r="Q39" s="5"/>
      <c r="R39" s="5"/>
      <c r="S39" s="5"/>
      <c r="T39" s="5"/>
      <c r="U39" s="5"/>
      <c r="V39" s="5"/>
      <c r="W39" s="5"/>
      <c r="X39" s="5"/>
      <c r="Y39" s="109"/>
      <c r="Z39" s="5"/>
      <c r="AA39" s="5"/>
      <c r="AB39" s="5"/>
      <c r="AC39" s="5"/>
      <c r="AD39" s="58"/>
      <c r="AE39" t="s">
        <v>51</v>
      </c>
      <c r="AH39" s="31">
        <v>0</v>
      </c>
      <c r="AL39" t="s">
        <v>101</v>
      </c>
    </row>
    <row r="40" spans="2:38" x14ac:dyDescent="0.2">
      <c r="B40" s="45" t="s">
        <v>103</v>
      </c>
      <c r="C40" s="24" t="s">
        <v>127</v>
      </c>
      <c r="D40" s="12">
        <v>5</v>
      </c>
      <c r="E40" s="15" t="s">
        <v>99</v>
      </c>
      <c r="F40" s="15" t="s">
        <v>100</v>
      </c>
      <c r="G40" s="62">
        <f>+Y27</f>
        <v>139474</v>
      </c>
      <c r="H40" s="50">
        <f t="shared" si="19"/>
        <v>0.24510999999999999</v>
      </c>
      <c r="I40" s="50">
        <f t="shared" si="20"/>
        <v>0.14713999999999999</v>
      </c>
      <c r="J40" s="50">
        <f t="shared" si="21"/>
        <v>0.12947</v>
      </c>
      <c r="K40" s="48">
        <f t="shared" si="22"/>
        <v>34186.47</v>
      </c>
      <c r="L40" s="48">
        <f t="shared" si="23"/>
        <v>20522.2</v>
      </c>
      <c r="M40" s="48">
        <f t="shared" si="24"/>
        <v>18057.7</v>
      </c>
      <c r="N40" s="48">
        <f t="shared" si="25"/>
        <v>72766.37</v>
      </c>
      <c r="O40" s="48"/>
      <c r="Q40" s="5"/>
      <c r="R40" s="5"/>
      <c r="S40" s="5"/>
      <c r="T40" s="5"/>
      <c r="U40" s="5"/>
      <c r="V40" s="5"/>
      <c r="W40" s="5"/>
      <c r="X40" s="5"/>
      <c r="Y40" s="109"/>
      <c r="Z40" s="5"/>
      <c r="AA40" s="5"/>
      <c r="AB40" s="5"/>
      <c r="AC40" s="5"/>
      <c r="AD40" s="58"/>
      <c r="AE40" t="s">
        <v>51</v>
      </c>
      <c r="AH40" s="31">
        <v>0</v>
      </c>
      <c r="AL40" t="s">
        <v>101</v>
      </c>
    </row>
    <row r="41" spans="2:38" x14ac:dyDescent="0.2">
      <c r="B41" s="45" t="s">
        <v>106</v>
      </c>
      <c r="C41" s="24" t="s">
        <v>107</v>
      </c>
      <c r="D41" s="12">
        <v>5</v>
      </c>
      <c r="E41" s="15" t="s">
        <v>108</v>
      </c>
      <c r="F41" s="15" t="s">
        <v>109</v>
      </c>
      <c r="G41" s="46"/>
      <c r="H41" s="50">
        <f t="shared" si="19"/>
        <v>0.24510999999999999</v>
      </c>
      <c r="I41" s="50">
        <f t="shared" si="20"/>
        <v>0.14713999999999999</v>
      </c>
      <c r="J41" s="50">
        <f t="shared" si="21"/>
        <v>0.12947</v>
      </c>
      <c r="K41" s="48">
        <f t="shared" si="22"/>
        <v>0</v>
      </c>
      <c r="L41" s="48">
        <f t="shared" si="23"/>
        <v>0</v>
      </c>
      <c r="M41" s="48">
        <f t="shared" si="24"/>
        <v>0</v>
      </c>
      <c r="N41" s="48">
        <f t="shared" si="25"/>
        <v>0</v>
      </c>
      <c r="O41" s="48">
        <v>-0.01</v>
      </c>
      <c r="Q41" s="5"/>
      <c r="R41" s="5"/>
      <c r="S41" s="5"/>
      <c r="T41" s="5"/>
      <c r="U41" s="5"/>
      <c r="V41" s="5"/>
      <c r="W41" s="5"/>
      <c r="X41" s="5"/>
      <c r="Y41" s="109"/>
      <c r="Z41" s="5"/>
      <c r="AA41" s="5"/>
      <c r="AB41" s="5"/>
      <c r="AC41" s="5"/>
      <c r="AD41" s="31"/>
      <c r="AE41" t="s">
        <v>51</v>
      </c>
      <c r="AH41" s="31">
        <v>0</v>
      </c>
      <c r="AL41" t="s">
        <v>110</v>
      </c>
    </row>
    <row r="42" spans="2:38" x14ac:dyDescent="0.2">
      <c r="B42" s="45" t="s">
        <v>103</v>
      </c>
      <c r="C42" s="24" t="s">
        <v>82</v>
      </c>
      <c r="D42" s="12">
        <v>5</v>
      </c>
      <c r="E42" s="15" t="s">
        <v>108</v>
      </c>
      <c r="F42" s="15" t="s">
        <v>109</v>
      </c>
      <c r="G42" s="62">
        <v>0</v>
      </c>
      <c r="H42" s="50">
        <f t="shared" si="19"/>
        <v>0.24510999999999999</v>
      </c>
      <c r="I42" s="50">
        <f t="shared" si="20"/>
        <v>0.14713999999999999</v>
      </c>
      <c r="J42" s="50">
        <f t="shared" si="21"/>
        <v>0.12947</v>
      </c>
      <c r="K42" s="48">
        <f>ROUND(H42*G42,2)</f>
        <v>0</v>
      </c>
      <c r="L42" s="48">
        <f t="shared" si="23"/>
        <v>0</v>
      </c>
      <c r="M42" s="48">
        <f t="shared" si="24"/>
        <v>0</v>
      </c>
      <c r="N42" s="48">
        <f t="shared" si="25"/>
        <v>0</v>
      </c>
      <c r="O42" s="48">
        <v>-0.01</v>
      </c>
      <c r="Q42" s="5"/>
      <c r="R42" s="5"/>
      <c r="S42" s="5"/>
      <c r="T42" s="5"/>
      <c r="U42" s="5"/>
      <c r="V42" s="5"/>
      <c r="W42" s="5"/>
      <c r="X42" s="5"/>
      <c r="Y42" s="109"/>
      <c r="Z42" s="5"/>
      <c r="AA42" s="5"/>
      <c r="AB42" s="5"/>
      <c r="AC42" s="5"/>
      <c r="AD42" s="58"/>
      <c r="AE42" t="s">
        <v>51</v>
      </c>
      <c r="AH42" s="31">
        <v>0</v>
      </c>
      <c r="AL42" t="s">
        <v>101</v>
      </c>
    </row>
    <row r="43" spans="2:38" x14ac:dyDescent="0.2">
      <c r="B43" s="45" t="s">
        <v>103</v>
      </c>
      <c r="C43" s="24" t="s">
        <v>105</v>
      </c>
      <c r="D43" s="12">
        <v>5</v>
      </c>
      <c r="E43" s="15" t="s">
        <v>108</v>
      </c>
      <c r="F43" s="15" t="s">
        <v>109</v>
      </c>
      <c r="G43" s="62"/>
      <c r="H43" s="50">
        <f t="shared" si="19"/>
        <v>0.24510999999999999</v>
      </c>
      <c r="I43" s="50">
        <f t="shared" si="20"/>
        <v>0.14713999999999999</v>
      </c>
      <c r="J43" s="50">
        <f t="shared" si="21"/>
        <v>0.12947</v>
      </c>
      <c r="K43" s="48">
        <f t="shared" si="22"/>
        <v>0</v>
      </c>
      <c r="L43" s="48">
        <f t="shared" si="23"/>
        <v>0</v>
      </c>
      <c r="M43" s="48">
        <f>ROUND(G43*J43,2)</f>
        <v>0</v>
      </c>
      <c r="N43" s="48">
        <f t="shared" si="25"/>
        <v>0</v>
      </c>
      <c r="O43" s="48">
        <v>0.01</v>
      </c>
      <c r="Q43" s="5"/>
      <c r="R43" s="5"/>
      <c r="S43" s="5"/>
      <c r="T43" s="5"/>
      <c r="U43" s="5"/>
      <c r="V43" s="5"/>
      <c r="W43" s="5"/>
      <c r="X43" s="5"/>
      <c r="Y43" s="109"/>
      <c r="Z43" s="5"/>
      <c r="AA43" s="5"/>
      <c r="AB43" s="5"/>
      <c r="AC43" s="5"/>
      <c r="AD43" s="58"/>
      <c r="AE43" t="s">
        <v>51</v>
      </c>
      <c r="AH43" s="31">
        <v>0</v>
      </c>
      <c r="AL43" t="s">
        <v>101</v>
      </c>
    </row>
    <row r="44" spans="2:38" ht="12.2" customHeight="1" x14ac:dyDescent="0.2">
      <c r="B44" s="45"/>
      <c r="D44" s="12"/>
      <c r="G44" s="63"/>
      <c r="H44" s="50"/>
      <c r="I44" s="50"/>
      <c r="J44" s="50"/>
      <c r="K44" s="48"/>
      <c r="L44" s="48"/>
      <c r="M44" s="48"/>
      <c r="N44" s="48"/>
      <c r="O44" s="48"/>
      <c r="Q44" s="5"/>
      <c r="R44" s="5"/>
      <c r="S44" s="5"/>
      <c r="T44" s="5"/>
      <c r="U44" s="5"/>
      <c r="V44" s="5"/>
      <c r="W44" s="5"/>
      <c r="X44" s="5"/>
      <c r="Y44" s="109"/>
      <c r="Z44" s="5"/>
      <c r="AA44" s="5"/>
      <c r="AB44" s="5"/>
      <c r="AC44" s="5"/>
      <c r="AD44" s="58"/>
      <c r="AH44" s="31"/>
    </row>
    <row r="45" spans="2:38" x14ac:dyDescent="0.2">
      <c r="B45" s="45" t="s">
        <v>106</v>
      </c>
      <c r="C45" s="24" t="s">
        <v>111</v>
      </c>
      <c r="D45" s="12">
        <v>6</v>
      </c>
      <c r="E45" s="15" t="s">
        <v>99</v>
      </c>
      <c r="G45" s="64">
        <f>'[2]Core Billed Therms '!$J$88</f>
        <v>0</v>
      </c>
      <c r="H45" s="50">
        <f>$H$10</f>
        <v>0.24510999999999999</v>
      </c>
      <c r="I45" s="50">
        <f>$I$34</f>
        <v>0.14713999999999999</v>
      </c>
      <c r="J45" s="50">
        <f t="shared" si="21"/>
        <v>0.12947</v>
      </c>
      <c r="K45" s="48">
        <f>ROUND(H45*G45,2)</f>
        <v>0</v>
      </c>
      <c r="L45" s="48">
        <f>ROUND(G45*I45,2)</f>
        <v>0</v>
      </c>
      <c r="M45" s="48">
        <f>ROUND(G45*J45,2)</f>
        <v>0</v>
      </c>
      <c r="N45" s="48">
        <f>SUM(K45:M45)</f>
        <v>0</v>
      </c>
      <c r="O45" s="48"/>
      <c r="Q45" s="5"/>
      <c r="R45" s="5"/>
      <c r="S45" s="5"/>
      <c r="T45" s="5"/>
      <c r="U45" s="5"/>
      <c r="V45" s="5"/>
      <c r="W45" s="5"/>
      <c r="X45" s="5"/>
      <c r="Y45" s="109"/>
      <c r="Z45" s="5"/>
      <c r="AA45" s="5"/>
      <c r="AB45" s="5"/>
      <c r="AC45" s="5"/>
      <c r="AD45" s="31"/>
      <c r="AE45" t="s">
        <v>51</v>
      </c>
      <c r="AH45" s="31">
        <v>0</v>
      </c>
      <c r="AL45" t="s">
        <v>112</v>
      </c>
    </row>
    <row r="46" spans="2:38" ht="12.2" customHeight="1" x14ac:dyDescent="0.2">
      <c r="B46" s="45"/>
      <c r="D46" s="12"/>
      <c r="G46" s="64"/>
      <c r="J46" s="65"/>
      <c r="K46" s="48"/>
      <c r="L46" s="48"/>
      <c r="M46" s="48"/>
      <c r="N46" s="48"/>
      <c r="O46" s="48"/>
      <c r="AD46" s="31"/>
      <c r="AH46" s="31"/>
    </row>
    <row r="47" spans="2:38" ht="15.75" x14ac:dyDescent="0.25">
      <c r="B47" s="66"/>
      <c r="D47" s="67"/>
      <c r="E47" s="68"/>
      <c r="F47" s="15" t="s">
        <v>115</v>
      </c>
      <c r="G47" s="69">
        <f>SUM(G9:G46)</f>
        <v>11155791</v>
      </c>
      <c r="H47" s="70" t="s">
        <v>114</v>
      </c>
      <c r="K47" s="71">
        <f>SUM(K9:K46)</f>
        <v>2734395.9300000006</v>
      </c>
      <c r="L47" s="72">
        <f>SUM(L9:L46)</f>
        <v>1910780.5199999998</v>
      </c>
      <c r="M47" s="88">
        <f>SUM(M9:M46)</f>
        <v>1748485.74</v>
      </c>
      <c r="N47" s="73">
        <f>SUM(N9:N46)</f>
        <v>6393662.1900000004</v>
      </c>
      <c r="O47" s="74">
        <v>0.03</v>
      </c>
      <c r="Q47" s="73"/>
      <c r="R47" s="73"/>
      <c r="S47" s="73"/>
      <c r="T47" s="73"/>
      <c r="U47" s="73"/>
      <c r="V47" s="73"/>
      <c r="W47" s="73"/>
      <c r="X47" s="73"/>
      <c r="Y47" s="110"/>
      <c r="Z47" s="73"/>
      <c r="AA47" s="73"/>
      <c r="AB47" s="73"/>
      <c r="AC47" s="73"/>
      <c r="AD47" s="31"/>
      <c r="AH47" s="31"/>
    </row>
    <row r="48" spans="2:38" ht="15.75" x14ac:dyDescent="0.25">
      <c r="C48" s="4"/>
      <c r="D48" s="67"/>
      <c r="F48" s="15" t="s">
        <v>113</v>
      </c>
      <c r="G48" s="69"/>
      <c r="K48" s="73"/>
      <c r="L48" s="73"/>
      <c r="M48" s="73"/>
      <c r="N48" s="73"/>
      <c r="O48" s="73"/>
      <c r="Q48" s="73">
        <f>-N47</f>
        <v>-6393662.1900000004</v>
      </c>
      <c r="R48" s="73"/>
      <c r="S48" s="73"/>
      <c r="T48" s="73"/>
      <c r="U48" s="73"/>
      <c r="V48" s="73"/>
      <c r="W48" s="73"/>
      <c r="X48" s="73"/>
      <c r="Y48" s="110"/>
      <c r="Z48" s="73"/>
      <c r="AA48" s="73"/>
      <c r="AB48" s="73"/>
      <c r="AC48" s="73"/>
      <c r="AD48" s="4" t="s">
        <v>116</v>
      </c>
      <c r="AE48" t="s">
        <v>51</v>
      </c>
      <c r="AH48" s="31">
        <v>0</v>
      </c>
      <c r="AL48" t="s">
        <v>117</v>
      </c>
    </row>
    <row r="49" spans="6:32" ht="15.75" x14ac:dyDescent="0.25">
      <c r="F49" s="111" t="s">
        <v>118</v>
      </c>
      <c r="G49" s="75">
        <f>+G47+G48</f>
        <v>11155791</v>
      </c>
      <c r="H49" s="76"/>
      <c r="K49" s="73">
        <f>SUM(K47:K48)</f>
        <v>2734395.9300000006</v>
      </c>
      <c r="L49" s="73">
        <f>SUM(L47:L48)</f>
        <v>1910780.5199999998</v>
      </c>
      <c r="M49" s="73">
        <f>SUM(M47:M48)</f>
        <v>1748485.74</v>
      </c>
      <c r="N49" s="73">
        <f>SUM(N47:N48)</f>
        <v>6393662.1900000004</v>
      </c>
      <c r="O49" s="73"/>
      <c r="P49" s="48"/>
      <c r="Q49" s="77"/>
      <c r="R49" s="77"/>
      <c r="S49" s="77"/>
      <c r="T49" s="77"/>
      <c r="U49" s="77"/>
      <c r="V49" s="77"/>
      <c r="W49" s="77"/>
      <c r="X49" s="77"/>
      <c r="Y49" s="112"/>
      <c r="Z49" s="77"/>
      <c r="AA49" s="77"/>
      <c r="AB49" s="77"/>
      <c r="AC49" s="77"/>
      <c r="AF49" s="31"/>
    </row>
    <row r="50" spans="6:32" ht="21.75" customHeight="1" x14ac:dyDescent="0.2">
      <c r="G50" s="113"/>
      <c r="K50" s="73"/>
      <c r="L50" s="48"/>
      <c r="M50" s="73"/>
      <c r="N50" s="73"/>
      <c r="O50" s="73"/>
    </row>
    <row r="51" spans="6:32" ht="21.75" customHeight="1" x14ac:dyDescent="0.2">
      <c r="G51" s="78"/>
      <c r="H51" s="13"/>
      <c r="L51" s="79"/>
      <c r="M51" s="48"/>
      <c r="N51" s="48"/>
      <c r="O51" s="48"/>
    </row>
    <row r="52" spans="6:32" x14ac:dyDescent="0.2">
      <c r="H52" s="13"/>
      <c r="L52" s="80"/>
      <c r="N52" s="48"/>
      <c r="O52" s="48"/>
    </row>
    <row r="53" spans="6:32" x14ac:dyDescent="0.2">
      <c r="F53" s="15" t="s">
        <v>119</v>
      </c>
      <c r="L53" s="81"/>
      <c r="N53" s="82"/>
      <c r="O53" s="82"/>
    </row>
    <row r="54" spans="6:32" x14ac:dyDescent="0.2">
      <c r="L54" s="81"/>
      <c r="M54" s="77"/>
    </row>
    <row r="55" spans="6:32" x14ac:dyDescent="0.2">
      <c r="L55" s="81"/>
      <c r="M55" s="77"/>
      <c r="N55" s="48"/>
      <c r="O55" s="48"/>
    </row>
    <row r="56" spans="6:32" x14ac:dyDescent="0.2">
      <c r="L56" s="81"/>
      <c r="M56" s="77"/>
      <c r="N56" s="48"/>
      <c r="O56" s="48"/>
    </row>
    <row r="57" spans="6:32" x14ac:dyDescent="0.2">
      <c r="L57" s="81"/>
      <c r="M57" s="77"/>
      <c r="N57" s="48"/>
      <c r="O57" s="48"/>
    </row>
    <row r="58" spans="6:32" x14ac:dyDescent="0.2">
      <c r="L58" s="81"/>
      <c r="M58" s="48"/>
      <c r="N58" s="77"/>
      <c r="O58" s="77"/>
    </row>
    <row r="59" spans="6:32" x14ac:dyDescent="0.2">
      <c r="L59" s="83"/>
      <c r="N59" s="84"/>
      <c r="O59" s="84"/>
    </row>
    <row r="60" spans="6:32" x14ac:dyDescent="0.2">
      <c r="L60" s="80"/>
      <c r="N60" s="85"/>
      <c r="O60" s="85"/>
    </row>
    <row r="72" spans="2:38" s="61" customFormat="1" x14ac:dyDescent="0.2">
      <c r="B72" s="4"/>
      <c r="C72" s="24"/>
      <c r="D72" s="15"/>
      <c r="E72" s="15"/>
      <c r="F72" s="15"/>
      <c r="G72" s="56" t="e">
        <f>+G49+#REF!</f>
        <v>#REF!</v>
      </c>
      <c r="P72"/>
      <c r="Q72"/>
      <c r="R72"/>
      <c r="S72"/>
      <c r="T72"/>
      <c r="U72"/>
      <c r="V72"/>
      <c r="W72"/>
      <c r="X72"/>
      <c r="Y72" s="11"/>
      <c r="Z72"/>
      <c r="AA72"/>
      <c r="AB72"/>
      <c r="AC72"/>
      <c r="AD72"/>
      <c r="AE72"/>
      <c r="AF72"/>
      <c r="AG72"/>
      <c r="AH72"/>
      <c r="AI72"/>
      <c r="AJ72"/>
      <c r="AK72"/>
      <c r="AL72"/>
    </row>
    <row r="107" spans="2:29" x14ac:dyDescent="0.2">
      <c r="B107" s="13"/>
      <c r="D107" s="67"/>
    </row>
    <row r="108" spans="2:29" x14ac:dyDescent="0.2">
      <c r="B108" s="13"/>
      <c r="D108" s="67"/>
      <c r="Q108" s="80"/>
      <c r="R108" s="80"/>
      <c r="S108" s="80"/>
      <c r="T108" s="80"/>
      <c r="U108" s="80"/>
      <c r="V108" s="80"/>
      <c r="W108" s="80"/>
      <c r="X108" s="80"/>
      <c r="Y108" s="114"/>
      <c r="Z108" s="80"/>
      <c r="AA108" s="80"/>
      <c r="AB108" s="80"/>
      <c r="AC108" s="80"/>
    </row>
    <row r="109" spans="2:29" x14ac:dyDescent="0.2">
      <c r="Q109" s="80"/>
      <c r="R109" s="80"/>
      <c r="S109" s="80"/>
      <c r="T109" s="80"/>
      <c r="U109" s="80"/>
      <c r="V109" s="80"/>
      <c r="W109" s="80"/>
      <c r="X109" s="80"/>
      <c r="Y109" s="114"/>
      <c r="Z109" s="80"/>
      <c r="AA109" s="80"/>
      <c r="AB109" s="80"/>
      <c r="AC109" s="80"/>
    </row>
    <row r="110" spans="2:29" x14ac:dyDescent="0.2">
      <c r="D110" s="67"/>
    </row>
    <row r="111" spans="2:29" x14ac:dyDescent="0.2">
      <c r="D111" s="67"/>
    </row>
  </sheetData>
  <mergeCells count="9">
    <mergeCell ref="L5:P5"/>
    <mergeCell ref="E1:K2"/>
    <mergeCell ref="L1:P1"/>
    <mergeCell ref="L2:P2"/>
    <mergeCell ref="B3:C3"/>
    <mergeCell ref="F3:K4"/>
    <mergeCell ref="L3:P3"/>
    <mergeCell ref="B4:C4"/>
    <mergeCell ref="L4:P4"/>
  </mergeCells>
  <printOptions horizontalCentered="1" gridLines="1"/>
  <pageMargins left="0" right="0" top="0.45" bottom="0" header="0.15" footer="0.35"/>
  <pageSetup scale="74" orientation="landscape" cellComments="asDisplayed" r:id="rId1"/>
  <headerFooter alignWithMargins="0">
    <oddHeader>&amp;R&amp;16Page 4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18AC-C1C4-467E-91C1-82D71CD0E953}">
  <dimension ref="B1:AG71"/>
  <sheetViews>
    <sheetView showGridLines="0" topLeftCell="E1" zoomScale="90" zoomScaleNormal="90" zoomScaleSheetLayoutView="100" workbookViewId="0">
      <selection activeCell="S42" sqref="S42:S43"/>
    </sheetView>
  </sheetViews>
  <sheetFormatPr defaultColWidth="9.140625" defaultRowHeight="14.1" customHeight="1" x14ac:dyDescent="0.25"/>
  <cols>
    <col min="1" max="1" width="1.7109375" style="10" customWidth="1"/>
    <col min="2" max="2" width="3.42578125" style="116" customWidth="1"/>
    <col min="3" max="3" width="5.5703125" style="116" customWidth="1"/>
    <col min="4" max="4" width="6.42578125" style="116" customWidth="1"/>
    <col min="5" max="5" width="8.85546875" style="129" customWidth="1"/>
    <col min="6" max="6" width="29.42578125" style="10" customWidth="1"/>
    <col min="7" max="7" width="12.140625" style="10" bestFit="1" customWidth="1"/>
    <col min="8" max="8" width="16.140625" style="119" bestFit="1" customWidth="1"/>
    <col min="9" max="9" width="2.7109375" style="10" customWidth="1"/>
    <col min="10" max="10" width="12.7109375" style="10" bestFit="1" customWidth="1"/>
    <col min="11" max="11" width="16.85546875" style="119" bestFit="1" customWidth="1"/>
    <col min="12" max="12" width="2.7109375" style="10" customWidth="1"/>
    <col min="13" max="13" width="13.42578125" style="10" bestFit="1" customWidth="1"/>
    <col min="14" max="14" width="16.28515625" style="119" customWidth="1"/>
    <col min="15" max="15" width="3" style="10" customWidth="1"/>
    <col min="16" max="16" width="12.85546875" style="122" bestFit="1" customWidth="1"/>
    <col min="17" max="17" width="17.42578125" style="122" customWidth="1"/>
    <col min="18" max="18" width="3.7109375" style="122" customWidth="1"/>
    <col min="19" max="19" width="12.85546875" style="122" bestFit="1" customWidth="1"/>
    <col min="20" max="20" width="16.85546875" style="122" customWidth="1"/>
    <col min="21" max="21" width="3.5703125" style="10" customWidth="1"/>
    <col min="22" max="22" width="9.5703125" style="10" bestFit="1" customWidth="1"/>
    <col min="23" max="23" width="16" style="10" bestFit="1" customWidth="1"/>
    <col min="24" max="24" width="1.7109375" style="10" hidden="1" customWidth="1"/>
    <col min="25" max="25" width="10.85546875" style="10" bestFit="1" customWidth="1"/>
    <col min="26" max="26" width="14.7109375" style="10" bestFit="1" customWidth="1"/>
    <col min="27" max="27" width="1.7109375" style="10" hidden="1" customWidth="1"/>
    <col min="28" max="29" width="15.7109375" style="10" hidden="1" customWidth="1"/>
    <col min="30" max="30" width="2.140625" style="10" customWidth="1"/>
    <col min="31" max="31" width="13.140625" style="10" customWidth="1"/>
    <col min="32" max="32" width="10.7109375" style="10" bestFit="1" customWidth="1"/>
    <col min="33" max="33" width="13.7109375" style="10" bestFit="1" customWidth="1"/>
    <col min="34" max="16384" width="9.140625" style="10"/>
  </cols>
  <sheetData>
    <row r="1" spans="2:33" ht="17.45" customHeight="1" x14ac:dyDescent="0.25">
      <c r="B1" s="115" t="s">
        <v>129</v>
      </c>
      <c r="D1" s="117"/>
      <c r="E1" s="117"/>
      <c r="F1" s="117"/>
      <c r="G1" s="118"/>
      <c r="I1" s="120"/>
      <c r="K1" s="121"/>
      <c r="O1" s="120"/>
      <c r="Q1" s="123"/>
      <c r="U1" s="120"/>
      <c r="V1" s="124">
        <f>B2-31</f>
        <v>43945</v>
      </c>
      <c r="W1" s="124"/>
      <c r="X1" s="124"/>
      <c r="Y1" s="124"/>
      <c r="Z1" s="124"/>
    </row>
    <row r="2" spans="2:33" ht="15" customHeight="1" x14ac:dyDescent="0.25">
      <c r="B2" s="125">
        <v>43976</v>
      </c>
      <c r="C2" s="125"/>
      <c r="D2" s="125"/>
      <c r="E2" s="125"/>
      <c r="I2" s="120"/>
      <c r="J2" s="126" t="s">
        <v>130</v>
      </c>
      <c r="K2" s="126"/>
      <c r="L2" s="126"/>
      <c r="M2" s="126"/>
      <c r="N2" s="126"/>
      <c r="O2" s="120"/>
      <c r="P2" s="127" t="s">
        <v>131</v>
      </c>
      <c r="Q2" s="127"/>
      <c r="R2" s="127"/>
      <c r="S2" s="127"/>
      <c r="T2" s="127"/>
      <c r="U2" s="120"/>
      <c r="V2" s="128" t="s">
        <v>132</v>
      </c>
      <c r="W2" s="128"/>
      <c r="X2" s="128"/>
      <c r="Y2" s="128"/>
      <c r="Z2" s="128"/>
    </row>
    <row r="3" spans="2:33" ht="15.75" x14ac:dyDescent="0.25">
      <c r="I3" s="120"/>
      <c r="K3" s="121"/>
      <c r="O3" s="120"/>
      <c r="U3" s="130"/>
      <c r="V3" s="124">
        <f>B2</f>
        <v>43976</v>
      </c>
      <c r="W3" s="124"/>
      <c r="X3" s="124"/>
      <c r="Y3" s="124"/>
      <c r="Z3" s="124"/>
      <c r="AB3" s="131" t="s">
        <v>133</v>
      </c>
      <c r="AC3" s="131"/>
      <c r="AD3" s="132"/>
    </row>
    <row r="4" spans="2:33" ht="16.5" customHeight="1" x14ac:dyDescent="0.25">
      <c r="B4" s="133"/>
      <c r="C4" s="133"/>
      <c r="D4" s="133"/>
      <c r="E4" s="134"/>
      <c r="F4" s="135"/>
      <c r="G4" s="136" t="s">
        <v>10</v>
      </c>
      <c r="H4" s="136"/>
      <c r="I4" s="120"/>
      <c r="J4" s="137" t="s">
        <v>134</v>
      </c>
      <c r="K4" s="137"/>
      <c r="L4" s="138"/>
      <c r="M4" s="137" t="s">
        <v>135</v>
      </c>
      <c r="N4" s="137"/>
      <c r="O4" s="139"/>
      <c r="P4" s="140" t="s">
        <v>134</v>
      </c>
      <c r="Q4" s="140"/>
      <c r="R4" s="141"/>
      <c r="S4" s="140" t="s">
        <v>135</v>
      </c>
      <c r="T4" s="140"/>
      <c r="U4" s="139"/>
      <c r="V4" s="137" t="s">
        <v>134</v>
      </c>
      <c r="W4" s="137"/>
      <c r="X4" s="138"/>
      <c r="Y4" s="137" t="s">
        <v>135</v>
      </c>
      <c r="Z4" s="137"/>
      <c r="AB4" s="142" t="s">
        <v>2</v>
      </c>
      <c r="AC4" s="142" t="s">
        <v>8</v>
      </c>
      <c r="AD4" s="142"/>
    </row>
    <row r="5" spans="2:33" s="13" customFormat="1" ht="17.25" customHeight="1" x14ac:dyDescent="0.25">
      <c r="B5" s="143" t="s">
        <v>136</v>
      </c>
      <c r="C5" s="143"/>
      <c r="D5" s="143"/>
      <c r="E5" s="143"/>
      <c r="F5" s="144"/>
      <c r="G5" s="145" t="s">
        <v>35</v>
      </c>
      <c r="H5" s="146" t="s">
        <v>137</v>
      </c>
      <c r="I5" s="139"/>
      <c r="J5" s="147" t="s">
        <v>35</v>
      </c>
      <c r="K5" s="148" t="s">
        <v>137</v>
      </c>
      <c r="L5" s="149"/>
      <c r="M5" s="147" t="s">
        <v>35</v>
      </c>
      <c r="N5" s="148" t="s">
        <v>137</v>
      </c>
      <c r="O5" s="139"/>
      <c r="P5" s="150" t="s">
        <v>35</v>
      </c>
      <c r="Q5" s="151" t="s">
        <v>137</v>
      </c>
      <c r="R5" s="149"/>
      <c r="S5" s="149" t="s">
        <v>35</v>
      </c>
      <c r="T5" s="152" t="s">
        <v>137</v>
      </c>
      <c r="U5" s="139"/>
      <c r="V5" s="147" t="s">
        <v>138</v>
      </c>
      <c r="W5" s="152" t="s">
        <v>137</v>
      </c>
      <c r="X5" s="149"/>
      <c r="Y5" s="149" t="s">
        <v>138</v>
      </c>
      <c r="Z5" s="152" t="s">
        <v>137</v>
      </c>
      <c r="AB5" s="153" t="s">
        <v>137</v>
      </c>
      <c r="AC5" s="153" t="s">
        <v>137</v>
      </c>
      <c r="AD5" s="153"/>
    </row>
    <row r="6" spans="2:33" ht="14.25" customHeight="1" x14ac:dyDescent="0.25">
      <c r="B6" s="154" t="s">
        <v>139</v>
      </c>
      <c r="C6" s="155">
        <v>6011</v>
      </c>
      <c r="D6" s="155">
        <v>28040</v>
      </c>
      <c r="E6" s="156">
        <v>671010</v>
      </c>
      <c r="F6" s="13" t="s">
        <v>140</v>
      </c>
      <c r="G6" s="157" t="s">
        <v>141</v>
      </c>
      <c r="H6" s="48">
        <f>K6+N6</f>
        <v>0</v>
      </c>
      <c r="I6" s="120"/>
      <c r="J6" s="158"/>
      <c r="K6" s="159">
        <f>+Q6+W6</f>
        <v>0</v>
      </c>
      <c r="L6" s="160" t="s">
        <v>142</v>
      </c>
      <c r="M6" s="158"/>
      <c r="N6" s="159">
        <f>+T6+Z6</f>
        <v>0</v>
      </c>
      <c r="O6" s="161" t="s">
        <v>142</v>
      </c>
      <c r="P6" s="158"/>
      <c r="Q6" s="162"/>
      <c r="R6" s="13"/>
      <c r="S6" s="158"/>
      <c r="T6" s="162"/>
      <c r="U6" s="120"/>
      <c r="V6" s="163"/>
      <c r="W6" s="164"/>
      <c r="Y6" s="118"/>
      <c r="Z6" s="164"/>
      <c r="AE6" s="165">
        <v>671010</v>
      </c>
    </row>
    <row r="7" spans="2:33" ht="14.25" customHeight="1" x14ac:dyDescent="0.25">
      <c r="B7" s="154" t="s">
        <v>139</v>
      </c>
      <c r="C7" s="155">
        <v>6011</v>
      </c>
      <c r="D7" s="155">
        <v>28040</v>
      </c>
      <c r="E7" s="156">
        <v>671030</v>
      </c>
      <c r="F7" s="13" t="s">
        <v>143</v>
      </c>
      <c r="G7" s="157" t="s">
        <v>141</v>
      </c>
      <c r="H7" s="48">
        <f t="shared" ref="H7:H13" si="0">+K7+N7</f>
        <v>371802.7</v>
      </c>
      <c r="I7" s="120"/>
      <c r="J7" s="158"/>
      <c r="K7" s="159">
        <f>+Q7+W7</f>
        <v>221051.75</v>
      </c>
      <c r="L7" s="160" t="s">
        <v>142</v>
      </c>
      <c r="M7" s="158"/>
      <c r="N7" s="159">
        <f>+T7+Z7</f>
        <v>150750.95000000001</v>
      </c>
      <c r="O7" s="161" t="s">
        <v>142</v>
      </c>
      <c r="P7" s="158"/>
      <c r="Q7" s="164">
        <v>220593.76</v>
      </c>
      <c r="R7" s="13"/>
      <c r="S7" s="158"/>
      <c r="T7" s="164">
        <v>150750.95000000001</v>
      </c>
      <c r="U7" s="120"/>
      <c r="V7" s="163"/>
      <c r="W7" s="164">
        <f>529.09-71.1</f>
        <v>457.99</v>
      </c>
      <c r="Y7" s="118"/>
      <c r="Z7" s="164"/>
      <c r="AE7" s="165">
        <v>671030</v>
      </c>
    </row>
    <row r="8" spans="2:33" ht="14.25" customHeight="1" x14ac:dyDescent="0.25">
      <c r="B8" s="154" t="s">
        <v>139</v>
      </c>
      <c r="C8" s="155">
        <v>6011</v>
      </c>
      <c r="D8" s="155">
        <v>28040</v>
      </c>
      <c r="E8" s="156">
        <v>671050</v>
      </c>
      <c r="F8" s="13" t="s">
        <v>144</v>
      </c>
      <c r="G8" s="13">
        <f t="shared" ref="G8:G14" si="1">+J8+M8</f>
        <v>16480380</v>
      </c>
      <c r="H8" s="48">
        <f t="shared" si="0"/>
        <v>2780301.8499999996</v>
      </c>
      <c r="I8" s="120"/>
      <c r="J8" s="13">
        <f>+P8+V8</f>
        <v>13133596</v>
      </c>
      <c r="K8" s="166">
        <f>+Q8+W8</f>
        <v>2251658.5999999996</v>
      </c>
      <c r="L8" s="160" t="s">
        <v>145</v>
      </c>
      <c r="M8" s="13">
        <f>+S8+Y8</f>
        <v>3346784</v>
      </c>
      <c r="N8" s="166">
        <f>+T8+Z8</f>
        <v>528643.25</v>
      </c>
      <c r="O8" s="161" t="s">
        <v>145</v>
      </c>
      <c r="P8" s="167">
        <v>13147408</v>
      </c>
      <c r="Q8" s="168">
        <f>2241934.55+12000</f>
        <v>2253934.5499999998</v>
      </c>
      <c r="R8" s="13"/>
      <c r="S8" s="167">
        <v>3332972</v>
      </c>
      <c r="T8" s="168">
        <v>526367.30000000005</v>
      </c>
      <c r="U8" s="120"/>
      <c r="V8" s="169">
        <v>-13812</v>
      </c>
      <c r="W8" s="168">
        <v>-2275.9499999999998</v>
      </c>
      <c r="X8" s="122"/>
      <c r="Y8" s="170">
        <v>13812</v>
      </c>
      <c r="Z8" s="168">
        <v>2275.9499999999998</v>
      </c>
      <c r="AB8" s="171">
        <v>0</v>
      </c>
      <c r="AC8" s="171">
        <v>0</v>
      </c>
      <c r="AE8" s="172">
        <v>671050</v>
      </c>
    </row>
    <row r="9" spans="2:33" ht="14.25" customHeight="1" x14ac:dyDescent="0.25">
      <c r="B9" s="154" t="s">
        <v>139</v>
      </c>
      <c r="C9" s="155">
        <v>6011</v>
      </c>
      <c r="D9" s="155">
        <v>28040</v>
      </c>
      <c r="E9" s="156">
        <v>671051</v>
      </c>
      <c r="F9" s="13" t="s">
        <v>146</v>
      </c>
      <c r="G9" s="157" t="s">
        <v>141</v>
      </c>
      <c r="H9" s="48">
        <f t="shared" si="0"/>
        <v>6975</v>
      </c>
      <c r="I9" s="120"/>
      <c r="J9" s="158"/>
      <c r="K9" s="166">
        <f t="shared" ref="J9:K14" si="2">+Q9+W9</f>
        <v>5183.9799999999996</v>
      </c>
      <c r="L9" s="160" t="s">
        <v>145</v>
      </c>
      <c r="M9" s="173"/>
      <c r="N9" s="166">
        <f>+T9+Z9</f>
        <v>1791.02</v>
      </c>
      <c r="O9" s="161" t="s">
        <v>145</v>
      </c>
      <c r="P9" s="158"/>
      <c r="Q9" s="168">
        <v>5183.9799999999996</v>
      </c>
      <c r="R9" s="13"/>
      <c r="S9" s="158"/>
      <c r="T9" s="168">
        <v>1791.02</v>
      </c>
      <c r="U9" s="120"/>
      <c r="V9" s="174"/>
      <c r="W9" s="175"/>
      <c r="X9" s="118"/>
      <c r="Y9" s="176"/>
      <c r="Z9" s="175"/>
      <c r="AE9" s="172">
        <v>671051</v>
      </c>
    </row>
    <row r="10" spans="2:33" ht="14.25" customHeight="1" x14ac:dyDescent="0.25">
      <c r="B10" s="154" t="s">
        <v>139</v>
      </c>
      <c r="C10" s="155">
        <v>6011</v>
      </c>
      <c r="D10" s="155">
        <v>28040</v>
      </c>
      <c r="E10" s="156">
        <v>671070</v>
      </c>
      <c r="F10" s="13" t="s">
        <v>147</v>
      </c>
      <c r="G10" s="13">
        <f t="shared" si="1"/>
        <v>1386650</v>
      </c>
      <c r="H10" s="48">
        <f>+K10+N10</f>
        <v>228675.04</v>
      </c>
      <c r="I10" s="120"/>
      <c r="J10" s="13">
        <f t="shared" si="2"/>
        <v>1028027</v>
      </c>
      <c r="K10" s="166">
        <f t="shared" si="2"/>
        <v>169489.13</v>
      </c>
      <c r="L10" s="160" t="s">
        <v>145</v>
      </c>
      <c r="M10" s="13">
        <f>+S10+Y10</f>
        <v>358623</v>
      </c>
      <c r="N10" s="166">
        <f>+T10+Z10</f>
        <v>59185.91</v>
      </c>
      <c r="O10" s="177" t="s">
        <v>145</v>
      </c>
      <c r="P10" s="167">
        <f>352355+675672</f>
        <v>1028027</v>
      </c>
      <c r="Q10" s="168">
        <f>60752.51+108947.45-35.5-175.33</f>
        <v>169489.13</v>
      </c>
      <c r="R10" s="13"/>
      <c r="S10" s="167">
        <f>121735+236888</f>
        <v>358623</v>
      </c>
      <c r="T10" s="168">
        <f>20989.36+38196.55</f>
        <v>59185.91</v>
      </c>
      <c r="U10" s="120"/>
      <c r="V10" s="174"/>
      <c r="W10" s="175"/>
      <c r="X10" s="118">
        <v>0</v>
      </c>
      <c r="Y10" s="176"/>
      <c r="Z10" s="175"/>
      <c r="AE10" s="172">
        <v>671070</v>
      </c>
    </row>
    <row r="11" spans="2:33" ht="14.25" customHeight="1" x14ac:dyDescent="0.25">
      <c r="B11" s="178" t="s">
        <v>139</v>
      </c>
      <c r="C11" s="179">
        <v>6011</v>
      </c>
      <c r="D11" s="179">
        <v>28081</v>
      </c>
      <c r="E11" s="180">
        <v>671050</v>
      </c>
      <c r="F11" s="181" t="s">
        <v>148</v>
      </c>
      <c r="G11" s="13">
        <f t="shared" si="1"/>
        <v>0</v>
      </c>
      <c r="H11" s="48">
        <f t="shared" si="0"/>
        <v>0</v>
      </c>
      <c r="I11" s="120"/>
      <c r="J11" s="13">
        <f t="shared" si="2"/>
        <v>0</v>
      </c>
      <c r="K11" s="166">
        <f t="shared" si="2"/>
        <v>0</v>
      </c>
      <c r="L11" s="160" t="s">
        <v>145</v>
      </c>
      <c r="M11" s="13">
        <f t="shared" ref="M11:N14" si="3">+S11+Y11</f>
        <v>0</v>
      </c>
      <c r="N11" s="166">
        <f t="shared" si="3"/>
        <v>0</v>
      </c>
      <c r="O11" s="161" t="s">
        <v>145</v>
      </c>
      <c r="P11" s="64">
        <v>0</v>
      </c>
      <c r="Q11" s="182">
        <v>0</v>
      </c>
      <c r="R11" s="183">
        <v>-1</v>
      </c>
      <c r="S11" s="64">
        <v>0</v>
      </c>
      <c r="T11" s="182">
        <v>0</v>
      </c>
      <c r="U11" s="184">
        <v>-4</v>
      </c>
      <c r="V11" s="174"/>
      <c r="W11" s="175"/>
      <c r="X11" s="118"/>
      <c r="Y11" s="176"/>
      <c r="Z11" s="175"/>
      <c r="AE11" s="180">
        <v>671050</v>
      </c>
      <c r="AF11" s="122"/>
    </row>
    <row r="12" spans="2:33" ht="14.25" customHeight="1" x14ac:dyDescent="0.25">
      <c r="B12" s="178" t="s">
        <v>139</v>
      </c>
      <c r="C12" s="179">
        <v>6011</v>
      </c>
      <c r="D12" s="179">
        <v>28082</v>
      </c>
      <c r="E12" s="180">
        <v>671050</v>
      </c>
      <c r="F12" s="181" t="s">
        <v>149</v>
      </c>
      <c r="G12" s="13">
        <f t="shared" si="1"/>
        <v>-3488770</v>
      </c>
      <c r="H12" s="48">
        <f t="shared" si="0"/>
        <v>-630780.18999999994</v>
      </c>
      <c r="I12" s="120"/>
      <c r="J12" s="13">
        <f t="shared" si="2"/>
        <v>-3488770</v>
      </c>
      <c r="K12" s="166">
        <f t="shared" si="2"/>
        <v>-630780.18999999994</v>
      </c>
      <c r="L12" s="160" t="s">
        <v>145</v>
      </c>
      <c r="M12" s="56">
        <f t="shared" si="3"/>
        <v>0</v>
      </c>
      <c r="N12" s="166">
        <f t="shared" si="3"/>
        <v>0</v>
      </c>
      <c r="O12" s="161" t="s">
        <v>145</v>
      </c>
      <c r="P12" s="167">
        <v>-3488770</v>
      </c>
      <c r="Q12" s="185">
        <v>-630780.18999999994</v>
      </c>
      <c r="R12" s="186">
        <v>-2</v>
      </c>
      <c r="S12" s="187"/>
      <c r="T12" s="185"/>
      <c r="U12" s="184"/>
      <c r="V12" s="188"/>
      <c r="W12" s="175"/>
      <c r="X12" s="118"/>
      <c r="Y12" s="176"/>
      <c r="Z12" s="175"/>
      <c r="AE12" s="180">
        <v>671050</v>
      </c>
      <c r="AF12" s="122"/>
      <c r="AG12" s="167"/>
    </row>
    <row r="13" spans="2:33" ht="14.25" customHeight="1" x14ac:dyDescent="0.25">
      <c r="B13" s="178" t="s">
        <v>139</v>
      </c>
      <c r="C13" s="179">
        <v>6011</v>
      </c>
      <c r="D13" s="179">
        <v>28120</v>
      </c>
      <c r="E13" s="180">
        <v>671070</v>
      </c>
      <c r="F13" s="181" t="s">
        <v>150</v>
      </c>
      <c r="G13" s="13">
        <f t="shared" si="1"/>
        <v>-9313</v>
      </c>
      <c r="H13" s="48">
        <f t="shared" si="0"/>
        <v>-1972.64</v>
      </c>
      <c r="I13" s="120"/>
      <c r="J13" s="13">
        <f t="shared" si="2"/>
        <v>-4737</v>
      </c>
      <c r="K13" s="166">
        <f>+Q13+W13</f>
        <v>-1161.17</v>
      </c>
      <c r="L13" s="160" t="s">
        <v>145</v>
      </c>
      <c r="M13" s="13">
        <f t="shared" si="3"/>
        <v>-4576</v>
      </c>
      <c r="N13" s="166">
        <f t="shared" si="3"/>
        <v>-811.47</v>
      </c>
      <c r="O13" s="161" t="s">
        <v>145</v>
      </c>
      <c r="P13" s="167">
        <v>-4737</v>
      </c>
      <c r="Q13" s="185">
        <v>-1161.17</v>
      </c>
      <c r="R13" s="186">
        <v>-3</v>
      </c>
      <c r="S13" s="189">
        <v>-4576</v>
      </c>
      <c r="T13" s="185">
        <v>-811.47</v>
      </c>
      <c r="U13" s="184">
        <v>-5</v>
      </c>
      <c r="V13" s="174"/>
      <c r="W13" s="175"/>
      <c r="X13" s="118"/>
      <c r="Y13" s="176">
        <v>0</v>
      </c>
      <c r="Z13" s="175"/>
      <c r="AE13" s="180">
        <v>671070</v>
      </c>
    </row>
    <row r="14" spans="2:33" ht="14.25" customHeight="1" x14ac:dyDescent="0.25">
      <c r="B14" s="154" t="s">
        <v>139</v>
      </c>
      <c r="C14" s="155">
        <v>6011</v>
      </c>
      <c r="D14" s="155">
        <v>28040</v>
      </c>
      <c r="E14" s="156">
        <v>671100</v>
      </c>
      <c r="F14" s="13" t="s">
        <v>151</v>
      </c>
      <c r="G14" s="13">
        <f t="shared" si="1"/>
        <v>0</v>
      </c>
      <c r="H14" s="48">
        <f>+K14+N14</f>
        <v>0</v>
      </c>
      <c r="I14" s="120"/>
      <c r="J14" s="13">
        <f>+P14+V14</f>
        <v>0</v>
      </c>
      <c r="K14" s="166">
        <f t="shared" si="2"/>
        <v>0</v>
      </c>
      <c r="L14" s="160" t="s">
        <v>145</v>
      </c>
      <c r="M14" s="190">
        <f t="shared" si="3"/>
        <v>0</v>
      </c>
      <c r="N14" s="191">
        <f t="shared" si="3"/>
        <v>0</v>
      </c>
      <c r="O14" s="161" t="s">
        <v>145</v>
      </c>
      <c r="P14" s="192"/>
      <c r="Q14" s="193"/>
      <c r="R14" s="13"/>
      <c r="S14" s="192"/>
      <c r="T14" s="175"/>
      <c r="U14" s="120"/>
      <c r="V14" s="174"/>
      <c r="W14" s="175"/>
      <c r="X14" s="118"/>
      <c r="Y14" s="176"/>
      <c r="Z14" s="194"/>
      <c r="AE14" s="172">
        <v>671100</v>
      </c>
    </row>
    <row r="15" spans="2:33" ht="14.25" customHeight="1" x14ac:dyDescent="0.25">
      <c r="B15" s="154"/>
      <c r="C15" s="195"/>
      <c r="D15" s="195"/>
      <c r="E15" s="196"/>
      <c r="F15" s="197" t="s">
        <v>152</v>
      </c>
      <c r="G15" s="198">
        <f>SUM(G6:G14)</f>
        <v>14368947</v>
      </c>
      <c r="H15" s="86">
        <f>SUM(H6:H14)</f>
        <v>2755001.76</v>
      </c>
      <c r="I15" s="120"/>
      <c r="J15" s="198">
        <f>SUM(J6:J14)</f>
        <v>10668116</v>
      </c>
      <c r="K15" s="86">
        <f>SUM(K6:K14)</f>
        <v>2015442.0999999996</v>
      </c>
      <c r="L15" s="160"/>
      <c r="M15" s="13">
        <f>SUM(M6:M14)</f>
        <v>3700831</v>
      </c>
      <c r="N15" s="94">
        <f>SUM(N6:N14)</f>
        <v>739559.66</v>
      </c>
      <c r="O15" s="161"/>
      <c r="P15" s="13">
        <f>SUM(P6:P14)</f>
        <v>10681928</v>
      </c>
      <c r="Q15" s="199">
        <f>SUM(Q6:Q14)</f>
        <v>2017260.0599999996</v>
      </c>
      <c r="R15" s="13"/>
      <c r="S15" s="13">
        <f>SUM(S6:S14)</f>
        <v>3687019</v>
      </c>
      <c r="T15" s="199">
        <f>SUM(T6:T14)</f>
        <v>737283.71000000008</v>
      </c>
      <c r="U15" s="120"/>
      <c r="V15" s="200">
        <f>+SUM(V6:V14)</f>
        <v>-13812</v>
      </c>
      <c r="W15" s="199">
        <f>SUM(W6:W14)</f>
        <v>-1817.9599999999998</v>
      </c>
      <c r="X15" s="118"/>
      <c r="Y15" s="200">
        <f>SUM(Y6:Y14)</f>
        <v>13812</v>
      </c>
      <c r="Z15" s="199">
        <f>SUM(Z6:Z14)</f>
        <v>2275.9499999999998</v>
      </c>
      <c r="AB15" s="201">
        <f>SUM(AB6:AB14)</f>
        <v>0</v>
      </c>
      <c r="AC15" s="201">
        <f>SUM(AC6:AC14)</f>
        <v>0</v>
      </c>
      <c r="AD15" s="201"/>
      <c r="AE15" s="196"/>
    </row>
    <row r="16" spans="2:33" ht="14.25" customHeight="1" x14ac:dyDescent="0.25">
      <c r="B16" s="154"/>
      <c r="C16" s="195"/>
      <c r="D16" s="195"/>
      <c r="E16" s="196"/>
      <c r="G16" s="198"/>
      <c r="H16" s="202"/>
      <c r="I16" s="120"/>
      <c r="J16" s="203"/>
      <c r="K16" s="204"/>
      <c r="L16" s="118"/>
      <c r="M16" s="203"/>
      <c r="N16" s="205"/>
      <c r="O16" s="161"/>
      <c r="P16" s="198"/>
      <c r="Q16" s="48"/>
      <c r="R16" s="13"/>
      <c r="S16" s="198"/>
      <c r="T16" s="48"/>
      <c r="U16" s="120"/>
      <c r="V16" s="206"/>
      <c r="W16" s="48"/>
      <c r="X16" s="118"/>
      <c r="Y16" s="118"/>
      <c r="Z16" s="48"/>
      <c r="AE16" s="196"/>
    </row>
    <row r="17" spans="2:33" ht="14.25" customHeight="1" x14ac:dyDescent="0.25">
      <c r="B17" s="154" t="s">
        <v>139</v>
      </c>
      <c r="C17" s="155">
        <v>6011</v>
      </c>
      <c r="D17" s="155">
        <v>28040</v>
      </c>
      <c r="E17" s="156">
        <v>672010</v>
      </c>
      <c r="F17" s="13" t="s">
        <v>153</v>
      </c>
      <c r="G17" s="157"/>
      <c r="H17" s="48">
        <f>K17+N17</f>
        <v>3710340.79</v>
      </c>
      <c r="I17" s="120"/>
      <c r="J17" s="207"/>
      <c r="K17" s="159">
        <f>+Q17+W17</f>
        <v>2946721.67</v>
      </c>
      <c r="L17" s="160" t="s">
        <v>142</v>
      </c>
      <c r="M17" s="158"/>
      <c r="N17" s="159">
        <f>+T17+Z17</f>
        <v>763619.11999999988</v>
      </c>
      <c r="O17" s="161" t="s">
        <v>142</v>
      </c>
      <c r="P17" s="158"/>
      <c r="Q17" s="164">
        <f>73090.21+3017851.15</f>
        <v>3090941.36</v>
      </c>
      <c r="R17" s="13"/>
      <c r="S17" s="158"/>
      <c r="T17" s="164">
        <f>213585.64+519694.29</f>
        <v>733279.92999999993</v>
      </c>
      <c r="U17" s="120"/>
      <c r="V17" s="183"/>
      <c r="W17" s="164">
        <v>-144219.69</v>
      </c>
      <c r="X17" s="208"/>
      <c r="Y17" s="209"/>
      <c r="Z17" s="164">
        <v>30339.19</v>
      </c>
      <c r="AE17" s="165">
        <v>672010</v>
      </c>
    </row>
    <row r="18" spans="2:33" ht="14.25" customHeight="1" x14ac:dyDescent="0.25">
      <c r="B18" s="154" t="s">
        <v>139</v>
      </c>
      <c r="C18" s="155">
        <v>6011</v>
      </c>
      <c r="D18" s="155">
        <v>28040</v>
      </c>
      <c r="E18" s="156">
        <v>672020</v>
      </c>
      <c r="F18" s="13" t="s">
        <v>154</v>
      </c>
      <c r="G18" s="157"/>
      <c r="H18" s="48">
        <f>K18+N18</f>
        <v>60501.91</v>
      </c>
      <c r="I18" s="120"/>
      <c r="J18" s="207"/>
      <c r="K18" s="166">
        <f>+Q18+W18</f>
        <v>53493.310000000005</v>
      </c>
      <c r="L18" s="160" t="s">
        <v>145</v>
      </c>
      <c r="M18" s="158"/>
      <c r="N18" s="166">
        <f>+T18+Z18</f>
        <v>7008.6</v>
      </c>
      <c r="O18" s="161" t="s">
        <v>145</v>
      </c>
      <c r="P18" s="158"/>
      <c r="Q18" s="168">
        <v>64553.41</v>
      </c>
      <c r="R18" s="13"/>
      <c r="S18" s="10"/>
      <c r="T18" s="168">
        <v>13121.59</v>
      </c>
      <c r="U18" s="120"/>
      <c r="V18" s="183"/>
      <c r="W18" s="168">
        <v>-11060.1</v>
      </c>
      <c r="X18" s="208"/>
      <c r="Y18" s="209"/>
      <c r="Z18" s="168">
        <v>-6112.99</v>
      </c>
      <c r="AE18" s="172">
        <v>672020</v>
      </c>
      <c r="AF18" s="210"/>
    </row>
    <row r="19" spans="2:33" ht="14.25" customHeight="1" x14ac:dyDescent="0.25">
      <c r="B19" s="154" t="s">
        <v>139</v>
      </c>
      <c r="C19" s="155">
        <v>6011</v>
      </c>
      <c r="D19" s="155">
        <v>28040</v>
      </c>
      <c r="E19" s="156">
        <v>672030</v>
      </c>
      <c r="F19" s="13" t="s">
        <v>155</v>
      </c>
      <c r="G19" s="157"/>
      <c r="H19" s="48">
        <f>K19+N19</f>
        <v>0</v>
      </c>
      <c r="I19" s="120"/>
      <c r="J19" s="207"/>
      <c r="K19" s="159">
        <f>+Q19+W19</f>
        <v>0</v>
      </c>
      <c r="L19" s="160" t="s">
        <v>142</v>
      </c>
      <c r="M19" s="158"/>
      <c r="N19" s="159">
        <f>+T19+Z19</f>
        <v>0</v>
      </c>
      <c r="O19" s="161" t="s">
        <v>142</v>
      </c>
      <c r="P19" s="158"/>
      <c r="Q19" s="164"/>
      <c r="R19" s="13"/>
      <c r="S19" s="158"/>
      <c r="T19" s="162"/>
      <c r="U19" s="120"/>
      <c r="V19" s="183"/>
      <c r="W19" s="162"/>
      <c r="X19" s="118"/>
      <c r="Y19" s="163"/>
      <c r="Z19" s="162"/>
      <c r="AE19" s="165">
        <v>672030</v>
      </c>
      <c r="AF19" s="210"/>
    </row>
    <row r="20" spans="2:33" ht="14.25" customHeight="1" x14ac:dyDescent="0.25">
      <c r="B20" s="154" t="s">
        <v>139</v>
      </c>
      <c r="C20" s="155">
        <v>6011</v>
      </c>
      <c r="D20" s="155">
        <v>28040</v>
      </c>
      <c r="E20" s="156">
        <v>672040</v>
      </c>
      <c r="F20" s="13" t="s">
        <v>156</v>
      </c>
      <c r="G20" s="157"/>
      <c r="H20" s="48">
        <f>K20+N20</f>
        <v>0</v>
      </c>
      <c r="I20" s="120"/>
      <c r="J20" s="207"/>
      <c r="K20" s="159">
        <f>+Q20+W20</f>
        <v>0</v>
      </c>
      <c r="L20" s="160" t="s">
        <v>142</v>
      </c>
      <c r="M20" s="158"/>
      <c r="N20" s="159">
        <f>+T20+Z20</f>
        <v>0</v>
      </c>
      <c r="O20" s="161" t="s">
        <v>142</v>
      </c>
      <c r="P20" s="158"/>
      <c r="Q20" s="164"/>
      <c r="R20" s="13"/>
      <c r="S20" s="158"/>
      <c r="T20" s="162"/>
      <c r="U20" s="120"/>
      <c r="V20" s="183"/>
      <c r="W20" s="162"/>
      <c r="X20" s="118"/>
      <c r="Y20" s="163"/>
      <c r="Z20" s="162"/>
      <c r="AE20" s="165">
        <v>672040</v>
      </c>
      <c r="AF20" s="210"/>
      <c r="AG20" s="210"/>
    </row>
    <row r="21" spans="2:33" ht="14.25" customHeight="1" x14ac:dyDescent="0.25">
      <c r="B21" s="154" t="s">
        <v>139</v>
      </c>
      <c r="C21" s="155">
        <v>6011</v>
      </c>
      <c r="D21" s="155">
        <v>28040</v>
      </c>
      <c r="E21" s="156">
        <v>672050</v>
      </c>
      <c r="F21" s="13" t="s">
        <v>157</v>
      </c>
      <c r="G21" s="157"/>
      <c r="H21" s="48">
        <f>K21+N21</f>
        <v>0</v>
      </c>
      <c r="I21" s="120"/>
      <c r="J21" s="211"/>
      <c r="K21" s="159">
        <f>+Q21+W21</f>
        <v>0</v>
      </c>
      <c r="L21" s="160" t="s">
        <v>142</v>
      </c>
      <c r="M21" s="158"/>
      <c r="N21" s="212">
        <f>+T21+Z21</f>
        <v>0</v>
      </c>
      <c r="O21" s="161" t="s">
        <v>142</v>
      </c>
      <c r="P21" s="158"/>
      <c r="Q21" s="164"/>
      <c r="R21" s="157"/>
      <c r="S21" s="213"/>
      <c r="T21" s="214"/>
      <c r="U21" s="120"/>
      <c r="V21" s="183"/>
      <c r="W21" s="162"/>
      <c r="X21" s="118"/>
      <c r="Y21" s="163"/>
      <c r="Z21" s="162"/>
      <c r="AE21" s="165">
        <v>672050</v>
      </c>
      <c r="AF21" s="210"/>
      <c r="AG21" s="210"/>
    </row>
    <row r="22" spans="2:33" ht="14.25" customHeight="1" x14ac:dyDescent="0.25">
      <c r="B22" s="154"/>
      <c r="C22" s="195"/>
      <c r="D22" s="195"/>
      <c r="E22" s="196"/>
      <c r="F22" s="198" t="s">
        <v>158</v>
      </c>
      <c r="G22" s="93"/>
      <c r="H22" s="94">
        <f>SUM(H17:H21)</f>
        <v>3770842.7</v>
      </c>
      <c r="I22" s="120"/>
      <c r="J22" s="215"/>
      <c r="K22" s="94">
        <f>SUM(K17:K21)</f>
        <v>3000214.98</v>
      </c>
      <c r="L22" s="160"/>
      <c r="M22" s="216"/>
      <c r="N22" s="94">
        <f>SUM(N17:N21)</f>
        <v>770627.71999999986</v>
      </c>
      <c r="O22" s="161"/>
      <c r="P22" s="198"/>
      <c r="Q22" s="199">
        <f>SUM(Q17:Q21)</f>
        <v>3155494.77</v>
      </c>
      <c r="R22" s="160"/>
      <c r="S22" s="93"/>
      <c r="T22" s="199">
        <f>SUM(T17:T21)</f>
        <v>746401.5199999999</v>
      </c>
      <c r="U22" s="120"/>
      <c r="V22" s="217"/>
      <c r="W22" s="218">
        <f>SUM(W17:W21)</f>
        <v>-155279.79</v>
      </c>
      <c r="X22" s="118"/>
      <c r="Y22" s="163"/>
      <c r="Z22" s="199">
        <f>SUM(Z17:Z21)</f>
        <v>24226.199999999997</v>
      </c>
      <c r="AB22" s="201">
        <f>SUM(AB17:AB21)</f>
        <v>0</v>
      </c>
      <c r="AC22" s="201">
        <f>SUM(AC17:AC21)</f>
        <v>0</v>
      </c>
      <c r="AD22" s="201"/>
      <c r="AE22" s="196"/>
    </row>
    <row r="23" spans="2:33" ht="14.25" customHeight="1" x14ac:dyDescent="0.25">
      <c r="B23" s="154"/>
      <c r="C23" s="195"/>
      <c r="D23" s="195"/>
      <c r="E23" s="196"/>
      <c r="F23" s="219"/>
      <c r="G23" s="13"/>
      <c r="H23" s="202"/>
      <c r="I23" s="120"/>
      <c r="J23" s="207"/>
      <c r="K23" s="205"/>
      <c r="L23" s="118"/>
      <c r="M23" s="220"/>
      <c r="N23" s="205"/>
      <c r="O23" s="161"/>
      <c r="P23" s="198"/>
      <c r="Q23" s="73"/>
      <c r="R23" s="13"/>
      <c r="S23" s="13"/>
      <c r="T23" s="48"/>
      <c r="U23" s="120"/>
      <c r="V23" s="183"/>
      <c r="W23" s="86"/>
      <c r="X23" s="118"/>
      <c r="Y23" s="163"/>
      <c r="Z23" s="48"/>
      <c r="AE23" s="196"/>
    </row>
    <row r="24" spans="2:33" ht="14.25" customHeight="1" x14ac:dyDescent="0.25">
      <c r="B24" s="154" t="s">
        <v>139</v>
      </c>
      <c r="C24" s="155">
        <v>6011</v>
      </c>
      <c r="D24" s="155">
        <v>28040</v>
      </c>
      <c r="E24" s="156">
        <v>673020</v>
      </c>
      <c r="F24" s="13" t="s">
        <v>159</v>
      </c>
      <c r="G24" s="157"/>
      <c r="H24" s="48">
        <f>K24+N24</f>
        <v>299429.63</v>
      </c>
      <c r="I24" s="120"/>
      <c r="J24" s="207"/>
      <c r="K24" s="159">
        <f t="shared" ref="K24:K37" si="4">+Q24+W24</f>
        <v>266331.28000000003</v>
      </c>
      <c r="L24" s="160" t="s">
        <v>142</v>
      </c>
      <c r="M24" s="158"/>
      <c r="N24" s="159">
        <f t="shared" ref="N24:N33" si="5">+T24+Z24</f>
        <v>33098.35</v>
      </c>
      <c r="O24" s="161" t="s">
        <v>142</v>
      </c>
      <c r="P24" s="158"/>
      <c r="Q24" s="164">
        <v>163461.54</v>
      </c>
      <c r="R24" s="13"/>
      <c r="S24" s="158"/>
      <c r="T24" s="164">
        <v>19190.09</v>
      </c>
      <c r="U24" s="120"/>
      <c r="V24" s="183"/>
      <c r="W24" s="164">
        <v>102869.74</v>
      </c>
      <c r="X24" s="221"/>
      <c r="Y24" s="221"/>
      <c r="Z24" s="164">
        <v>13908.26</v>
      </c>
      <c r="AE24" s="165">
        <v>673020</v>
      </c>
    </row>
    <row r="25" spans="2:33" ht="14.25" customHeight="1" x14ac:dyDescent="0.25">
      <c r="B25" s="154" t="s">
        <v>139</v>
      </c>
      <c r="C25" s="155">
        <v>6011</v>
      </c>
      <c r="D25" s="155">
        <v>28040</v>
      </c>
      <c r="E25" s="156">
        <v>673030</v>
      </c>
      <c r="F25" s="13" t="s">
        <v>160</v>
      </c>
      <c r="G25" s="157"/>
      <c r="H25" s="48">
        <f t="shared" ref="H25:H37" si="6">K25+N25</f>
        <v>173055</v>
      </c>
      <c r="I25" s="120"/>
      <c r="J25" s="207"/>
      <c r="K25" s="159">
        <f t="shared" si="4"/>
        <v>152444.15</v>
      </c>
      <c r="L25" s="160" t="s">
        <v>142</v>
      </c>
      <c r="M25" s="158"/>
      <c r="N25" s="159">
        <f t="shared" si="5"/>
        <v>20610.849999999999</v>
      </c>
      <c r="O25" s="161" t="s">
        <v>142</v>
      </c>
      <c r="P25" s="158"/>
      <c r="Q25" s="164">
        <v>152444.15</v>
      </c>
      <c r="R25" s="13"/>
      <c r="S25" s="158"/>
      <c r="T25" s="164">
        <v>20610.849999999999</v>
      </c>
      <c r="U25" s="120"/>
      <c r="V25" s="183"/>
      <c r="W25" s="162"/>
      <c r="X25" s="222"/>
      <c r="Y25" s="222"/>
      <c r="Z25" s="162"/>
      <c r="AE25" s="165">
        <v>673030</v>
      </c>
    </row>
    <row r="26" spans="2:33" ht="14.25" customHeight="1" x14ac:dyDescent="0.25">
      <c r="B26" s="154" t="s">
        <v>139</v>
      </c>
      <c r="C26" s="155">
        <v>6011</v>
      </c>
      <c r="D26" s="155">
        <v>28040</v>
      </c>
      <c r="E26" s="156">
        <v>673040</v>
      </c>
      <c r="F26" s="13" t="s">
        <v>161</v>
      </c>
      <c r="G26" s="157"/>
      <c r="H26" s="48">
        <f t="shared" si="6"/>
        <v>0</v>
      </c>
      <c r="I26" s="120"/>
      <c r="J26" s="207"/>
      <c r="K26" s="166">
        <f t="shared" si="4"/>
        <v>0</v>
      </c>
      <c r="L26" s="160" t="s">
        <v>145</v>
      </c>
      <c r="M26" s="158"/>
      <c r="N26" s="166">
        <f>+T26+Z26</f>
        <v>0</v>
      </c>
      <c r="O26" s="161" t="s">
        <v>145</v>
      </c>
      <c r="P26" s="158"/>
      <c r="Q26" s="168"/>
      <c r="R26" s="13"/>
      <c r="S26" s="158"/>
      <c r="T26" s="175"/>
      <c r="U26" s="120"/>
      <c r="V26" s="183"/>
      <c r="W26" s="175"/>
      <c r="X26" s="222"/>
      <c r="Y26" s="222"/>
      <c r="Z26" s="175"/>
      <c r="AE26" s="172">
        <v>673040</v>
      </c>
    </row>
    <row r="27" spans="2:33" ht="14.25" customHeight="1" x14ac:dyDescent="0.25">
      <c r="B27" s="154" t="s">
        <v>139</v>
      </c>
      <c r="C27" s="155">
        <v>6011</v>
      </c>
      <c r="D27" s="155">
        <v>28040</v>
      </c>
      <c r="E27" s="156">
        <v>673050</v>
      </c>
      <c r="F27" s="13" t="s">
        <v>162</v>
      </c>
      <c r="G27" s="157"/>
      <c r="H27" s="48">
        <f t="shared" si="6"/>
        <v>0</v>
      </c>
      <c r="I27" s="120"/>
      <c r="J27" s="207"/>
      <c r="K27" s="166">
        <f t="shared" si="4"/>
        <v>0</v>
      </c>
      <c r="L27" s="160" t="s">
        <v>145</v>
      </c>
      <c r="M27" s="158"/>
      <c r="N27" s="166">
        <f t="shared" si="5"/>
        <v>0</v>
      </c>
      <c r="O27" s="161" t="s">
        <v>142</v>
      </c>
      <c r="P27" s="158"/>
      <c r="Q27" s="168"/>
      <c r="R27" s="13"/>
      <c r="S27" s="158"/>
      <c r="T27" s="175"/>
      <c r="U27" s="120"/>
      <c r="V27" s="183"/>
      <c r="W27" s="175"/>
      <c r="X27" s="222"/>
      <c r="Y27" s="222"/>
      <c r="Z27" s="175"/>
      <c r="AE27" s="172">
        <v>673050</v>
      </c>
    </row>
    <row r="28" spans="2:33" ht="14.25" customHeight="1" x14ac:dyDescent="0.25">
      <c r="B28" s="154" t="s">
        <v>139</v>
      </c>
      <c r="C28" s="155">
        <v>6011</v>
      </c>
      <c r="D28" s="155">
        <v>28040</v>
      </c>
      <c r="E28" s="156">
        <v>673060</v>
      </c>
      <c r="F28" s="13" t="s">
        <v>163</v>
      </c>
      <c r="G28" s="157"/>
      <c r="H28" s="48">
        <f t="shared" si="6"/>
        <v>0</v>
      </c>
      <c r="I28" s="120"/>
      <c r="J28" s="207"/>
      <c r="K28" s="166">
        <f t="shared" si="4"/>
        <v>0</v>
      </c>
      <c r="L28" s="160" t="s">
        <v>145</v>
      </c>
      <c r="M28" s="158"/>
      <c r="N28" s="166">
        <f t="shared" si="5"/>
        <v>0</v>
      </c>
      <c r="O28" s="161" t="s">
        <v>142</v>
      </c>
      <c r="P28" s="158"/>
      <c r="Q28" s="168"/>
      <c r="R28" s="13"/>
      <c r="S28" s="158"/>
      <c r="T28" s="175"/>
      <c r="U28" s="120"/>
      <c r="V28" s="183"/>
      <c r="W28" s="175"/>
      <c r="X28" s="222"/>
      <c r="Y28" s="222"/>
      <c r="Z28" s="175"/>
      <c r="AE28" s="172">
        <v>673060</v>
      </c>
    </row>
    <row r="29" spans="2:33" ht="14.25" customHeight="1" x14ac:dyDescent="0.25">
      <c r="B29" s="154" t="s">
        <v>139</v>
      </c>
      <c r="C29" s="155">
        <v>6011</v>
      </c>
      <c r="D29" s="155">
        <v>28040</v>
      </c>
      <c r="E29" s="156">
        <v>673070</v>
      </c>
      <c r="F29" s="13" t="s">
        <v>164</v>
      </c>
      <c r="G29" s="157"/>
      <c r="H29" s="48">
        <f t="shared" si="6"/>
        <v>0</v>
      </c>
      <c r="I29" s="120"/>
      <c r="J29" s="207"/>
      <c r="K29" s="159">
        <f t="shared" si="4"/>
        <v>0</v>
      </c>
      <c r="L29" s="160" t="s">
        <v>145</v>
      </c>
      <c r="M29" s="158"/>
      <c r="N29" s="159">
        <f t="shared" si="5"/>
        <v>0</v>
      </c>
      <c r="O29" s="161" t="s">
        <v>142</v>
      </c>
      <c r="P29" s="158"/>
      <c r="Q29" s="164"/>
      <c r="R29" s="13"/>
      <c r="S29" s="158"/>
      <c r="T29" s="162"/>
      <c r="U29" s="120"/>
      <c r="V29" s="183"/>
      <c r="W29" s="162"/>
      <c r="X29" s="222"/>
      <c r="Y29" s="222"/>
      <c r="Z29" s="162"/>
      <c r="AE29" s="165">
        <v>673070</v>
      </c>
    </row>
    <row r="30" spans="2:33" ht="14.25" customHeight="1" x14ac:dyDescent="0.25">
      <c r="B30" s="154" t="s">
        <v>139</v>
      </c>
      <c r="C30" s="155">
        <v>6011</v>
      </c>
      <c r="D30" s="155">
        <v>28040</v>
      </c>
      <c r="E30" s="156">
        <v>673080</v>
      </c>
      <c r="F30" s="13" t="s">
        <v>165</v>
      </c>
      <c r="G30" s="157"/>
      <c r="H30" s="48">
        <f t="shared" si="6"/>
        <v>0</v>
      </c>
      <c r="I30" s="120"/>
      <c r="J30" s="207"/>
      <c r="K30" s="159">
        <f t="shared" si="4"/>
        <v>0</v>
      </c>
      <c r="L30" s="160" t="s">
        <v>142</v>
      </c>
      <c r="M30" s="158"/>
      <c r="N30" s="159">
        <f t="shared" si="5"/>
        <v>0</v>
      </c>
      <c r="O30" s="161" t="s">
        <v>142</v>
      </c>
      <c r="P30" s="158"/>
      <c r="Q30" s="164"/>
      <c r="R30" s="13"/>
      <c r="S30" s="158"/>
      <c r="T30" s="162"/>
      <c r="U30" s="120"/>
      <c r="V30" s="183"/>
      <c r="W30" s="162"/>
      <c r="X30" s="222"/>
      <c r="Y30" s="222"/>
      <c r="Z30" s="162"/>
      <c r="AE30" s="165">
        <v>673080</v>
      </c>
    </row>
    <row r="31" spans="2:33" ht="14.25" customHeight="1" x14ac:dyDescent="0.25">
      <c r="B31" s="154" t="s">
        <v>139</v>
      </c>
      <c r="C31" s="155">
        <v>6011</v>
      </c>
      <c r="D31" s="155">
        <v>28040</v>
      </c>
      <c r="E31" s="156">
        <v>673090</v>
      </c>
      <c r="F31" s="13" t="s">
        <v>166</v>
      </c>
      <c r="G31" s="157"/>
      <c r="H31" s="48">
        <f t="shared" si="6"/>
        <v>0</v>
      </c>
      <c r="I31" s="120"/>
      <c r="J31" s="207"/>
      <c r="K31" s="166">
        <f t="shared" si="4"/>
        <v>0</v>
      </c>
      <c r="L31" s="160" t="s">
        <v>145</v>
      </c>
      <c r="M31" s="158"/>
      <c r="N31" s="166">
        <f>+T31+Z31</f>
        <v>0</v>
      </c>
      <c r="O31" s="161" t="s">
        <v>145</v>
      </c>
      <c r="P31" s="158"/>
      <c r="Q31" s="168"/>
      <c r="R31" s="13"/>
      <c r="S31" s="158"/>
      <c r="T31" s="175"/>
      <c r="U31" s="120"/>
      <c r="V31" s="183"/>
      <c r="W31" s="175"/>
      <c r="X31" s="222"/>
      <c r="Y31" s="222"/>
      <c r="Z31" s="175"/>
      <c r="AE31" s="172">
        <v>673090</v>
      </c>
    </row>
    <row r="32" spans="2:33" ht="14.25" customHeight="1" x14ac:dyDescent="0.25">
      <c r="B32" s="154" t="s">
        <v>139</v>
      </c>
      <c r="C32" s="155">
        <v>6011</v>
      </c>
      <c r="D32" s="155">
        <v>28040</v>
      </c>
      <c r="E32" s="156">
        <v>673120</v>
      </c>
      <c r="F32" s="13" t="s">
        <v>167</v>
      </c>
      <c r="G32" s="157"/>
      <c r="H32" s="48">
        <f t="shared" si="6"/>
        <v>166166.03</v>
      </c>
      <c r="I32" s="120"/>
      <c r="J32" s="207"/>
      <c r="K32" s="159">
        <f t="shared" si="4"/>
        <v>146606.91</v>
      </c>
      <c r="L32" s="160" t="s">
        <v>142</v>
      </c>
      <c r="M32" s="158"/>
      <c r="N32" s="159">
        <f t="shared" si="5"/>
        <v>19559.120000000003</v>
      </c>
      <c r="O32" s="161" t="s">
        <v>142</v>
      </c>
      <c r="P32" s="158"/>
      <c r="Q32" s="164">
        <v>149465.47</v>
      </c>
      <c r="R32" s="13"/>
      <c r="S32" s="158"/>
      <c r="T32" s="164">
        <v>19598.060000000001</v>
      </c>
      <c r="U32" s="120"/>
      <c r="V32" s="183"/>
      <c r="W32" s="164">
        <v>-2858.56</v>
      </c>
      <c r="X32" s="221"/>
      <c r="Y32" s="221"/>
      <c r="Z32" s="164">
        <v>-38.94</v>
      </c>
      <c r="AE32" s="165">
        <v>673120</v>
      </c>
    </row>
    <row r="33" spans="2:32" ht="14.25" customHeight="1" x14ac:dyDescent="0.25">
      <c r="B33" s="154" t="s">
        <v>139</v>
      </c>
      <c r="C33" s="155">
        <v>6011</v>
      </c>
      <c r="D33" s="155">
        <v>28040</v>
      </c>
      <c r="E33" s="156">
        <v>673130</v>
      </c>
      <c r="F33" s="13" t="s">
        <v>168</v>
      </c>
      <c r="G33" s="157"/>
      <c r="H33" s="48">
        <f t="shared" si="6"/>
        <v>0</v>
      </c>
      <c r="I33" s="120"/>
      <c r="J33" s="207"/>
      <c r="K33" s="159">
        <f t="shared" si="4"/>
        <v>0</v>
      </c>
      <c r="L33" s="160" t="s">
        <v>142</v>
      </c>
      <c r="M33" s="158"/>
      <c r="N33" s="159">
        <f t="shared" si="5"/>
        <v>0</v>
      </c>
      <c r="O33" s="161" t="s">
        <v>142</v>
      </c>
      <c r="P33" s="158"/>
      <c r="Q33" s="162"/>
      <c r="R33" s="13"/>
      <c r="S33" s="158"/>
      <c r="T33" s="162"/>
      <c r="U33" s="120"/>
      <c r="V33" s="183"/>
      <c r="W33" s="164"/>
      <c r="X33" s="208"/>
      <c r="Y33" s="209"/>
      <c r="Z33" s="164"/>
      <c r="AE33" s="165">
        <v>673130</v>
      </c>
    </row>
    <row r="34" spans="2:32" ht="14.25" customHeight="1" x14ac:dyDescent="0.25">
      <c r="B34" s="154" t="s">
        <v>139</v>
      </c>
      <c r="C34" s="155">
        <v>6011</v>
      </c>
      <c r="D34" s="155">
        <v>28040</v>
      </c>
      <c r="E34" s="156">
        <v>673140</v>
      </c>
      <c r="F34" s="13" t="s">
        <v>169</v>
      </c>
      <c r="G34" s="157"/>
      <c r="H34" s="48">
        <f t="shared" si="6"/>
        <v>0</v>
      </c>
      <c r="I34" s="120"/>
      <c r="J34" s="207"/>
      <c r="K34" s="166">
        <f t="shared" si="4"/>
        <v>0</v>
      </c>
      <c r="L34" s="160" t="s">
        <v>145</v>
      </c>
      <c r="M34" s="158"/>
      <c r="N34" s="166">
        <f>+T34+Z34</f>
        <v>0</v>
      </c>
      <c r="O34" s="161" t="s">
        <v>145</v>
      </c>
      <c r="P34" s="158"/>
      <c r="Q34" s="175"/>
      <c r="R34" s="13"/>
      <c r="S34" s="158"/>
      <c r="T34" s="168"/>
      <c r="U34" s="120"/>
      <c r="V34" s="183"/>
      <c r="W34" s="175"/>
      <c r="X34" s="118"/>
      <c r="Y34" s="163"/>
      <c r="Z34" s="175"/>
      <c r="AE34" s="172">
        <v>673140</v>
      </c>
    </row>
    <row r="35" spans="2:32" ht="14.25" customHeight="1" x14ac:dyDescent="0.25">
      <c r="B35" s="154" t="s">
        <v>139</v>
      </c>
      <c r="C35" s="155">
        <v>6011</v>
      </c>
      <c r="D35" s="155">
        <v>28040</v>
      </c>
      <c r="E35" s="156">
        <v>673160</v>
      </c>
      <c r="F35" s="13" t="s">
        <v>170</v>
      </c>
      <c r="G35" s="157"/>
      <c r="H35" s="48">
        <f t="shared" si="6"/>
        <v>0</v>
      </c>
      <c r="I35" s="120"/>
      <c r="J35" s="207"/>
      <c r="K35" s="166">
        <f t="shared" si="4"/>
        <v>0</v>
      </c>
      <c r="L35" s="160" t="s">
        <v>145</v>
      </c>
      <c r="M35" s="158"/>
      <c r="N35" s="166">
        <f>+T35+Z35</f>
        <v>0</v>
      </c>
      <c r="O35" s="161" t="s">
        <v>145</v>
      </c>
      <c r="P35" s="158"/>
      <c r="Q35" s="175"/>
      <c r="R35" s="13"/>
      <c r="S35" s="158"/>
      <c r="T35" s="175"/>
      <c r="U35" s="120"/>
      <c r="V35" s="183"/>
      <c r="W35" s="175"/>
      <c r="X35" s="118"/>
      <c r="Y35" s="163"/>
      <c r="Z35" s="175"/>
      <c r="AE35" s="172">
        <v>673160</v>
      </c>
    </row>
    <row r="36" spans="2:32" ht="14.25" customHeight="1" x14ac:dyDescent="0.25">
      <c r="B36" s="154" t="s">
        <v>139</v>
      </c>
      <c r="C36" s="155">
        <v>6011</v>
      </c>
      <c r="D36" s="155">
        <v>28040</v>
      </c>
      <c r="E36" s="156">
        <v>673180</v>
      </c>
      <c r="F36" s="13" t="s">
        <v>171</v>
      </c>
      <c r="G36" s="157"/>
      <c r="H36" s="48">
        <f t="shared" si="6"/>
        <v>0</v>
      </c>
      <c r="I36" s="120"/>
      <c r="J36" s="207"/>
      <c r="K36" s="159">
        <f>+Q36+W36</f>
        <v>0</v>
      </c>
      <c r="L36" s="160" t="s">
        <v>142</v>
      </c>
      <c r="M36" s="158"/>
      <c r="N36" s="159">
        <f>+T36+Z36</f>
        <v>0</v>
      </c>
      <c r="O36" s="161" t="s">
        <v>142</v>
      </c>
      <c r="P36" s="158"/>
      <c r="Q36" s="162"/>
      <c r="R36" s="13"/>
      <c r="S36" s="158"/>
      <c r="T36" s="162"/>
      <c r="U36" s="120"/>
      <c r="V36" s="183"/>
      <c r="W36" s="162"/>
      <c r="X36" s="222"/>
      <c r="Y36" s="222"/>
      <c r="Z36" s="162"/>
      <c r="AE36" s="165">
        <v>673180</v>
      </c>
    </row>
    <row r="37" spans="2:32" ht="14.25" customHeight="1" x14ac:dyDescent="0.25">
      <c r="B37" s="154" t="s">
        <v>139</v>
      </c>
      <c r="C37" s="155">
        <v>6011</v>
      </c>
      <c r="D37" s="155">
        <v>28040</v>
      </c>
      <c r="E37" s="156">
        <v>673190</v>
      </c>
      <c r="F37" s="190" t="s">
        <v>172</v>
      </c>
      <c r="G37" s="157"/>
      <c r="H37" s="92">
        <f t="shared" si="6"/>
        <v>0</v>
      </c>
      <c r="I37" s="120"/>
      <c r="J37" s="207"/>
      <c r="K37" s="166">
        <f t="shared" si="4"/>
        <v>0</v>
      </c>
      <c r="L37" s="160" t="s">
        <v>145</v>
      </c>
      <c r="M37" s="213"/>
      <c r="N37" s="166">
        <f>+T37+Z37</f>
        <v>0</v>
      </c>
      <c r="O37" s="161" t="s">
        <v>145</v>
      </c>
      <c r="P37" s="213"/>
      <c r="Q37" s="175"/>
      <c r="R37" s="13"/>
      <c r="S37" s="213"/>
      <c r="T37" s="194"/>
      <c r="U37" s="120"/>
      <c r="V37" s="223"/>
      <c r="W37" s="175"/>
      <c r="X37" s="118"/>
      <c r="Y37" s="163"/>
      <c r="Z37" s="175"/>
      <c r="AE37" s="172">
        <v>673190</v>
      </c>
    </row>
    <row r="38" spans="2:32" ht="15" x14ac:dyDescent="0.25">
      <c r="F38" s="13" t="s">
        <v>173</v>
      </c>
      <c r="G38" s="93"/>
      <c r="H38" s="48">
        <f>SUM(H24:H37)</f>
        <v>638650.66</v>
      </c>
      <c r="I38" s="120"/>
      <c r="J38" s="217"/>
      <c r="K38" s="94">
        <f>SUM(K24:K37)</f>
        <v>565382.34000000008</v>
      </c>
      <c r="L38" s="160"/>
      <c r="M38" s="13"/>
      <c r="N38" s="94">
        <f>SUM(N24:N37)</f>
        <v>73268.320000000007</v>
      </c>
      <c r="O38" s="120"/>
      <c r="P38" s="224"/>
      <c r="Q38" s="199">
        <f>SUM(Q24:Q37)</f>
        <v>465371.16000000003</v>
      </c>
      <c r="R38" s="160"/>
      <c r="S38" s="93"/>
      <c r="T38" s="199">
        <f>SUM(T24:T37)</f>
        <v>59399</v>
      </c>
      <c r="U38" s="120"/>
      <c r="W38" s="199">
        <f>SUM(W24:W37)</f>
        <v>100011.18000000001</v>
      </c>
      <c r="Y38" s="225"/>
      <c r="Z38" s="199">
        <f>SUM(Z24:Z37)</f>
        <v>13869.32</v>
      </c>
      <c r="AB38" s="201">
        <f>SUM(AB24:AB37)</f>
        <v>0</v>
      </c>
      <c r="AC38" s="201">
        <f>SUM(AC24:AC37)</f>
        <v>0</v>
      </c>
      <c r="AD38" s="201"/>
    </row>
    <row r="39" spans="2:32" ht="14.1" customHeight="1" x14ac:dyDescent="0.25">
      <c r="F39" s="219"/>
      <c r="G39" s="13"/>
      <c r="H39" s="197"/>
      <c r="I39" s="120"/>
      <c r="J39" s="217"/>
      <c r="K39" s="226"/>
      <c r="L39" s="163"/>
      <c r="M39" s="217"/>
      <c r="N39" s="226"/>
      <c r="O39" s="120"/>
      <c r="P39" s="227"/>
      <c r="Q39" s="228"/>
      <c r="R39" s="224"/>
      <c r="S39" s="227"/>
      <c r="T39" s="228"/>
      <c r="U39" s="120"/>
      <c r="V39" s="229"/>
      <c r="W39" s="197"/>
      <c r="Z39" s="85"/>
      <c r="AB39" s="119"/>
      <c r="AC39" s="119"/>
      <c r="AD39" s="119"/>
    </row>
    <row r="40" spans="2:32" ht="15.75" customHeight="1" x14ac:dyDescent="0.25">
      <c r="F40" s="93" t="s">
        <v>174</v>
      </c>
      <c r="G40" s="93">
        <f>+G38+G22+G15</f>
        <v>14368947</v>
      </c>
      <c r="H40" s="48">
        <f>+H38+H22+H15</f>
        <v>7164495.1200000001</v>
      </c>
      <c r="I40" s="120"/>
      <c r="J40" s="230">
        <f>+J38+J22+J15</f>
        <v>10668116</v>
      </c>
      <c r="K40" s="199">
        <f>+K38+K22+K15</f>
        <v>5581039.4199999999</v>
      </c>
      <c r="L40" s="222"/>
      <c r="M40" s="230">
        <f>+M38+M22+M15</f>
        <v>3700831</v>
      </c>
      <c r="N40" s="199">
        <f>+N38+N22+N15</f>
        <v>1583455.6999999997</v>
      </c>
      <c r="O40" s="139"/>
      <c r="P40" s="231">
        <f>+P38+P22+P15</f>
        <v>10681928</v>
      </c>
      <c r="Q40" s="232">
        <f>+Q38+Q22+Q15</f>
        <v>5638125.9900000002</v>
      </c>
      <c r="R40" s="70"/>
      <c r="S40" s="231">
        <f>+S38+S22+S15</f>
        <v>3687019</v>
      </c>
      <c r="T40" s="232">
        <f>+T38+T22+T15</f>
        <v>1543084.23</v>
      </c>
      <c r="U40" s="120"/>
      <c r="V40" s="233">
        <f>+V38+V22+V15</f>
        <v>-13812</v>
      </c>
      <c r="W40" s="199">
        <f>+W38+W22+W15</f>
        <v>-57086.57</v>
      </c>
      <c r="Y40" s="10">
        <f>+Y38+Y22+Y15</f>
        <v>13812</v>
      </c>
      <c r="Z40" s="199">
        <f>+Z38+Z22+Z15</f>
        <v>40371.469999999994</v>
      </c>
      <c r="AB40" s="201">
        <f>+AB38+AB22+AB15</f>
        <v>0</v>
      </c>
      <c r="AC40" s="201">
        <f>+AC38+AC22+AC15</f>
        <v>0</v>
      </c>
      <c r="AD40" s="201"/>
      <c r="AE40" s="210"/>
    </row>
    <row r="41" spans="2:32" ht="14.1" customHeight="1" x14ac:dyDescent="0.25">
      <c r="H41" s="234"/>
      <c r="I41" s="120"/>
      <c r="J41" s="183"/>
      <c r="K41" s="205"/>
      <c r="L41" s="163"/>
      <c r="M41" s="183"/>
      <c r="N41" s="205"/>
      <c r="O41" s="120"/>
      <c r="P41" s="224"/>
      <c r="Q41" s="73"/>
      <c r="R41" s="224"/>
      <c r="S41" s="224"/>
      <c r="T41" s="73"/>
      <c r="U41" s="120"/>
      <c r="W41" s="85"/>
      <c r="Z41" s="85"/>
    </row>
    <row r="42" spans="2:32" ht="14.1" customHeight="1" x14ac:dyDescent="0.25">
      <c r="C42" s="13" t="s">
        <v>175</v>
      </c>
      <c r="I42" s="120"/>
      <c r="J42" s="235"/>
      <c r="K42" s="9">
        <f>+K8+K9+K10+K11+K12+K13+K14+K18+K26+K27+K28+K31+K34+K35+K37</f>
        <v>1847883.6599999997</v>
      </c>
      <c r="L42" s="163" t="s">
        <v>145</v>
      </c>
      <c r="M42" s="183"/>
      <c r="N42" s="236">
        <f>+N8+N9+N10+N11+N12+N13+N14+N18+N26+N31+N34+N35+N37+N27+N28</f>
        <v>595817.31000000006</v>
      </c>
      <c r="O42" s="161" t="s">
        <v>145</v>
      </c>
      <c r="P42" s="224"/>
      <c r="Q42" s="237">
        <f>+Q8+Q9+Q10+Q11+Q12+Q13+Q14+Q18+Q26+Q27+Q28+Q31+Q34+Q35+Q37</f>
        <v>1861219.7099999997</v>
      </c>
      <c r="R42" s="224"/>
      <c r="S42" s="235"/>
      <c r="T42" s="237">
        <f>+T8+T10+T9+T11+T12+T13+T14+T18+T26+T31+T34+T35+T37+T27+T28</f>
        <v>599654.35000000009</v>
      </c>
      <c r="U42" s="120"/>
      <c r="W42" s="237">
        <f>+W8+W9+W10+W11+W12+W13+W14+W18+W26+W27+W28+W31+W34+W35+W37</f>
        <v>-13336.05</v>
      </c>
      <c r="Z42" s="237">
        <f>Z9+Z10+Z11+Z12+Z13+Z14+Z18+Z26+Z31+Z34+Z35+Z37+Z8+Z27+Z28</f>
        <v>-3837.04</v>
      </c>
      <c r="AB42" s="238">
        <f>+AB8+AB9+AB10+AB11+AB12+AB13+AB14+AB18+AB26+AB27+AB28+AB29+AB31+AB34+AB35+AB37</f>
        <v>0</v>
      </c>
      <c r="AC42" s="238">
        <f>+AC6+AC8+AC9+AC10+AC11+AC12+AC13+AC14+AC18+AC26+AC31+AC34+AC35+AC37</f>
        <v>0</v>
      </c>
    </row>
    <row r="43" spans="2:32" ht="14.1" customHeight="1" x14ac:dyDescent="0.25">
      <c r="C43" s="13" t="s">
        <v>176</v>
      </c>
      <c r="I43" s="120"/>
      <c r="J43" s="235"/>
      <c r="K43" s="9">
        <f>+K6+K7+K17+K24+K25+K30+K32+K33+K36+K19+K20+K21+K29</f>
        <v>3733155.7600000002</v>
      </c>
      <c r="L43" s="163" t="s">
        <v>142</v>
      </c>
      <c r="M43" s="183"/>
      <c r="N43" s="236">
        <f>N6+N7+N17+N24+N25+N30+N32+N33+N36+N19+N20+N21+N29</f>
        <v>987638.38999999978</v>
      </c>
      <c r="O43" s="161" t="s">
        <v>142</v>
      </c>
      <c r="P43" s="224"/>
      <c r="Q43" s="239">
        <f>Q6+Q7+Q17+Q24+Q25+Q30+Q32+Q33+Q36+Q19+Q20+Q21+Q29</f>
        <v>3776906.2800000003</v>
      </c>
      <c r="R43" s="224"/>
      <c r="S43" s="235"/>
      <c r="T43" s="239">
        <f>+T7+T6+T17+T24+T25+T30+T32+T33+T36+T19+T20+T21+T29</f>
        <v>943429.87999999989</v>
      </c>
      <c r="U43" s="120"/>
      <c r="W43" s="239">
        <f>W6+W7+W17+W24+W25+W30+W32+W33+W36+W19+W20+W21+W29</f>
        <v>-43750.520000000004</v>
      </c>
      <c r="Z43" s="239">
        <f>+Z7+Z17+Z24+Z25+Z30+Z32+Z33+Z36+Z19+Z20+Z21+Z29+Z6</f>
        <v>44208.509999999995</v>
      </c>
      <c r="AB43" s="240">
        <f>AB6+AB7+AB17+AB24+AB25+AB30+AB32+AB33+AB36</f>
        <v>0</v>
      </c>
      <c r="AC43" s="240">
        <f>+AC7+AC17+AC24+AC25+AC27+AC28+AC29+AC30+AC32+AC33+AC36</f>
        <v>0</v>
      </c>
    </row>
    <row r="44" spans="2:32" ht="15" customHeight="1" x14ac:dyDescent="0.25">
      <c r="C44" s="13" t="s">
        <v>10</v>
      </c>
      <c r="I44" s="120"/>
      <c r="J44" s="183"/>
      <c r="K44" s="199">
        <f>SUM(K42:K43)</f>
        <v>5581039.4199999999</v>
      </c>
      <c r="L44" s="183"/>
      <c r="M44" s="183"/>
      <c r="N44" s="199">
        <f>SUM(N42:N43)</f>
        <v>1583455.6999999997</v>
      </c>
      <c r="O44" s="120"/>
      <c r="P44" s="224"/>
      <c r="Q44" s="199">
        <f>SUM(Q42:Q43)</f>
        <v>5638125.9900000002</v>
      </c>
      <c r="R44" s="224"/>
      <c r="S44" s="224"/>
      <c r="T44" s="199">
        <f>SUM(T42:T43)</f>
        <v>1543084.23</v>
      </c>
      <c r="U44" s="120"/>
      <c r="W44" s="232">
        <f>SUM(W42:W43)</f>
        <v>-57086.570000000007</v>
      </c>
      <c r="Z44" s="232">
        <f>SUM(Z42:Z43)</f>
        <v>40371.469999999994</v>
      </c>
      <c r="AB44" s="241">
        <f>SUM(AB42:AB43)</f>
        <v>0</v>
      </c>
      <c r="AC44" s="241">
        <f>SUM(AC42:AC43)</f>
        <v>0</v>
      </c>
      <c r="AD44" s="201"/>
      <c r="AE44" s="8">
        <f>+Z44+W44</f>
        <v>-16715.100000000013</v>
      </c>
    </row>
    <row r="45" spans="2:32" ht="15" customHeight="1" x14ac:dyDescent="0.25">
      <c r="AE45" s="8">
        <f>+[3]Invoices!$N$94</f>
        <v>-16715.09542300029</v>
      </c>
      <c r="AF45" s="69" t="s">
        <v>177</v>
      </c>
    </row>
    <row r="46" spans="2:32" ht="15" customHeight="1" x14ac:dyDescent="0.25">
      <c r="J46" s="13" t="s">
        <v>178</v>
      </c>
      <c r="K46" s="242">
        <f>K44+N44</f>
        <v>7164495.1199999992</v>
      </c>
      <c r="P46" s="243" t="s">
        <v>179</v>
      </c>
      <c r="Q46" s="244">
        <f>Q44-Q11-Q12-Q13</f>
        <v>6270067.3499999996</v>
      </c>
      <c r="S46" s="243" t="s">
        <v>179</v>
      </c>
      <c r="T46" s="244">
        <f>T44-T11-T12-T13</f>
        <v>1543895.7</v>
      </c>
      <c r="W46" s="210"/>
      <c r="AE46" s="245">
        <f>+AE44-AE45</f>
        <v>-4.5769997232127935E-3</v>
      </c>
    </row>
    <row r="47" spans="2:32" ht="15" customHeight="1" x14ac:dyDescent="0.25">
      <c r="F47" s="246"/>
      <c r="K47" s="247"/>
      <c r="P47" s="243" t="s">
        <v>180</v>
      </c>
      <c r="Q47" s="244">
        <f>W44</f>
        <v>-57086.570000000007</v>
      </c>
      <c r="R47" s="186"/>
      <c r="S47" s="243" t="s">
        <v>180</v>
      </c>
      <c r="T47" s="244">
        <f>Z44</f>
        <v>40371.469999999994</v>
      </c>
    </row>
    <row r="48" spans="2:32" ht="15" customHeight="1" x14ac:dyDescent="0.25">
      <c r="F48" s="246"/>
      <c r="G48" s="10" t="s">
        <v>181</v>
      </c>
      <c r="Q48" s="248">
        <f>Q46+Q47</f>
        <v>6212980.7799999993</v>
      </c>
      <c r="T48" s="248">
        <f>T46+T47</f>
        <v>1584267.17</v>
      </c>
      <c r="W48" s="249"/>
      <c r="Z48" s="119"/>
    </row>
    <row r="49" spans="2:26" ht="15" customHeight="1" x14ac:dyDescent="0.25">
      <c r="F49" s="246"/>
      <c r="L49" s="250"/>
      <c r="M49" s="251" t="s">
        <v>1</v>
      </c>
      <c r="N49" s="7" t="s">
        <v>182</v>
      </c>
      <c r="Q49" s="244"/>
      <c r="T49" s="244"/>
      <c r="Z49" s="119"/>
    </row>
    <row r="50" spans="2:26" ht="14.1" customHeight="1" x14ac:dyDescent="0.25">
      <c r="L50" s="130"/>
      <c r="M50" s="251" t="s">
        <v>183</v>
      </c>
      <c r="N50" s="7" t="s">
        <v>184</v>
      </c>
      <c r="P50" s="70"/>
      <c r="Z50" s="119"/>
    </row>
    <row r="51" spans="2:26" ht="14.1" customHeight="1" x14ac:dyDescent="0.25">
      <c r="B51" s="10"/>
      <c r="L51" s="130"/>
      <c r="M51" s="251" t="s">
        <v>185</v>
      </c>
      <c r="N51" s="7" t="s">
        <v>186</v>
      </c>
    </row>
    <row r="52" spans="2:26" ht="14.1" customHeight="1" x14ac:dyDescent="0.25">
      <c r="B52" s="252"/>
      <c r="L52" s="130"/>
      <c r="M52" s="251" t="s">
        <v>187</v>
      </c>
      <c r="N52" s="7" t="s">
        <v>188</v>
      </c>
      <c r="W52" s="253"/>
    </row>
    <row r="53" spans="2:26" ht="14.1" customHeight="1" x14ac:dyDescent="0.25">
      <c r="L53" s="130"/>
      <c r="M53" s="251" t="s">
        <v>189</v>
      </c>
      <c r="N53" s="254" t="s">
        <v>13</v>
      </c>
    </row>
    <row r="54" spans="2:26" ht="14.1" customHeight="1" x14ac:dyDescent="0.25">
      <c r="L54" s="130"/>
      <c r="M54" s="251" t="s">
        <v>190</v>
      </c>
      <c r="N54" s="7" t="s">
        <v>191</v>
      </c>
    </row>
    <row r="55" spans="2:26" ht="14.1" customHeight="1" x14ac:dyDescent="0.25">
      <c r="L55" s="130"/>
      <c r="M55" s="251" t="s">
        <v>192</v>
      </c>
      <c r="N55" s="7" t="s">
        <v>193</v>
      </c>
    </row>
    <row r="56" spans="2:26" ht="14.1" customHeight="1" x14ac:dyDescent="0.25">
      <c r="L56" s="130"/>
      <c r="M56" s="251" t="s">
        <v>194</v>
      </c>
      <c r="N56" s="7" t="s">
        <v>195</v>
      </c>
    </row>
    <row r="57" spans="2:26" ht="14.1" customHeight="1" x14ac:dyDescent="0.25">
      <c r="M57" s="255"/>
      <c r="N57" s="7" t="s">
        <v>196</v>
      </c>
    </row>
    <row r="58" spans="2:26" ht="14.1" customHeight="1" thickBot="1" x14ac:dyDescent="0.3">
      <c r="P58" s="256" t="s">
        <v>138</v>
      </c>
      <c r="Q58" s="257"/>
      <c r="R58" s="256"/>
      <c r="S58" s="256" t="s">
        <v>138</v>
      </c>
      <c r="T58" s="257"/>
    </row>
    <row r="59" spans="2:26" ht="14.1" customHeight="1" x14ac:dyDescent="0.25">
      <c r="B59" s="10"/>
      <c r="J59" s="67" t="s">
        <v>197</v>
      </c>
      <c r="K59" s="7" t="s">
        <v>198</v>
      </c>
      <c r="L59" s="69"/>
      <c r="M59" s="2">
        <v>6011</v>
      </c>
      <c r="N59" s="7" t="s">
        <v>199</v>
      </c>
      <c r="P59" s="70" t="e">
        <f ca="1">_xll.GXL(1, N$49,"CURRENCY="&amp;N$54&amp;";"&amp;"WEEKLY=FALSE",N$51,N$52,N$53,N$55,J59,$M59,$N59)</f>
        <v>#NAME?</v>
      </c>
      <c r="Q59" s="258" t="e">
        <f ca="1">_xll.GXL(1, N$50,"CURRENCY="&amp;N$54&amp;";"&amp;"WEEKLY=FALSE",N$51,N$52,N$53,N$55,J59,$M59,$N59)</f>
        <v>#NAME?</v>
      </c>
      <c r="R59" s="186">
        <v>-1</v>
      </c>
      <c r="S59" s="70" t="e">
        <f ca="1">_xll.GXL(1, N$49,"CURRENCY="&amp;N$54&amp;";"&amp;"WEEKLY=FALSE",N$51,N$52,N$53,N$55,K59,$M59,$N59)</f>
        <v>#NAME?</v>
      </c>
      <c r="T59" s="258" t="e">
        <f ca="1">_xll.GXL(1, N$50,"CURRENCY="&amp;N$54&amp;";"&amp;"WEEKLY=FALSE",N$51,N$52,N$53,N$55,K59,$M59,$N59)</f>
        <v>#NAME?</v>
      </c>
      <c r="U59" s="259">
        <v>-4</v>
      </c>
    </row>
    <row r="60" spans="2:26" ht="14.1" customHeight="1" x14ac:dyDescent="0.25">
      <c r="J60" s="67" t="s">
        <v>197</v>
      </c>
      <c r="K60" s="7" t="s">
        <v>198</v>
      </c>
      <c r="L60" s="69"/>
      <c r="M60" s="2">
        <v>6011</v>
      </c>
      <c r="N60" s="2">
        <v>28082</v>
      </c>
      <c r="P60" s="70" t="e">
        <f ca="1">_xll.GXL(1, N$49,"CURRENCY="&amp;N$54&amp;";"&amp;"WEEKLY=FALSE",N$51,N$52,N$53,N$55,J60,$M60,$N60)</f>
        <v>#NAME?</v>
      </c>
      <c r="Q60" s="258" t="e">
        <f ca="1">_xll.GXL(1, N$50,"CURRENCY="&amp;N$54&amp;";"&amp;"WEEKLY=FALSE",N$51,N$52,N$53,N$55,N$56,$M60,$N60)</f>
        <v>#NAME?</v>
      </c>
      <c r="R60" s="186">
        <v>-2</v>
      </c>
      <c r="S60" s="258"/>
      <c r="T60" s="258"/>
      <c r="U60" s="259"/>
    </row>
    <row r="61" spans="2:26" ht="15" x14ac:dyDescent="0.25">
      <c r="J61" s="67" t="s">
        <v>197</v>
      </c>
      <c r="K61" s="7" t="s">
        <v>198</v>
      </c>
      <c r="L61" s="69"/>
      <c r="M61" s="2">
        <v>6011</v>
      </c>
      <c r="N61" s="2">
        <v>28120</v>
      </c>
      <c r="P61" s="70" t="e">
        <f ca="1">_xll.GXL(1, N$49,"CURRENCY="&amp;N$54&amp;";"&amp;"WEEKLY=FALSE",N$51,N$52,N$53,N$55,J61,$M61,$N61)</f>
        <v>#NAME?</v>
      </c>
      <c r="Q61" s="258" t="e">
        <f ca="1">_xll.GXL(1, N$50,"CURRENCY="&amp;N$54&amp;";"&amp;"WEEKLY=FALSE",N$51,N$52,N$53,N$55,J61,$M61,$N61)</f>
        <v>#NAME?</v>
      </c>
      <c r="R61" s="186">
        <v>-3</v>
      </c>
      <c r="S61" s="70" t="e">
        <f ca="1">_xll.GXL(1, N$49,"CURRENCY="&amp;N$54&amp;";"&amp;"WEEKLY=FALSE",N$51,N$52,N$53,N$55,K61,$M61,$N61)</f>
        <v>#NAME?</v>
      </c>
      <c r="T61" s="258" t="e">
        <f ca="1">_xll.GXL(1, N$50,"CURRENCY="&amp;N$54&amp;";"&amp;"WEEKLY=FALSE",N$51,N$52,N$53,N$55,K61,$M61,$N61)</f>
        <v>#NAME?</v>
      </c>
      <c r="U61" s="259">
        <v>-5</v>
      </c>
    </row>
    <row r="62" spans="2:26" ht="14.1" customHeight="1" x14ac:dyDescent="0.25">
      <c r="B62" s="6"/>
      <c r="P62" s="70"/>
      <c r="Q62" s="260" t="e">
        <f ca="1">SUM(Q59:Q61)</f>
        <v>#NAME?</v>
      </c>
      <c r="R62" s="141"/>
      <c r="S62" s="141"/>
      <c r="T62" s="260" t="e">
        <f ca="1">SUM(T59:T61)</f>
        <v>#NAME?</v>
      </c>
      <c r="U62" s="69"/>
    </row>
    <row r="63" spans="2:26" ht="14.1" customHeight="1" x14ac:dyDescent="0.25">
      <c r="P63" s="70"/>
      <c r="Q63" s="258"/>
      <c r="R63" s="70"/>
      <c r="S63" s="70"/>
      <c r="T63" s="258"/>
      <c r="U63" s="69"/>
    </row>
    <row r="69" spans="17:22" ht="14.1" customHeight="1" x14ac:dyDescent="0.25">
      <c r="Q69" s="122">
        <v>9776852</v>
      </c>
      <c r="S69" s="122">
        <v>2278617.61</v>
      </c>
      <c r="T69" s="122">
        <v>2102518</v>
      </c>
      <c r="V69" s="10">
        <v>317389.78000000003</v>
      </c>
    </row>
    <row r="71" spans="17:22" ht="14.1" customHeight="1" x14ac:dyDescent="0.25">
      <c r="S71" s="261">
        <f>+S69/Q69</f>
        <v>0.23306250416800825</v>
      </c>
      <c r="V71" s="262">
        <f>+V69/T69</f>
        <v>0.15095698586171438</v>
      </c>
    </row>
  </sheetData>
  <mergeCells count="15">
    <mergeCell ref="B5:E5"/>
    <mergeCell ref="AB3:AC3"/>
    <mergeCell ref="G4:H4"/>
    <mergeCell ref="J4:K4"/>
    <mergeCell ref="M4:N4"/>
    <mergeCell ref="P4:Q4"/>
    <mergeCell ref="S4:T4"/>
    <mergeCell ref="V4:W4"/>
    <mergeCell ref="Y4:Z4"/>
    <mergeCell ref="V1:Z1"/>
    <mergeCell ref="B2:E2"/>
    <mergeCell ref="J2:N2"/>
    <mergeCell ref="P2:T2"/>
    <mergeCell ref="V2:Z2"/>
    <mergeCell ref="V3:Z3"/>
  </mergeCells>
  <printOptions gridLines="1"/>
  <pageMargins left="0" right="0" top="0.75" bottom="0" header="0.35" footer="0.24"/>
  <pageSetup scale="52" orientation="landscape" cellComments="asDisplayed" r:id="rId1"/>
  <headerFooter alignWithMargins="0">
    <oddHeader>&amp;C&amp;18&amp;A&amp;R&amp;18Page 6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E46F6-6FB1-4EF5-99ED-DF016670D72C}">
  <dimension ref="B1:H27"/>
  <sheetViews>
    <sheetView showGridLines="0" view="pageBreakPreview" zoomScale="60" zoomScaleNormal="115" workbookViewId="0">
      <selection activeCell="C9" sqref="C9"/>
    </sheetView>
  </sheetViews>
  <sheetFormatPr defaultRowHeight="12.75" x14ac:dyDescent="0.2"/>
  <cols>
    <col min="1" max="1" width="1.7109375" style="87" customWidth="1"/>
    <col min="2" max="2" width="13.140625" style="87" customWidth="1"/>
    <col min="3" max="3" width="24.7109375" style="87" customWidth="1"/>
    <col min="4" max="4" width="20.42578125" style="87" customWidth="1"/>
    <col min="5" max="5" width="20.7109375" style="87" customWidth="1"/>
    <col min="6" max="7" width="20.28515625" style="87" customWidth="1"/>
    <col min="8" max="8" width="3.7109375" style="87" customWidth="1"/>
    <col min="9" max="16384" width="9.140625" style="87"/>
  </cols>
  <sheetData>
    <row r="1" spans="2:8" ht="18" customHeight="1" x14ac:dyDescent="0.2">
      <c r="B1" s="303" t="s">
        <v>18</v>
      </c>
      <c r="C1" s="303"/>
      <c r="D1" s="303"/>
      <c r="E1" s="303"/>
      <c r="F1" s="303"/>
      <c r="G1" s="305"/>
      <c r="H1" s="304"/>
    </row>
    <row r="2" spans="2:8" ht="15" x14ac:dyDescent="0.2">
      <c r="B2" s="303" t="s">
        <v>19</v>
      </c>
      <c r="C2" s="302">
        <f>'[1]Core Cost Incurred'!B2</f>
        <v>43976</v>
      </c>
      <c r="D2" s="301"/>
      <c r="E2" s="301"/>
      <c r="F2" s="301"/>
      <c r="G2" s="301"/>
    </row>
    <row r="4" spans="2:8" ht="15" customHeight="1" thickBot="1" x14ac:dyDescent="0.25">
      <c r="B4" s="300"/>
      <c r="C4" s="300"/>
      <c r="D4" s="300"/>
      <c r="E4" s="300"/>
      <c r="F4" s="299"/>
      <c r="G4" s="90"/>
    </row>
    <row r="5" spans="2:8" ht="14.25" x14ac:dyDescent="0.2">
      <c r="B5" s="95"/>
      <c r="C5" s="95"/>
      <c r="D5" s="297" t="s">
        <v>3</v>
      </c>
      <c r="E5" s="297" t="s">
        <v>6</v>
      </c>
      <c r="F5" s="298" t="s">
        <v>9</v>
      </c>
      <c r="G5" s="297" t="s">
        <v>10</v>
      </c>
    </row>
    <row r="6" spans="2:8" ht="15" x14ac:dyDescent="0.25">
      <c r="B6" s="285" t="s">
        <v>11</v>
      </c>
      <c r="C6" s="296"/>
      <c r="D6" s="294">
        <v>692010</v>
      </c>
      <c r="E6" s="294">
        <v>691010</v>
      </c>
      <c r="F6" s="295">
        <v>693010</v>
      </c>
      <c r="G6" s="294"/>
    </row>
    <row r="7" spans="2:8" ht="15.75" customHeight="1" x14ac:dyDescent="0.2">
      <c r="B7" s="271" t="s">
        <v>12</v>
      </c>
      <c r="C7" s="271"/>
      <c r="D7" s="276">
        <v>2734395.9300000006</v>
      </c>
      <c r="E7" s="276">
        <v>1910780.5199999998</v>
      </c>
      <c r="F7" s="293">
        <v>1748485.74</v>
      </c>
      <c r="G7" s="292">
        <v>6393662.1900000004</v>
      </c>
    </row>
    <row r="8" spans="2:8" ht="15.75" customHeight="1" x14ac:dyDescent="0.2">
      <c r="B8" s="271" t="s">
        <v>14</v>
      </c>
      <c r="C8" s="271"/>
      <c r="D8" s="291">
        <f>'[1]Core Cost Incurred'!K42</f>
        <v>1847883.6599999997</v>
      </c>
      <c r="E8" s="291">
        <f>'[1]Core Cost Incurred'!K43</f>
        <v>3733155.7600000002</v>
      </c>
      <c r="F8" s="290">
        <v>0</v>
      </c>
      <c r="G8" s="289">
        <f>SUM(D8:E8)</f>
        <v>5581039.4199999999</v>
      </c>
    </row>
    <row r="9" spans="2:8" ht="15.75" customHeight="1" x14ac:dyDescent="0.2">
      <c r="B9" s="271" t="s">
        <v>15</v>
      </c>
      <c r="C9" s="271"/>
      <c r="D9" s="283">
        <f>D7-D8</f>
        <v>886512.27000000095</v>
      </c>
      <c r="E9" s="288">
        <f>E7-E8</f>
        <v>-1822375.2400000005</v>
      </c>
      <c r="F9" s="288">
        <f>F7-F8</f>
        <v>1748485.74</v>
      </c>
      <c r="G9" s="283">
        <f>G7-G8</f>
        <v>812622.77000000048</v>
      </c>
    </row>
    <row r="10" spans="2:8" ht="15.75" customHeight="1" x14ac:dyDescent="0.2">
      <c r="B10" s="271" t="s">
        <v>21</v>
      </c>
      <c r="C10" s="271"/>
      <c r="D10" s="283">
        <v>2143.4899999999998</v>
      </c>
      <c r="E10" s="287"/>
      <c r="F10" s="286"/>
      <c r="G10" s="283">
        <v>2143.4899999999998</v>
      </c>
    </row>
    <row r="11" spans="2:8" ht="15.75" customHeight="1" x14ac:dyDescent="0.2">
      <c r="B11" s="285" t="s">
        <v>16</v>
      </c>
      <c r="C11" s="285"/>
      <c r="D11" s="283"/>
      <c r="E11" s="283">
        <v>359068.95</v>
      </c>
      <c r="F11" s="284"/>
      <c r="G11" s="283">
        <v>359068.95</v>
      </c>
    </row>
    <row r="12" spans="2:8" ht="15.75" customHeight="1" x14ac:dyDescent="0.25">
      <c r="B12" s="282" t="s">
        <v>17</v>
      </c>
      <c r="C12" s="281"/>
      <c r="D12" s="279">
        <f>+D7-D8+D10</f>
        <v>888655.76000000094</v>
      </c>
      <c r="E12" s="279">
        <f>+E9+E11</f>
        <v>-1463306.2900000005</v>
      </c>
      <c r="F12" s="280">
        <f>+F7-F8</f>
        <v>1748485.74</v>
      </c>
      <c r="G12" s="279">
        <f>G9+G11+G10</f>
        <v>1173835.2100000004</v>
      </c>
    </row>
    <row r="13" spans="2:8" ht="14.25" customHeight="1" x14ac:dyDescent="0.2">
      <c r="D13" s="271"/>
      <c r="E13" s="271"/>
      <c r="F13" s="277"/>
      <c r="G13" s="271"/>
    </row>
    <row r="14" spans="2:8" ht="14.25" customHeight="1" x14ac:dyDescent="0.2">
      <c r="D14" s="271" t="s">
        <v>22</v>
      </c>
      <c r="E14" s="271"/>
      <c r="F14" s="277"/>
      <c r="G14" s="271"/>
    </row>
    <row r="15" spans="2:8" ht="14.25" customHeight="1" x14ac:dyDescent="0.2">
      <c r="D15" s="271"/>
      <c r="E15" s="278"/>
      <c r="F15" s="277"/>
      <c r="G15" s="271"/>
    </row>
    <row r="16" spans="2:8" ht="14.25" customHeight="1" x14ac:dyDescent="0.2">
      <c r="B16" s="268" t="s">
        <v>23</v>
      </c>
      <c r="C16" s="268"/>
      <c r="D16" s="276" t="s">
        <v>4</v>
      </c>
      <c r="E16" s="275" t="s">
        <v>4</v>
      </c>
      <c r="F16" s="274"/>
      <c r="G16" s="264"/>
    </row>
    <row r="17" spans="2:7" ht="14.25" customHeight="1" x14ac:dyDescent="0.2">
      <c r="D17" s="273"/>
      <c r="E17" s="273"/>
      <c r="F17" s="272"/>
      <c r="G17" s="271"/>
    </row>
    <row r="18" spans="2:7" ht="14.25" customHeight="1" x14ac:dyDescent="0.2">
      <c r="D18" s="269">
        <f>-D12</f>
        <v>-888655.76000000094</v>
      </c>
      <c r="E18" s="269">
        <f>-E9-E11</f>
        <v>1463306.2900000005</v>
      </c>
      <c r="F18" s="270">
        <f>-F12</f>
        <v>-1748485.74</v>
      </c>
      <c r="G18" s="269">
        <f>SUM(D18:F18)</f>
        <v>-1173835.2100000004</v>
      </c>
    </row>
    <row r="19" spans="2:7" ht="14.25" customHeight="1" thickBot="1" x14ac:dyDescent="0.25">
      <c r="B19" s="268" t="s">
        <v>24</v>
      </c>
      <c r="C19" s="268"/>
      <c r="D19" s="267" t="s">
        <v>5</v>
      </c>
      <c r="E19" s="266" t="s">
        <v>7</v>
      </c>
      <c r="F19" s="265"/>
      <c r="G19" s="264"/>
    </row>
    <row r="21" spans="2:7" x14ac:dyDescent="0.2">
      <c r="E21" s="91"/>
      <c r="F21" s="89"/>
    </row>
    <row r="22" spans="2:7" x14ac:dyDescent="0.2">
      <c r="E22" s="91"/>
      <c r="F22" s="89"/>
    </row>
    <row r="23" spans="2:7" x14ac:dyDescent="0.2">
      <c r="E23" s="91"/>
      <c r="F23" s="89"/>
    </row>
    <row r="24" spans="2:7" x14ac:dyDescent="0.2">
      <c r="F24" s="89"/>
    </row>
    <row r="27" spans="2:7" x14ac:dyDescent="0.2">
      <c r="B27" s="263"/>
      <c r="C27" s="263"/>
    </row>
  </sheetData>
  <mergeCells count="1">
    <mergeCell ref="B4:E4"/>
  </mergeCells>
  <pageMargins left="0.75" right="0.75" top="0.7" bottom="1" header="0.7" footer="0.5"/>
  <pageSetup scale="67" fitToHeight="0" orientation="portrait" cellComments="asDisplayed" r:id="rId1"/>
  <headerFooter alignWithMargins="0">
    <oddHeader xml:space="preserve">&amp;C&amp;"Arial,Bold"&amp;12&amp;A          </oddHeader>
    <oddFooter>&amp;L&amp;B&amp;"Calibri(Body)"&amp;10 Cascade Natural Gas Corporation&amp;C&amp;B&amp;"Calibri(Body)"&amp;10 Page &amp;P of &amp;N&amp;R&amp;B&amp;"Calibri(Body)"&amp;10 Washington Deferral Accounts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780A18EE4CFF64D8EDA247CCB0BC2F7" ma:contentTypeVersion="56" ma:contentTypeDescription="" ma:contentTypeScope="" ma:versionID="9f51b59ab61d4981ca4e6f938046e6f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2019-09-13T07:00:00+00:00</OpenedDate>
    <SignificantOrder xmlns="dc463f71-b30c-4ab2-9473-d307f9d35888">false</SignificantOrder>
    <Date1 xmlns="dc463f71-b30c-4ab2-9473-d307f9d35888">2020-06-30T07:00:00+00:00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190773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2BBB7595-1F38-4DB5-B1BC-10096D1F9482}"/>
</file>

<file path=customXml/itemProps2.xml><?xml version="1.0" encoding="utf-8"?>
<ds:datastoreItem xmlns:ds="http://schemas.openxmlformats.org/officeDocument/2006/customXml" ds:itemID="{33B188F4-4CEE-4C42-BF1E-6987E65B8AF8}"/>
</file>

<file path=customXml/itemProps3.xml><?xml version="1.0" encoding="utf-8"?>
<ds:datastoreItem xmlns:ds="http://schemas.openxmlformats.org/officeDocument/2006/customXml" ds:itemID="{35A3E516-06D3-4C7C-A972-D40BC484407C}"/>
</file>

<file path=customXml/itemProps4.xml><?xml version="1.0" encoding="utf-8"?>
<ds:datastoreItem xmlns:ds="http://schemas.openxmlformats.org/officeDocument/2006/customXml" ds:itemID="{77D94803-923F-469E-BF7D-48DB3EBB99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WA Rates</vt:lpstr>
      <vt:lpstr>Core Cost Incurred</vt:lpstr>
      <vt:lpstr>DEFERRALS</vt:lpstr>
      <vt:lpstr>'Core Cost Incurred'!Print_Area</vt:lpstr>
      <vt:lpstr>DEFERRALS!Print_Area</vt:lpstr>
      <vt:lpstr>'WA Rates'!Print_Area</vt:lpstr>
      <vt:lpstr>'Core Cost Incurred'!Print_Titles</vt:lpstr>
      <vt:lpstr>'WA Rates'!Print_Titles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Myhrum, Isaac</dc:creator>
  <cp:lastModifiedBy>Myhrum, Isaac</cp:lastModifiedBy>
  <dcterms:created xsi:type="dcterms:W3CDTF">2020-06-25T23:08:48Z</dcterms:created>
  <dcterms:modified xsi:type="dcterms:W3CDTF">2020-06-25T23:16:21Z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0x0101006E56B4D1795A2E4DB2F0B01679ED314A00C780A18EE4CFF64D8EDA247CCB0BC2F7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