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55" windowWidth="18000" windowHeight="10905"/>
  </bookViews>
  <sheets>
    <sheet name="Exhibit ___(TWZ-3)" sheetId="1" r:id="rId1"/>
  </sheets>
  <externalReferences>
    <externalReference r:id="rId2"/>
    <externalReference r:id="rId3"/>
    <externalReference r:id="rId4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Order1" hidden="1">255</definedName>
    <definedName name="B1_Print">#REF!</definedName>
    <definedName name="Bottom">[2]Variance!#REF!</definedName>
    <definedName name="High_Plan">#REF!</definedName>
    <definedName name="LastCell">[2]Variance!#REF!</definedName>
    <definedName name="Low_Plan">#REF!</definedName>
    <definedName name="MD_High1">'[3]Master Data'!$A$2</definedName>
    <definedName name="MD_Low1">'[3]Master Data'!$D$28</definedName>
    <definedName name="_xlnm.Print_Area" localSheetId="0">'Exhibit ___(TWZ-3)'!$I$7:$AA$185</definedName>
    <definedName name="_xlnm.Print_Titles" localSheetId="0">'Exhibit ___(TWZ-3)'!$A:$B,'Exhibit ___(TWZ-3)'!$7:$9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"BWP"</definedName>
    <definedName name="SAPBEXwbID" hidden="1">"45GXL7SXPXL3MHIZ7CHPZQ8ZV"</definedName>
    <definedName name="ST_Bottom1">[2]Variance!#REF!</definedName>
    <definedName name="ST_Top1">[2]Variance!#REF!</definedName>
    <definedName name="ST_Top2">[2]Variance!#REF!</definedName>
    <definedName name="ST_Top3">#REF!</definedName>
    <definedName name="T1_Print">#REF!</definedName>
    <definedName name="wrn.All._.Pages." hidden="1">{#N/A,#N/A,FALSE,"Cover";#N/A,#N/A,FALSE,"Lead Sheet";#N/A,#N/A,FALSE,"T-Accounts";#N/A,#N/A,FALSE,"Ins &amp; Prem ActualEstimates"}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</definedNames>
  <calcPr calcId="145621"/>
</workbook>
</file>

<file path=xl/calcChain.xml><?xml version="1.0" encoding="utf-8"?>
<calcChain xmlns="http://schemas.openxmlformats.org/spreadsheetml/2006/main">
  <c r="Z152" i="1" l="1"/>
  <c r="AA152" i="1" s="1"/>
  <c r="AB152" i="1" s="1"/>
  <c r="AB170" i="1"/>
  <c r="AB166" i="1"/>
  <c r="AB160" i="1"/>
  <c r="AB159" i="1"/>
  <c r="AB158" i="1"/>
  <c r="AB157" i="1"/>
  <c r="AB156" i="1"/>
  <c r="AB153" i="1"/>
  <c r="AB151" i="1"/>
  <c r="AB150" i="1"/>
  <c r="AB149" i="1"/>
  <c r="AB148" i="1"/>
  <c r="AB147" i="1"/>
  <c r="AB146" i="1"/>
  <c r="AB144" i="1"/>
  <c r="AB143" i="1"/>
  <c r="AB142" i="1"/>
  <c r="AB141" i="1"/>
  <c r="AB140" i="1"/>
  <c r="AB139" i="1"/>
  <c r="AB138" i="1"/>
  <c r="AB136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4" i="1"/>
  <c r="AB91" i="1"/>
  <c r="AB79" i="1"/>
  <c r="AB78" i="1"/>
  <c r="AB77" i="1"/>
  <c r="AB76" i="1"/>
  <c r="AB75" i="1"/>
  <c r="AB74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1" i="1"/>
  <c r="AB50" i="1"/>
  <c r="AB49" i="1"/>
  <c r="AB46" i="1"/>
  <c r="AB44" i="1"/>
  <c r="AB43" i="1"/>
  <c r="AB42" i="1"/>
  <c r="AB41" i="1"/>
  <c r="AB40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3" i="1"/>
  <c r="Q262" i="1" l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O170" i="1"/>
  <c r="N170" i="1"/>
  <c r="M170" i="1"/>
  <c r="L170" i="1"/>
  <c r="K170" i="1"/>
  <c r="J170" i="1"/>
  <c r="I170" i="1"/>
  <c r="Q169" i="1"/>
  <c r="P169" i="1"/>
  <c r="Q168" i="1"/>
  <c r="R168" i="1" s="1"/>
  <c r="P168" i="1"/>
  <c r="V168" i="1" s="1"/>
  <c r="Q167" i="1"/>
  <c r="P167" i="1"/>
  <c r="V167" i="1" s="1"/>
  <c r="Q166" i="1"/>
  <c r="P166" i="1"/>
  <c r="W166" i="1" s="1"/>
  <c r="Q165" i="1"/>
  <c r="P165" i="1"/>
  <c r="V165" i="1" s="1"/>
  <c r="H164" i="1"/>
  <c r="H170" i="1" s="1"/>
  <c r="G164" i="1"/>
  <c r="G170" i="1" s="1"/>
  <c r="F164" i="1"/>
  <c r="F170" i="1" s="1"/>
  <c r="E164" i="1"/>
  <c r="E170" i="1" s="1"/>
  <c r="D164" i="1"/>
  <c r="D170" i="1" s="1"/>
  <c r="C164" i="1"/>
  <c r="C170" i="1" s="1"/>
  <c r="AA163" i="1"/>
  <c r="Q163" i="1"/>
  <c r="P163" i="1"/>
  <c r="V163" i="1" s="1"/>
  <c r="Q162" i="1"/>
  <c r="P162" i="1"/>
  <c r="Z162" i="1" s="1"/>
  <c r="AA162" i="1" s="1"/>
  <c r="Q161" i="1"/>
  <c r="P161" i="1"/>
  <c r="Z161" i="1" s="1"/>
  <c r="AA161" i="1" s="1"/>
  <c r="O158" i="1"/>
  <c r="N158" i="1"/>
  <c r="M158" i="1"/>
  <c r="L158" i="1"/>
  <c r="K158" i="1"/>
  <c r="J158" i="1"/>
  <c r="I158" i="1"/>
  <c r="Q157" i="1"/>
  <c r="P157" i="1"/>
  <c r="U157" i="1" s="1"/>
  <c r="Q156" i="1"/>
  <c r="P156" i="1"/>
  <c r="U156" i="1" s="1"/>
  <c r="Q155" i="1"/>
  <c r="P155" i="1"/>
  <c r="V155" i="1" s="1"/>
  <c r="Z155" i="1" s="1"/>
  <c r="AA155" i="1" s="1"/>
  <c r="AB155" i="1" s="1"/>
  <c r="Q154" i="1"/>
  <c r="P154" i="1"/>
  <c r="V154" i="1" s="1"/>
  <c r="Z154" i="1" s="1"/>
  <c r="AA154" i="1" s="1"/>
  <c r="AB154" i="1" s="1"/>
  <c r="Q153" i="1"/>
  <c r="R153" i="1" s="1"/>
  <c r="P153" i="1"/>
  <c r="W153" i="1" s="1"/>
  <c r="H152" i="1"/>
  <c r="G152" i="1"/>
  <c r="F152" i="1"/>
  <c r="E152" i="1"/>
  <c r="D152" i="1"/>
  <c r="C152" i="1"/>
  <c r="H151" i="1"/>
  <c r="G151" i="1"/>
  <c r="F151" i="1"/>
  <c r="E151" i="1"/>
  <c r="Q151" i="1" s="1"/>
  <c r="D151" i="1"/>
  <c r="C151" i="1"/>
  <c r="P151" i="1" s="1"/>
  <c r="U151" i="1" s="1"/>
  <c r="Q150" i="1"/>
  <c r="P150" i="1"/>
  <c r="U150" i="1" s="1"/>
  <c r="Q149" i="1"/>
  <c r="P149" i="1"/>
  <c r="U149" i="1" s="1"/>
  <c r="Q148" i="1"/>
  <c r="R148" i="1" s="1"/>
  <c r="P148" i="1"/>
  <c r="U148" i="1" s="1"/>
  <c r="Q147" i="1"/>
  <c r="P147" i="1"/>
  <c r="U147" i="1" s="1"/>
  <c r="H146" i="1"/>
  <c r="G146" i="1"/>
  <c r="F146" i="1"/>
  <c r="E146" i="1"/>
  <c r="D146" i="1"/>
  <c r="Q146" i="1" s="1"/>
  <c r="C146" i="1"/>
  <c r="Q145" i="1"/>
  <c r="P145" i="1"/>
  <c r="V145" i="1" s="1"/>
  <c r="Y145" i="1" s="1"/>
  <c r="H144" i="1"/>
  <c r="G144" i="1"/>
  <c r="F144" i="1"/>
  <c r="E144" i="1"/>
  <c r="D144" i="1"/>
  <c r="C144" i="1"/>
  <c r="P144" i="1" s="1"/>
  <c r="U144" i="1" s="1"/>
  <c r="Q143" i="1"/>
  <c r="P143" i="1"/>
  <c r="U143" i="1" s="1"/>
  <c r="C143" i="1"/>
  <c r="H142" i="1"/>
  <c r="H158" i="1" s="1"/>
  <c r="G142" i="1"/>
  <c r="F142" i="1"/>
  <c r="F158" i="1" s="1"/>
  <c r="E142" i="1"/>
  <c r="D142" i="1"/>
  <c r="Q142" i="1" s="1"/>
  <c r="C142" i="1"/>
  <c r="Q141" i="1"/>
  <c r="P141" i="1"/>
  <c r="W141" i="1" s="1"/>
  <c r="O138" i="1"/>
  <c r="N138" i="1"/>
  <c r="M138" i="1"/>
  <c r="L138" i="1"/>
  <c r="K138" i="1"/>
  <c r="J138" i="1"/>
  <c r="I138" i="1"/>
  <c r="H138" i="1"/>
  <c r="Q137" i="1"/>
  <c r="P137" i="1"/>
  <c r="V137" i="1" s="1"/>
  <c r="Q136" i="1"/>
  <c r="P136" i="1"/>
  <c r="Q135" i="1"/>
  <c r="P135" i="1"/>
  <c r="V135" i="1" s="1"/>
  <c r="Z135" i="1" s="1"/>
  <c r="AA135" i="1" s="1"/>
  <c r="AB135" i="1" s="1"/>
  <c r="Q134" i="1"/>
  <c r="P134" i="1"/>
  <c r="Z134" i="1" s="1"/>
  <c r="AA134" i="1" s="1"/>
  <c r="Q133" i="1"/>
  <c r="R133" i="1" s="1"/>
  <c r="P133" i="1"/>
  <c r="V133" i="1" s="1"/>
  <c r="G132" i="1"/>
  <c r="G138" i="1" s="1"/>
  <c r="F132" i="1"/>
  <c r="F138" i="1" s="1"/>
  <c r="E132" i="1"/>
  <c r="E138" i="1" s="1"/>
  <c r="D132" i="1"/>
  <c r="C132" i="1"/>
  <c r="C138" i="1" s="1"/>
  <c r="Q131" i="1"/>
  <c r="P131" i="1"/>
  <c r="V131" i="1" s="1"/>
  <c r="Q130" i="1"/>
  <c r="P130" i="1"/>
  <c r="Q129" i="1"/>
  <c r="P129" i="1"/>
  <c r="W129" i="1" s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Q125" i="1"/>
  <c r="P125" i="1"/>
  <c r="W125" i="1" s="1"/>
  <c r="Q124" i="1"/>
  <c r="P124" i="1"/>
  <c r="W124" i="1" s="1"/>
  <c r="Q123" i="1"/>
  <c r="P123" i="1"/>
  <c r="W123" i="1" s="1"/>
  <c r="Q122" i="1"/>
  <c r="P122" i="1"/>
  <c r="W122" i="1" s="1"/>
  <c r="Q121" i="1"/>
  <c r="P121" i="1"/>
  <c r="W121" i="1" s="1"/>
  <c r="Q120" i="1"/>
  <c r="R120" i="1" s="1"/>
  <c r="P120" i="1"/>
  <c r="W120" i="1" s="1"/>
  <c r="T172" i="1"/>
  <c r="O117" i="1"/>
  <c r="N117" i="1"/>
  <c r="M117" i="1"/>
  <c r="L117" i="1"/>
  <c r="K117" i="1"/>
  <c r="J117" i="1"/>
  <c r="I117" i="1"/>
  <c r="Q116" i="1"/>
  <c r="P116" i="1"/>
  <c r="W116" i="1" s="1"/>
  <c r="Q115" i="1"/>
  <c r="P115" i="1"/>
  <c r="W115" i="1" s="1"/>
  <c r="H114" i="1"/>
  <c r="G114" i="1"/>
  <c r="F114" i="1"/>
  <c r="E114" i="1"/>
  <c r="D114" i="1"/>
  <c r="C114" i="1"/>
  <c r="P114" i="1" s="1"/>
  <c r="W114" i="1" s="1"/>
  <c r="H113" i="1"/>
  <c r="H117" i="1" s="1"/>
  <c r="G113" i="1"/>
  <c r="G117" i="1" s="1"/>
  <c r="F113" i="1"/>
  <c r="F117" i="1" s="1"/>
  <c r="E113" i="1"/>
  <c r="D113" i="1"/>
  <c r="D117" i="1" s="1"/>
  <c r="C113" i="1"/>
  <c r="C117" i="1" s="1"/>
  <c r="Q112" i="1"/>
  <c r="P112" i="1"/>
  <c r="W112" i="1" s="1"/>
  <c r="Q111" i="1"/>
  <c r="P111" i="1"/>
  <c r="W111" i="1" s="1"/>
  <c r="Q110" i="1"/>
  <c r="P110" i="1"/>
  <c r="W110" i="1" s="1"/>
  <c r="Q109" i="1"/>
  <c r="P109" i="1"/>
  <c r="W109" i="1" s="1"/>
  <c r="Q108" i="1"/>
  <c r="P108" i="1"/>
  <c r="W108" i="1" s="1"/>
  <c r="Q107" i="1"/>
  <c r="P107" i="1"/>
  <c r="W107" i="1" s="1"/>
  <c r="Q106" i="1"/>
  <c r="R106" i="1" s="1"/>
  <c r="P106" i="1"/>
  <c r="W106" i="1" s="1"/>
  <c r="Q105" i="1"/>
  <c r="P105" i="1"/>
  <c r="W105" i="1" s="1"/>
  <c r="Q104" i="1"/>
  <c r="P104" i="1"/>
  <c r="W104" i="1" s="1"/>
  <c r="Q103" i="1"/>
  <c r="P103" i="1"/>
  <c r="W103" i="1" s="1"/>
  <c r="Q102" i="1"/>
  <c r="P102" i="1"/>
  <c r="W102" i="1" s="1"/>
  <c r="Q101" i="1"/>
  <c r="P101" i="1"/>
  <c r="W101" i="1" s="1"/>
  <c r="O94" i="1"/>
  <c r="N94" i="1"/>
  <c r="M94" i="1"/>
  <c r="L94" i="1"/>
  <c r="K94" i="1"/>
  <c r="J94" i="1"/>
  <c r="I94" i="1"/>
  <c r="G94" i="1"/>
  <c r="C94" i="1"/>
  <c r="Q93" i="1"/>
  <c r="P93" i="1"/>
  <c r="V93" i="1" s="1"/>
  <c r="AB93" i="1" s="1"/>
  <c r="Q92" i="1"/>
  <c r="R92" i="1" s="1"/>
  <c r="P92" i="1"/>
  <c r="Q91" i="1"/>
  <c r="P91" i="1"/>
  <c r="W91" i="1" s="1"/>
  <c r="Q90" i="1"/>
  <c r="P90" i="1"/>
  <c r="V90" i="1" s="1"/>
  <c r="AB90" i="1" s="1"/>
  <c r="Q89" i="1"/>
  <c r="P89" i="1"/>
  <c r="V89" i="1" s="1"/>
  <c r="AB89" i="1" s="1"/>
  <c r="H88" i="1"/>
  <c r="H94" i="1" s="1"/>
  <c r="G88" i="1"/>
  <c r="F88" i="1"/>
  <c r="F94" i="1" s="1"/>
  <c r="E88" i="1"/>
  <c r="E94" i="1" s="1"/>
  <c r="D88" i="1"/>
  <c r="D94" i="1" s="1"/>
  <c r="C88" i="1"/>
  <c r="Q87" i="1"/>
  <c r="P87" i="1"/>
  <c r="V87" i="1" s="1"/>
  <c r="Z87" i="1" s="1"/>
  <c r="AA87" i="1" s="1"/>
  <c r="AB87" i="1" s="1"/>
  <c r="Q86" i="1"/>
  <c r="P86" i="1"/>
  <c r="V86" i="1" s="1"/>
  <c r="Z86" i="1" s="1"/>
  <c r="AA86" i="1" s="1"/>
  <c r="AB86" i="1" s="1"/>
  <c r="Q85" i="1"/>
  <c r="P85" i="1"/>
  <c r="V85" i="1" s="1"/>
  <c r="AB85" i="1" s="1"/>
  <c r="Q84" i="1"/>
  <c r="P84" i="1"/>
  <c r="V84" i="1" s="1"/>
  <c r="AB84" i="1" s="1"/>
  <c r="Q83" i="1"/>
  <c r="P83" i="1"/>
  <c r="V83" i="1" s="1"/>
  <c r="Z83" i="1" s="1"/>
  <c r="AA83" i="1" s="1"/>
  <c r="AB83" i="1" s="1"/>
  <c r="Q82" i="1"/>
  <c r="P82" i="1"/>
  <c r="V82" i="1" s="1"/>
  <c r="Q81" i="1"/>
  <c r="R81" i="1" s="1"/>
  <c r="P81" i="1"/>
  <c r="Z81" i="1" s="1"/>
  <c r="Q80" i="1"/>
  <c r="P80" i="1"/>
  <c r="V80" i="1" s="1"/>
  <c r="AB80" i="1" s="1"/>
  <c r="Q79" i="1"/>
  <c r="P79" i="1"/>
  <c r="O76" i="1"/>
  <c r="N76" i="1"/>
  <c r="M76" i="1"/>
  <c r="L76" i="1"/>
  <c r="K76" i="1"/>
  <c r="J76" i="1"/>
  <c r="I76" i="1"/>
  <c r="Q75" i="1"/>
  <c r="P75" i="1"/>
  <c r="T75" i="1" s="1"/>
  <c r="Q74" i="1"/>
  <c r="R74" i="1" s="1"/>
  <c r="P74" i="1"/>
  <c r="T74" i="1" s="1"/>
  <c r="Q73" i="1"/>
  <c r="P73" i="1"/>
  <c r="V73" i="1" s="1"/>
  <c r="Z73" i="1" s="1"/>
  <c r="AA73" i="1" s="1"/>
  <c r="AB73" i="1" s="1"/>
  <c r="Q72" i="1"/>
  <c r="R72" i="1" s="1"/>
  <c r="P72" i="1"/>
  <c r="V72" i="1" s="1"/>
  <c r="Z72" i="1" s="1"/>
  <c r="AA72" i="1" s="1"/>
  <c r="AB72" i="1" s="1"/>
  <c r="Q71" i="1"/>
  <c r="P71" i="1"/>
  <c r="V71" i="1" s="1"/>
  <c r="Z71" i="1" s="1"/>
  <c r="AA71" i="1" s="1"/>
  <c r="AB71" i="1" s="1"/>
  <c r="Q70" i="1"/>
  <c r="P70" i="1"/>
  <c r="T70" i="1" s="1"/>
  <c r="Q69" i="1"/>
  <c r="P69" i="1"/>
  <c r="T69" i="1" s="1"/>
  <c r="Q68" i="1"/>
  <c r="R68" i="1" s="1"/>
  <c r="P68" i="1"/>
  <c r="T68" i="1" s="1"/>
  <c r="Q67" i="1"/>
  <c r="P67" i="1"/>
  <c r="T67" i="1" s="1"/>
  <c r="H66" i="1"/>
  <c r="G66" i="1"/>
  <c r="F66" i="1"/>
  <c r="E66" i="1"/>
  <c r="D66" i="1"/>
  <c r="Q66" i="1" s="1"/>
  <c r="C66" i="1"/>
  <c r="P66" i="1" s="1"/>
  <c r="T66" i="1" s="1"/>
  <c r="Q65" i="1"/>
  <c r="P65" i="1"/>
  <c r="T65" i="1" s="1"/>
  <c r="Q64" i="1"/>
  <c r="P64" i="1"/>
  <c r="T64" i="1" s="1"/>
  <c r="Q63" i="1"/>
  <c r="P63" i="1"/>
  <c r="T63" i="1" s="1"/>
  <c r="Q62" i="1"/>
  <c r="P62" i="1"/>
  <c r="T62" i="1" s="1"/>
  <c r="Q61" i="1"/>
  <c r="P61" i="1"/>
  <c r="T61" i="1" s="1"/>
  <c r="Q60" i="1"/>
  <c r="P60" i="1"/>
  <c r="T60" i="1" s="1"/>
  <c r="Q59" i="1"/>
  <c r="P59" i="1"/>
  <c r="T59" i="1" s="1"/>
  <c r="Q58" i="1"/>
  <c r="P58" i="1"/>
  <c r="T58" i="1" s="1"/>
  <c r="Q57" i="1"/>
  <c r="R57" i="1" s="1"/>
  <c r="P57" i="1"/>
  <c r="T57" i="1" s="1"/>
  <c r="Q56" i="1"/>
  <c r="P56" i="1"/>
  <c r="T56" i="1" s="1"/>
  <c r="Q55" i="1"/>
  <c r="P55" i="1"/>
  <c r="T55" i="1" s="1"/>
  <c r="Q54" i="1"/>
  <c r="P54" i="1"/>
  <c r="T54" i="1" s="1"/>
  <c r="H53" i="1"/>
  <c r="G53" i="1"/>
  <c r="F53" i="1"/>
  <c r="E53" i="1"/>
  <c r="D53" i="1"/>
  <c r="Q53" i="1" s="1"/>
  <c r="C53" i="1"/>
  <c r="F52" i="1"/>
  <c r="Q52" i="1" s="1"/>
  <c r="C52" i="1"/>
  <c r="Q51" i="1"/>
  <c r="P51" i="1"/>
  <c r="T51" i="1" s="1"/>
  <c r="H50" i="1"/>
  <c r="G50" i="1"/>
  <c r="F50" i="1"/>
  <c r="E50" i="1"/>
  <c r="D50" i="1"/>
  <c r="Q50" i="1" s="1"/>
  <c r="C50" i="1"/>
  <c r="Q49" i="1"/>
  <c r="P49" i="1"/>
  <c r="T49" i="1" s="1"/>
  <c r="Q48" i="1"/>
  <c r="P48" i="1"/>
  <c r="V48" i="1" s="1"/>
  <c r="Z48" i="1" s="1"/>
  <c r="AA48" i="1" s="1"/>
  <c r="AB48" i="1" s="1"/>
  <c r="Q47" i="1"/>
  <c r="P47" i="1"/>
  <c r="V47" i="1" s="1"/>
  <c r="Z47" i="1" s="1"/>
  <c r="AA47" i="1" s="1"/>
  <c r="AB47" i="1" s="1"/>
  <c r="Q46" i="1"/>
  <c r="R46" i="1" s="1"/>
  <c r="P46" i="1"/>
  <c r="T46" i="1" s="1"/>
  <c r="Q45" i="1"/>
  <c r="P45" i="1"/>
  <c r="V45" i="1" s="1"/>
  <c r="H44" i="1"/>
  <c r="H76" i="1" s="1"/>
  <c r="G44" i="1"/>
  <c r="G76" i="1" s="1"/>
  <c r="F44" i="1"/>
  <c r="F76" i="1" s="1"/>
  <c r="E44" i="1"/>
  <c r="E76" i="1" s="1"/>
  <c r="D44" i="1"/>
  <c r="D76" i="1" s="1"/>
  <c r="C44" i="1"/>
  <c r="C76" i="1" s="1"/>
  <c r="O41" i="1"/>
  <c r="N41" i="1"/>
  <c r="M41" i="1"/>
  <c r="L41" i="1"/>
  <c r="K41" i="1"/>
  <c r="J41" i="1"/>
  <c r="I41" i="1"/>
  <c r="Q40" i="1"/>
  <c r="P40" i="1"/>
  <c r="Q39" i="1"/>
  <c r="R39" i="1" s="1"/>
  <c r="P39" i="1"/>
  <c r="V39" i="1" s="1"/>
  <c r="Z39" i="1" s="1"/>
  <c r="AA39" i="1" s="1"/>
  <c r="AB39" i="1" s="1"/>
  <c r="Q38" i="1"/>
  <c r="P38" i="1"/>
  <c r="V38" i="1" s="1"/>
  <c r="Z38" i="1" s="1"/>
  <c r="AA38" i="1" s="1"/>
  <c r="AB38" i="1" s="1"/>
  <c r="Q37" i="1"/>
  <c r="P37" i="1"/>
  <c r="V37" i="1" s="1"/>
  <c r="Z37" i="1" s="1"/>
  <c r="AA37" i="1" s="1"/>
  <c r="AB37" i="1" s="1"/>
  <c r="Q36" i="1"/>
  <c r="P36" i="1"/>
  <c r="V36" i="1" s="1"/>
  <c r="Z36" i="1" s="1"/>
  <c r="AA36" i="1" s="1"/>
  <c r="AB36" i="1" s="1"/>
  <c r="Q35" i="1"/>
  <c r="P35" i="1"/>
  <c r="V35" i="1" s="1"/>
  <c r="Z35" i="1" s="1"/>
  <c r="AA35" i="1" s="1"/>
  <c r="AB35" i="1" s="1"/>
  <c r="Q34" i="1"/>
  <c r="P34" i="1"/>
  <c r="V34" i="1" s="1"/>
  <c r="Z34" i="1" s="1"/>
  <c r="AA34" i="1" s="1"/>
  <c r="AB34" i="1" s="1"/>
  <c r="Q33" i="1"/>
  <c r="R33" i="1" s="1"/>
  <c r="P33" i="1"/>
  <c r="V33" i="1" s="1"/>
  <c r="Z33" i="1" s="1"/>
  <c r="AA33" i="1" s="1"/>
  <c r="AB33" i="1" s="1"/>
  <c r="Q32" i="1"/>
  <c r="P32" i="1"/>
  <c r="V32" i="1" s="1"/>
  <c r="Z32" i="1" s="1"/>
  <c r="AA32" i="1" s="1"/>
  <c r="AB32" i="1" s="1"/>
  <c r="H31" i="1"/>
  <c r="H41" i="1" s="1"/>
  <c r="G31" i="1"/>
  <c r="G41" i="1" s="1"/>
  <c r="F31" i="1"/>
  <c r="F41" i="1" s="1"/>
  <c r="E31" i="1"/>
  <c r="E41" i="1" s="1"/>
  <c r="D31" i="1"/>
  <c r="Q31" i="1" s="1"/>
  <c r="C31" i="1"/>
  <c r="C41" i="1" s="1"/>
  <c r="Q30" i="1"/>
  <c r="P30" i="1"/>
  <c r="V30" i="1" s="1"/>
  <c r="Z30" i="1" s="1"/>
  <c r="AA30" i="1" s="1"/>
  <c r="AB30" i="1" s="1"/>
  <c r="Q29" i="1"/>
  <c r="P29" i="1"/>
  <c r="V29" i="1" s="1"/>
  <c r="Z29" i="1" s="1"/>
  <c r="AA29" i="1" s="1"/>
  <c r="AB29" i="1" s="1"/>
  <c r="Q28" i="1"/>
  <c r="P28" i="1"/>
  <c r="V28" i="1" s="1"/>
  <c r="Q25" i="1"/>
  <c r="P25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P17" i="1"/>
  <c r="Q16" i="1"/>
  <c r="P16" i="1"/>
  <c r="Q14" i="1"/>
  <c r="P14" i="1"/>
  <c r="V14" i="1" s="1"/>
  <c r="O13" i="1"/>
  <c r="O15" i="1" s="1"/>
  <c r="O24" i="1" s="1"/>
  <c r="N13" i="1"/>
  <c r="N15" i="1" s="1"/>
  <c r="N24" i="1" s="1"/>
  <c r="M13" i="1"/>
  <c r="M15" i="1" s="1"/>
  <c r="M24" i="1" s="1"/>
  <c r="L13" i="1"/>
  <c r="L15" i="1" s="1"/>
  <c r="L24" i="1" s="1"/>
  <c r="K13" i="1"/>
  <c r="K15" i="1" s="1"/>
  <c r="K24" i="1" s="1"/>
  <c r="J13" i="1"/>
  <c r="J15" i="1" s="1"/>
  <c r="J24" i="1" s="1"/>
  <c r="I13" i="1"/>
  <c r="I15" i="1" s="1"/>
  <c r="I24" i="1" s="1"/>
  <c r="Q12" i="1"/>
  <c r="P12" i="1"/>
  <c r="V12" i="1" s="1"/>
  <c r="Z12" i="1" s="1"/>
  <c r="AA12" i="1" s="1"/>
  <c r="AB12" i="1" s="1"/>
  <c r="H11" i="1"/>
  <c r="H13" i="1" s="1"/>
  <c r="H15" i="1" s="1"/>
  <c r="H24" i="1" s="1"/>
  <c r="G11" i="1"/>
  <c r="G13" i="1" s="1"/>
  <c r="G15" i="1" s="1"/>
  <c r="G24" i="1" s="1"/>
  <c r="F11" i="1"/>
  <c r="F13" i="1" s="1"/>
  <c r="F15" i="1" s="1"/>
  <c r="F24" i="1" s="1"/>
  <c r="E11" i="1"/>
  <c r="E13" i="1" s="1"/>
  <c r="E15" i="1" s="1"/>
  <c r="E24" i="1" s="1"/>
  <c r="D11" i="1"/>
  <c r="Q11" i="1" s="1"/>
  <c r="C11" i="1"/>
  <c r="C13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R29" i="1" l="1"/>
  <c r="R45" i="1"/>
  <c r="R70" i="1"/>
  <c r="P94" i="1"/>
  <c r="V81" i="1"/>
  <c r="R83" i="1"/>
  <c r="P88" i="1"/>
  <c r="AA92" i="1"/>
  <c r="Z92" i="1"/>
  <c r="R101" i="1"/>
  <c r="Q114" i="1"/>
  <c r="R114" i="1" s="1"/>
  <c r="R116" i="1"/>
  <c r="R125" i="1"/>
  <c r="Q126" i="1"/>
  <c r="R129" i="1"/>
  <c r="R141" i="1"/>
  <c r="C158" i="1"/>
  <c r="E158" i="1"/>
  <c r="G158" i="1"/>
  <c r="Q144" i="1"/>
  <c r="R145" i="1"/>
  <c r="P146" i="1"/>
  <c r="U146" i="1" s="1"/>
  <c r="P152" i="1"/>
  <c r="U152" i="1" s="1"/>
  <c r="R155" i="1"/>
  <c r="R162" i="1"/>
  <c r="AB163" i="1"/>
  <c r="AA169" i="1"/>
  <c r="AB169" i="1" s="1"/>
  <c r="Z169" i="1"/>
  <c r="P50" i="1"/>
  <c r="T50" i="1" s="1"/>
  <c r="P52" i="1"/>
  <c r="V52" i="1" s="1"/>
  <c r="Z52" i="1" s="1"/>
  <c r="AA52" i="1" s="1"/>
  <c r="AB52" i="1" s="1"/>
  <c r="P53" i="1"/>
  <c r="T53" i="1" s="1"/>
  <c r="R66" i="1"/>
  <c r="E117" i="1"/>
  <c r="Q117" i="1" s="1"/>
  <c r="AB162" i="1"/>
  <c r="V162" i="1"/>
  <c r="V92" i="1"/>
  <c r="V169" i="1"/>
  <c r="Z133" i="1"/>
  <c r="AA133" i="1" s="1"/>
  <c r="AB133" i="1" s="1"/>
  <c r="Z167" i="1"/>
  <c r="AA167" i="1" s="1"/>
  <c r="AB167" i="1" s="1"/>
  <c r="Z168" i="1"/>
  <c r="AA168" i="1" s="1"/>
  <c r="AB168" i="1" s="1"/>
  <c r="Z82" i="1"/>
  <c r="C15" i="1"/>
  <c r="Z28" i="1"/>
  <c r="D13" i="1"/>
  <c r="P13" i="1" s="1"/>
  <c r="R14" i="1"/>
  <c r="Z14" i="1"/>
  <c r="AA14" i="1" s="1"/>
  <c r="AB14" i="1" s="1"/>
  <c r="R37" i="1"/>
  <c r="D41" i="1"/>
  <c r="Q41" i="1" s="1"/>
  <c r="J96" i="1"/>
  <c r="L96" i="1"/>
  <c r="N96" i="1"/>
  <c r="AA81" i="1"/>
  <c r="AB81" i="1" s="1"/>
  <c r="Z88" i="1"/>
  <c r="AA88" i="1" s="1"/>
  <c r="V88" i="1"/>
  <c r="E96" i="1"/>
  <c r="I96" i="1"/>
  <c r="K96" i="1"/>
  <c r="M96" i="1"/>
  <c r="O96" i="1"/>
  <c r="R12" i="1"/>
  <c r="R28" i="1"/>
  <c r="R30" i="1"/>
  <c r="P11" i="1"/>
  <c r="X96" i="1"/>
  <c r="P31" i="1"/>
  <c r="V31" i="1" s="1"/>
  <c r="Q76" i="1"/>
  <c r="R50" i="1"/>
  <c r="R52" i="1"/>
  <c r="R53" i="1"/>
  <c r="Q94" i="1"/>
  <c r="R94" i="1" s="1"/>
  <c r="F96" i="1"/>
  <c r="H96" i="1"/>
  <c r="G96" i="1"/>
  <c r="P44" i="1"/>
  <c r="R47" i="1"/>
  <c r="R48" i="1"/>
  <c r="R49" i="1"/>
  <c r="R51" i="1"/>
  <c r="R54" i="1"/>
  <c r="R69" i="1"/>
  <c r="R71" i="1"/>
  <c r="R73" i="1"/>
  <c r="R79" i="1"/>
  <c r="R82" i="1"/>
  <c r="AA82" i="1"/>
  <c r="AB82" i="1" s="1"/>
  <c r="R87" i="1"/>
  <c r="Q88" i="1"/>
  <c r="R88" i="1" s="1"/>
  <c r="R91" i="1"/>
  <c r="R102" i="1"/>
  <c r="R109" i="1"/>
  <c r="Q113" i="1"/>
  <c r="V130" i="1"/>
  <c r="AB130" i="1" s="1"/>
  <c r="X172" i="1"/>
  <c r="Z131" i="1"/>
  <c r="Q44" i="1"/>
  <c r="Z45" i="1"/>
  <c r="AA45" i="1" s="1"/>
  <c r="AB45" i="1" s="1"/>
  <c r="W79" i="1"/>
  <c r="P113" i="1"/>
  <c r="W113" i="1" s="1"/>
  <c r="P126" i="1"/>
  <c r="R126" i="1" s="1"/>
  <c r="R124" i="1"/>
  <c r="R131" i="1"/>
  <c r="Q132" i="1"/>
  <c r="D138" i="1"/>
  <c r="Q138" i="1" s="1"/>
  <c r="P132" i="1"/>
  <c r="R144" i="1"/>
  <c r="AA145" i="1"/>
  <c r="AB145" i="1" s="1"/>
  <c r="R146" i="1"/>
  <c r="V134" i="1"/>
  <c r="AB134" i="1" s="1"/>
  <c r="R135" i="1"/>
  <c r="R137" i="1"/>
  <c r="Z137" i="1"/>
  <c r="AA137" i="1" s="1"/>
  <c r="AB137" i="1" s="1"/>
  <c r="P142" i="1"/>
  <c r="U142" i="1" s="1"/>
  <c r="U172" i="1" s="1"/>
  <c r="R147" i="1"/>
  <c r="R151" i="1"/>
  <c r="R154" i="1"/>
  <c r="D158" i="1"/>
  <c r="Q158" i="1" s="1"/>
  <c r="Q170" i="1"/>
  <c r="F172" i="1"/>
  <c r="H172" i="1"/>
  <c r="R165" i="1"/>
  <c r="J172" i="1"/>
  <c r="L172" i="1"/>
  <c r="N172" i="1"/>
  <c r="Y172" i="1"/>
  <c r="I172" i="1"/>
  <c r="K172" i="1"/>
  <c r="M172" i="1"/>
  <c r="O172" i="1"/>
  <c r="Q152" i="1"/>
  <c r="R152" i="1" s="1"/>
  <c r="R156" i="1"/>
  <c r="V161" i="1"/>
  <c r="AB161" i="1" s="1"/>
  <c r="R161" i="1"/>
  <c r="C172" i="1"/>
  <c r="E172" i="1"/>
  <c r="G172" i="1"/>
  <c r="Q164" i="1"/>
  <c r="Z165" i="1"/>
  <c r="AA165" i="1" s="1"/>
  <c r="AB165" i="1" s="1"/>
  <c r="P164" i="1"/>
  <c r="R169" i="1"/>
  <c r="R44" i="1" l="1"/>
  <c r="AB88" i="1"/>
  <c r="P138" i="1"/>
  <c r="Z132" i="1"/>
  <c r="V132" i="1"/>
  <c r="AB92" i="1"/>
  <c r="Z31" i="1"/>
  <c r="AA31" i="1" s="1"/>
  <c r="AB31" i="1" s="1"/>
  <c r="X178" i="1"/>
  <c r="X183" i="1" s="1"/>
  <c r="Z164" i="1"/>
  <c r="AA164" i="1" s="1"/>
  <c r="V164" i="1"/>
  <c r="U176" i="1"/>
  <c r="R138" i="1"/>
  <c r="R142" i="1"/>
  <c r="AA131" i="1"/>
  <c r="AB131" i="1" s="1"/>
  <c r="W172" i="1"/>
  <c r="P76" i="1"/>
  <c r="T44" i="1"/>
  <c r="F174" i="1"/>
  <c r="F97" i="1"/>
  <c r="R76" i="1"/>
  <c r="W96" i="1"/>
  <c r="Z11" i="1"/>
  <c r="V11" i="1"/>
  <c r="Y96" i="1"/>
  <c r="Y178" i="1" s="1"/>
  <c r="O174" i="1"/>
  <c r="O97" i="1"/>
  <c r="K174" i="1"/>
  <c r="K97" i="1"/>
  <c r="E174" i="1"/>
  <c r="E97" i="1"/>
  <c r="N174" i="1"/>
  <c r="N97" i="1"/>
  <c r="J174" i="1"/>
  <c r="J97" i="1"/>
  <c r="R11" i="1"/>
  <c r="R164" i="1"/>
  <c r="P170" i="1"/>
  <c r="R170" i="1" s="1"/>
  <c r="D172" i="1"/>
  <c r="Q172" i="1" s="1"/>
  <c r="AA132" i="1"/>
  <c r="AB132" i="1" s="1"/>
  <c r="R132" i="1"/>
  <c r="P117" i="1"/>
  <c r="R117" i="1" s="1"/>
  <c r="P158" i="1"/>
  <c r="R158" i="1" s="1"/>
  <c r="V172" i="1"/>
  <c r="R113" i="1"/>
  <c r="G174" i="1"/>
  <c r="G97" i="1"/>
  <c r="H174" i="1"/>
  <c r="H97" i="1"/>
  <c r="M174" i="1"/>
  <c r="M97" i="1"/>
  <c r="I174" i="1"/>
  <c r="I97" i="1"/>
  <c r="L174" i="1"/>
  <c r="L97" i="1"/>
  <c r="P41" i="1"/>
  <c r="R41" i="1" s="1"/>
  <c r="Q13" i="1"/>
  <c r="R13" i="1" s="1"/>
  <c r="D15" i="1"/>
  <c r="R31" i="1"/>
  <c r="AA28" i="1"/>
  <c r="AB28" i="1" s="1"/>
  <c r="C24" i="1"/>
  <c r="AB164" i="1" l="1"/>
  <c r="P173" i="1"/>
  <c r="W178" i="1"/>
  <c r="Y183" i="1"/>
  <c r="C96" i="1"/>
  <c r="D24" i="1"/>
  <c r="Q15" i="1"/>
  <c r="Z96" i="1"/>
  <c r="AA11" i="1"/>
  <c r="AB11" i="1" s="1"/>
  <c r="P172" i="1"/>
  <c r="R172" i="1" s="1"/>
  <c r="P15" i="1"/>
  <c r="V96" i="1"/>
  <c r="Z172" i="1"/>
  <c r="T96" i="1"/>
  <c r="R15" i="1" l="1"/>
  <c r="V178" i="1"/>
  <c r="W179" i="1" s="1"/>
  <c r="C174" i="1"/>
  <c r="C97" i="1"/>
  <c r="P97" i="1"/>
  <c r="T176" i="1"/>
  <c r="Z178" i="1"/>
  <c r="Q24" i="1"/>
  <c r="D96" i="1"/>
  <c r="P24" i="1"/>
  <c r="P174" i="1"/>
  <c r="D174" i="1" l="1"/>
  <c r="Q96" i="1"/>
  <c r="D97" i="1"/>
  <c r="Z183" i="1"/>
  <c r="AA183" i="1" s="1"/>
  <c r="AA178" i="1"/>
  <c r="Z180" i="1" s="1"/>
  <c r="P96" i="1"/>
  <c r="R24" i="1"/>
  <c r="Z184" i="1" l="1"/>
  <c r="Z185" i="1" s="1"/>
  <c r="Z181" i="1"/>
  <c r="X180" i="1"/>
  <c r="Y180" i="1"/>
  <c r="Q173" i="1"/>
  <c r="R96" i="1"/>
  <c r="X184" i="1" l="1"/>
  <c r="X181" i="1"/>
  <c r="Y181" i="1"/>
  <c r="Y184" i="1"/>
  <c r="Y185" i="1" s="1"/>
  <c r="AA181" i="1" l="1"/>
  <c r="X185" i="1"/>
  <c r="AA185" i="1" s="1"/>
  <c r="AA184" i="1"/>
</calcChain>
</file>

<file path=xl/sharedStrings.xml><?xml version="1.0" encoding="utf-8"?>
<sst xmlns="http://schemas.openxmlformats.org/spreadsheetml/2006/main" count="218" uniqueCount="193">
  <si>
    <t>Line</t>
  </si>
  <si>
    <t>Title of Account</t>
  </si>
  <si>
    <t>AMA</t>
  </si>
  <si>
    <t>12-mo avg</t>
  </si>
  <si>
    <t>12 mo +higher</t>
  </si>
  <si>
    <t>Current Asset</t>
  </si>
  <si>
    <t>Current Liability</t>
  </si>
  <si>
    <t>Investments</t>
  </si>
  <si>
    <t>Invested Capital</t>
  </si>
  <si>
    <t>Investments Allocated</t>
  </si>
  <si>
    <t>check figures</t>
  </si>
  <si>
    <t>Washington</t>
  </si>
  <si>
    <t>Other States</t>
  </si>
  <si>
    <t>Non-utility</t>
  </si>
  <si>
    <t xml:space="preserve">                    UTILITY PLANT</t>
  </si>
  <si>
    <t/>
  </si>
  <si>
    <t>12 mo (lower)</t>
  </si>
  <si>
    <t>Utility Plant (101-106, 114)</t>
  </si>
  <si>
    <t>Construction Work in Progress (107)</t>
  </si>
  <si>
    <t>TOTAL Utility Plant</t>
  </si>
  <si>
    <t>(Less) Accum. Prov. For Depr. Amort. Depl. (108, 111, 115)</t>
  </si>
  <si>
    <t>Net Utility Plant</t>
  </si>
  <si>
    <t>Nuclear Fuel in Process of Ref, Conv, Enrich, &amp; Fab. (120.1)</t>
  </si>
  <si>
    <t>Nuclear Fuel Materials and Assemblies-Stock Account (120.2)</t>
  </si>
  <si>
    <t>Nuclear Fuel Assemblies in Reactor (120.3)</t>
  </si>
  <si>
    <t>Spent Nuclear Fuel (120.4)</t>
  </si>
  <si>
    <t>Nuclear Fuel Under Capital Leases (120.6)</t>
  </si>
  <si>
    <t>(Less) Accum. Prov For Amort of Nucl Fuel Assemblies (120.5)</t>
  </si>
  <si>
    <t>Net Nuclear Fuel</t>
  </si>
  <si>
    <t>Gas Stored Underground - Noncurrent (117) [Acct 116 =0]</t>
  </si>
  <si>
    <t xml:space="preserve">                    OTHER PROPERTY AND INVESTMENTS</t>
  </si>
  <si>
    <t>Nonutility Property (121)</t>
  </si>
  <si>
    <t>(Less) Accum. Prov. For Depr. And Amort. (122)</t>
  </si>
  <si>
    <t>Investments in Associated Companies (123)</t>
  </si>
  <si>
    <t>Investments in Subsidiary Companies (123.1)</t>
  </si>
  <si>
    <t>Noncurrent Portion of Allowances</t>
  </si>
  <si>
    <t>Other Investments (124)</t>
  </si>
  <si>
    <t>Sinking Funds (125)</t>
  </si>
  <si>
    <t>Depreciation Funds (126)</t>
  </si>
  <si>
    <t>Amortization Fund - Federal (127)</t>
  </si>
  <si>
    <t>Other Special Funds (128)</t>
  </si>
  <si>
    <t>Special Funds Non-major (129)</t>
  </si>
  <si>
    <t>Long-Term Portion of Derivative Assets (175)</t>
  </si>
  <si>
    <t>Long-Term Portion of Derivative Assets - Hedges (176)</t>
  </si>
  <si>
    <t>TOTAL Other Property and Investments</t>
  </si>
  <si>
    <t xml:space="preserve">                    CURRENT AND ACCRUED ASSETS</t>
  </si>
  <si>
    <t>Cash (131)</t>
  </si>
  <si>
    <t>Special Deposits (132-134)</t>
  </si>
  <si>
    <t>Working Fund (135)</t>
  </si>
  <si>
    <t>Temporary Cash Investments (136)</t>
  </si>
  <si>
    <t>Notes Receivable (141)</t>
  </si>
  <si>
    <t>Customer Accounts Receivable (142)</t>
  </si>
  <si>
    <t>Other Accounts Receivable (143)</t>
  </si>
  <si>
    <t>(Less) Accum. Prov. For Uncollectible Accts. Cr (144)</t>
  </si>
  <si>
    <t>Notes Receivable from Associated Companies (145)</t>
  </si>
  <si>
    <t>Accounts Receivable from Assoc. Companies (146)</t>
  </si>
  <si>
    <t>Fuel Stock (151)</t>
  </si>
  <si>
    <t>Fuel Stock Expenses Undistributed (152)</t>
  </si>
  <si>
    <t>Residuals (Elec) and Extracted Products (153)</t>
  </si>
  <si>
    <t>Plant Materials and Operating Supplies (154)</t>
  </si>
  <si>
    <t>Merchandise (155)</t>
  </si>
  <si>
    <t>Other Material and Supplies (156)</t>
  </si>
  <si>
    <t>Nuclear Materials Held for Sale (157)</t>
  </si>
  <si>
    <t>Allowances (158.1 &amp; 158.2)</t>
  </si>
  <si>
    <t>(Less) Noncurrent Portion of Allowances</t>
  </si>
  <si>
    <t>Stores Expenses Undistributed (163)</t>
  </si>
  <si>
    <t>Gas Stored Underground - Current (164.1)</t>
  </si>
  <si>
    <t>LNG Stored and Held for Processing (164.2-164.3)</t>
  </si>
  <si>
    <t>Prepayments (165)</t>
  </si>
  <si>
    <t>Advances for Gas (166-167)</t>
  </si>
  <si>
    <t>Interest and Dividends Receivable (171)</t>
  </si>
  <si>
    <t>Rents Receivable (172)</t>
  </si>
  <si>
    <t>Accrued Utility Revenues (173)</t>
  </si>
  <si>
    <t>Miscellaneous Current and Accrued Assets (174)</t>
  </si>
  <si>
    <t>Derivative Instrument Assets (175)</t>
  </si>
  <si>
    <t>(Less) Long-Term Portion of Deriv Instrument Assets (175)</t>
  </si>
  <si>
    <t>Derivative Instrument Assets - Hedges (176)</t>
  </si>
  <si>
    <t>(Less) Long-Term Portion of Deriv Instrmt Assets Hedge (176)</t>
  </si>
  <si>
    <t>TOTAL Current and Accrued Assets</t>
  </si>
  <si>
    <t xml:space="preserve">                    DEFERRED DEBITS</t>
  </si>
  <si>
    <t>Unamortized Debt Expenses (181)</t>
  </si>
  <si>
    <t>Extraordinary Property Losses (182.1)</t>
  </si>
  <si>
    <t>Unrecovered Plant and Regulatory Study Costs (182.2)</t>
  </si>
  <si>
    <t>Other Regulatory Assets (182.3)</t>
  </si>
  <si>
    <t>Preliminary Survey and Investigation Charges (183)</t>
  </si>
  <si>
    <t>Preliminary Natrl Gas Survey &amp; Investigation Charges (183.1)</t>
  </si>
  <si>
    <t>Other Preliminary Survey and Investigation Charges (183.2)</t>
  </si>
  <si>
    <t>Clearing Accounts (184)</t>
  </si>
  <si>
    <t>Temporary Facilities (185)</t>
  </si>
  <si>
    <t>Miscellaneous Deferred Debits (186)</t>
  </si>
  <si>
    <t>Differed Loss from Disposition of Utility Plant (187)</t>
  </si>
  <si>
    <t>Research, Develpmt, and Demonstration Expenditures (188)</t>
  </si>
  <si>
    <t>Unamortized Loss on Reacquired Debt (189)</t>
  </si>
  <si>
    <t>Accumulated Deferred Income Taxes (190)</t>
  </si>
  <si>
    <t>Unrecovered Purchase Gas Costs (191)</t>
  </si>
  <si>
    <t>TOTAL Deferred Debits</t>
  </si>
  <si>
    <t xml:space="preserve">     TOTAL ASSETS</t>
  </si>
  <si>
    <t>total asset ck&gt;&gt;</t>
  </si>
  <si>
    <t xml:space="preserve">                     PROPRIETARY CAPITAL</t>
  </si>
  <si>
    <t>Common Stock Issued (201)</t>
  </si>
  <si>
    <t>Preferred Stock Issue (204)</t>
  </si>
  <si>
    <t>Capital Stock Subscribed (202, 205)</t>
  </si>
  <si>
    <t>Stock Liability for Conversion (203, 206)</t>
  </si>
  <si>
    <t>Premium on Capital Stock (207)</t>
  </si>
  <si>
    <t>Other Paid-In Capital (208-211)</t>
  </si>
  <si>
    <t>Installments Received on Capital Stock (212)</t>
  </si>
  <si>
    <t>(Less) Discount on Capital Stock (213)</t>
  </si>
  <si>
    <t>(Less) Capital Stock Expense (214)</t>
  </si>
  <si>
    <t xml:space="preserve">    part 1 retained earnings (215, 215.1, 216)</t>
  </si>
  <si>
    <t xml:space="preserve">    part 2 retained earnings (4181100)</t>
  </si>
  <si>
    <t xml:space="preserve">    part 3 retained earnings - place holder for EACS</t>
  </si>
  <si>
    <t>Retained Earnings (215, 215.1, 216)</t>
  </si>
  <si>
    <t>Unappropriated Undistributed Subsidiary Earnings (216.1)</t>
  </si>
  <si>
    <t>(Less) Reacquired Capital Stock (217)</t>
  </si>
  <si>
    <t>Accumulated Other Comprehensive Income (219)</t>
  </si>
  <si>
    <t>TOTAL Proprietary Capital</t>
  </si>
  <si>
    <t xml:space="preserve">                     LONG-TERM DEBT</t>
  </si>
  <si>
    <t>Bonds (221)</t>
  </si>
  <si>
    <t>(Less) Reacquired Bonds (222)</t>
  </si>
  <si>
    <t>Advances from Associated Companies (223)</t>
  </si>
  <si>
    <t>Other Long-Term Debt (224)</t>
  </si>
  <si>
    <t>Unamortized Premium on Long-Term Debt (225)</t>
  </si>
  <si>
    <t>(Less) Unamortized Discount on Long-Term Debt-Debit (226)</t>
  </si>
  <si>
    <t>TOTAL Long-Term Debt</t>
  </si>
  <si>
    <t xml:space="preserve">                     OTHER NONCURRENT LIABILITIES</t>
  </si>
  <si>
    <t>Obligations Under Capital Leases - Noncurrent (227)</t>
  </si>
  <si>
    <t>Accumulated Provision of Property Insurance (228.1)</t>
  </si>
  <si>
    <t>Accumulated Provision for Injuries and Damages (228.2)</t>
  </si>
  <si>
    <t>Accumulated Provision for Pensions and Benefits (228.3)</t>
  </si>
  <si>
    <t>Accumulated Miscellaneous Operating Provisions (228.4)</t>
  </si>
  <si>
    <t>Accumulated Provision for Rate Refunds (229)</t>
  </si>
  <si>
    <t>Long-Term Portion of Derivative Instrument Liabilities</t>
  </si>
  <si>
    <t>Long-Term Portion of Derivative Instrument Liab. - Hedges</t>
  </si>
  <si>
    <t>Asset Retirement Obligations (230)</t>
  </si>
  <si>
    <t>TOTAL OTHER Noncurrent Liabilities</t>
  </si>
  <si>
    <t xml:space="preserve">                     CURRENT AND ACCRUED LIABILITIES</t>
  </si>
  <si>
    <t>Notes Payable (231)</t>
  </si>
  <si>
    <t>Accounts Payable (232)</t>
  </si>
  <si>
    <t>Notes Payable to Associated Companies (233)</t>
  </si>
  <si>
    <t>Accounts Payable to Associated Companies (234)</t>
  </si>
  <si>
    <t>Customer Deposits (235)</t>
  </si>
  <si>
    <t>Taxes Accrued (236)</t>
  </si>
  <si>
    <t>Interest Accrued (237)</t>
  </si>
  <si>
    <t>Dividends Declared (238)</t>
  </si>
  <si>
    <t>Matured Long-Term Debt (239)</t>
  </si>
  <si>
    <t>Matured Interest (240)</t>
  </si>
  <si>
    <t>Taxes Collections Payable (241)</t>
  </si>
  <si>
    <t>Miscellaneous Current and Accrued Liabilities (242)</t>
  </si>
  <si>
    <t>Obligations Under Capital Leases-Current (243)</t>
  </si>
  <si>
    <t>Derivative Instrument Liabilities (244)</t>
  </si>
  <si>
    <t>(Less) Long-term Portion of Deriv Instrument Liab</t>
  </si>
  <si>
    <t>Derivative Instrument Liabilities -  Hedges (245)</t>
  </si>
  <si>
    <t>(Less) Long-term Portion of Deriv Instrument Liab - Hedges</t>
  </si>
  <si>
    <t>TOTAL Current &amp; Accrued Liabilities</t>
  </si>
  <si>
    <t xml:space="preserve">                     DEFERRED CREDITS</t>
  </si>
  <si>
    <t>Customer Advances for Construction (252)</t>
  </si>
  <si>
    <t>Accumulated Deferred Investment Tax Credits (255)</t>
  </si>
  <si>
    <t>Deferred Gains from Disposition of Utility Plant (256)</t>
  </si>
  <si>
    <t>Other Deferred Credits (253)</t>
  </si>
  <si>
    <t>Other Regulatory Liabilities (254)</t>
  </si>
  <si>
    <t>Unamortized Gain on Reacquired Debt (257)</t>
  </si>
  <si>
    <t>Accumulated Deferred Income Taxes - Accel. Amort. (281)</t>
  </si>
  <si>
    <t>Accumulated Deferred Income Taxes - Other Property (282)</t>
  </si>
  <si>
    <t>Accumulated Deferred Income Taxes - Other (283)</t>
  </si>
  <si>
    <t>TOTAL Deferred Credits</t>
  </si>
  <si>
    <t>TOTAL Liab &amp; Other Credits</t>
  </si>
  <si>
    <t>Total Liability + Owners Equity check &gt;&gt;</t>
  </si>
  <si>
    <t>-</t>
  </si>
  <si>
    <t>Assets less Liabilities and Owners Equity check</t>
  </si>
  <si>
    <t>Total Current Assets and Current Liabilities-Adjusted</t>
  </si>
  <si>
    <t>Total Investments and Invested Capital-Adjusted</t>
  </si>
  <si>
    <t>Investor-Supplied Working Capital</t>
  </si>
  <si>
    <t xml:space="preserve">Allocation Percentages </t>
  </si>
  <si>
    <t>Ratio of total</t>
  </si>
  <si>
    <t>Allocated Investor-supplied Working Capital</t>
  </si>
  <si>
    <t>Allocated ISWC</t>
  </si>
  <si>
    <t>Total investment</t>
  </si>
  <si>
    <t>Capital allocated</t>
  </si>
  <si>
    <t>ISWC</t>
  </si>
  <si>
    <t>with Refinements for Pension/OPEB</t>
  </si>
  <si>
    <t>and with Refinements for Derivatives</t>
  </si>
  <si>
    <t>AMA for the twelve months ended 6/30/2012</t>
  </si>
  <si>
    <t>Investor Supplied Working Capital (ISWC) Calculation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</si>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</sst>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0.0000%"/>
    <numFmt numFmtId="167" formatCode="0.0%"/>
    <numFmt numFmtId="168" formatCode="_-* #,##0\ &quot;F&quot;_-;\-* #,##0\ &quot;F&quot;_-;_-* &quot;-&quot;\ &quot;F&quot;_-;_-@_-"/>
    <numFmt numFmtId="169" formatCode="&quot;$&quot;###0;[Red]\(&quot;$&quot;###0\)"/>
    <numFmt numFmtId="170" formatCode="&quot;$&quot;#,##0\ ;\(&quot;$&quot;#,##0\)"/>
    <numFmt numFmtId="171" formatCode="########\-###\-###"/>
    <numFmt numFmtId="172" formatCode="0.0"/>
    <numFmt numFmtId="173" formatCode="#,##0.000;[Red]\-#,##0.000"/>
    <numFmt numFmtId="174" formatCode="#,##0.0_);\(#,##0.0\);\-\ ;"/>
    <numFmt numFmtId="175" formatCode="#,##0.0000"/>
    <numFmt numFmtId="176" formatCode="mmm\ dd\,\ yyyy"/>
    <numFmt numFmtId="177" formatCode="General_)"/>
  </numFmts>
  <fonts count="36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0"/>
      <name val="Arial"/>
      <family val="2"/>
    </font>
    <font>
      <sz val="12"/>
      <color rgb="FFFF0000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color indexed="8"/>
      <name val="Helv"/>
    </font>
    <font>
      <sz val="11"/>
      <color theme="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0"/>
      <color indexed="24"/>
      <name val="Courier New"/>
      <family val="3"/>
    </font>
    <font>
      <sz val="8"/>
      <name val="Helv"/>
    </font>
    <font>
      <sz val="7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11"/>
      <color indexed="8"/>
      <name val="TimesNewRomanPS"/>
    </font>
    <font>
      <sz val="10"/>
      <color indexed="11"/>
      <name val="Geneva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b/>
      <sz val="16"/>
      <color indexed="23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12"/>
      <name val="Arial MT"/>
    </font>
    <font>
      <b/>
      <sz val="10"/>
      <name val="Arial"/>
      <family val="2"/>
    </font>
    <font>
      <sz val="10"/>
      <name val="LinePrinter"/>
    </font>
    <font>
      <sz val="8"/>
      <color indexed="12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5"/>
      </patternFill>
    </fill>
    <fill>
      <patternFill patternType="lightGray"/>
    </fill>
    <fill>
      <patternFill patternType="solid">
        <fgColor indexed="14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</borders>
  <cellStyleXfs count="308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" fontId="10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13" fillId="0" borderId="0"/>
    <xf numFmtId="0" fontId="13" fillId="0" borderId="0"/>
    <xf numFmtId="3" fontId="14" fillId="0" borderId="0" applyFont="0" applyFill="0" applyBorder="0" applyAlignment="0" applyProtection="0"/>
    <xf numFmtId="0" fontId="13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15" fillId="0" borderId="0" applyFont="0" applyFill="0" applyBorder="0" applyProtection="0">
      <alignment horizontal="right"/>
    </xf>
    <xf numFmtId="5" fontId="13" fillId="0" borderId="0"/>
    <xf numFmtId="17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/>
    <xf numFmtId="0" fontId="14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6" fillId="0" borderId="0" applyFont="0" applyFill="0" applyBorder="0" applyAlignment="0" applyProtection="0">
      <alignment horizontal="left"/>
    </xf>
    <xf numFmtId="38" fontId="17" fillId="15" borderId="0" applyNumberFormat="0" applyBorder="0" applyAlignment="0" applyProtection="0"/>
    <xf numFmtId="0" fontId="18" fillId="0" borderId="0"/>
    <xf numFmtId="0" fontId="19" fillId="0" borderId="10" applyNumberFormat="0" applyAlignment="0" applyProtection="0">
      <alignment horizontal="left" vertical="center"/>
    </xf>
    <xf numFmtId="0" fontId="19" fillId="0" borderId="4">
      <alignment horizontal="left" vertical="center"/>
    </xf>
    <xf numFmtId="0" fontId="20" fillId="0" borderId="0" applyNumberFormat="0" applyFill="0" applyBorder="0" applyAlignment="0" applyProtection="0">
      <alignment vertical="top"/>
      <protection locked="0"/>
    </xf>
    <xf numFmtId="10" fontId="17" fillId="16" borderId="6" applyNumberFormat="0" applyBorder="0" applyAlignment="0" applyProtection="0"/>
    <xf numFmtId="171" fontId="5" fillId="0" borderId="0"/>
    <xf numFmtId="172" fontId="21" fillId="0" borderId="0" applyNumberFormat="0" applyFill="0" applyBorder="0" applyAlignment="0" applyProtection="0"/>
    <xf numFmtId="37" fontId="22" fillId="0" borderId="0" applyNumberFormat="0" applyFill="0" applyBorder="0"/>
    <xf numFmtId="0" fontId="17" fillId="0" borderId="11" applyNumberFormat="0" applyBorder="0" applyAlignment="0"/>
    <xf numFmtId="173" fontId="5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37" fontId="13" fillId="0" borderId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174" fontId="1" fillId="0" borderId="0" applyFont="0" applyFill="0" applyBorder="0" applyProtection="0"/>
    <xf numFmtId="12" fontId="19" fillId="17" borderId="7">
      <alignment horizontal="left"/>
    </xf>
    <xf numFmtId="0" fontId="13" fillId="0" borderId="0"/>
    <xf numFmtId="0" fontId="13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" fillId="0" borderId="0"/>
    <xf numFmtId="4" fontId="3" fillId="18" borderId="12" applyNumberFormat="0" applyProtection="0">
      <alignment vertical="center"/>
    </xf>
    <xf numFmtId="4" fontId="24" fillId="18" borderId="12" applyNumberFormat="0" applyProtection="0">
      <alignment vertical="center"/>
    </xf>
    <xf numFmtId="4" fontId="3" fillId="18" borderId="12" applyNumberFormat="0" applyProtection="0">
      <alignment horizontal="left" vertical="center" indent="1"/>
    </xf>
    <xf numFmtId="4" fontId="25" fillId="18" borderId="13" applyNumberFormat="0" applyProtection="0">
      <alignment horizontal="left" vertical="center" indent="1"/>
    </xf>
    <xf numFmtId="4" fontId="25" fillId="18" borderId="13" applyNumberFormat="0" applyProtection="0">
      <alignment horizontal="left" vertical="center" indent="1"/>
    </xf>
    <xf numFmtId="4" fontId="25" fillId="18" borderId="13" applyNumberFormat="0" applyProtection="0">
      <alignment horizontal="left" vertical="center" indent="1"/>
    </xf>
    <xf numFmtId="4" fontId="25" fillId="18" borderId="13" applyNumberFormat="0" applyProtection="0">
      <alignment horizontal="left" vertical="center" indent="1"/>
    </xf>
    <xf numFmtId="4" fontId="3" fillId="18" borderId="12" applyNumberFormat="0" applyProtection="0">
      <alignment horizontal="left" vertical="center" indent="1"/>
    </xf>
    <xf numFmtId="0" fontId="5" fillId="19" borderId="12" applyNumberFormat="0" applyProtection="0">
      <alignment horizontal="left" vertical="center" indent="1"/>
    </xf>
    <xf numFmtId="0" fontId="5" fillId="19" borderId="12" applyNumberFormat="0" applyProtection="0">
      <alignment horizontal="left" vertical="center" indent="1"/>
    </xf>
    <xf numFmtId="4" fontId="25" fillId="20" borderId="13" applyNumberFormat="0" applyProtection="0"/>
    <xf numFmtId="4" fontId="25" fillId="20" borderId="13" applyNumberFormat="0" applyProtection="0"/>
    <xf numFmtId="4" fontId="25" fillId="20" borderId="13" applyNumberFormat="0" applyProtection="0"/>
    <xf numFmtId="4" fontId="3" fillId="21" borderId="12" applyNumberFormat="0" applyProtection="0">
      <alignment horizontal="right" vertical="center"/>
    </xf>
    <xf numFmtId="4" fontId="3" fillId="22" borderId="12" applyNumberFormat="0" applyProtection="0">
      <alignment horizontal="right" vertical="center"/>
    </xf>
    <xf numFmtId="4" fontId="3" fillId="23" borderId="12" applyNumberFormat="0" applyProtection="0">
      <alignment horizontal="right" vertical="center"/>
    </xf>
    <xf numFmtId="4" fontId="3" fillId="24" borderId="12" applyNumberFormat="0" applyProtection="0">
      <alignment horizontal="right" vertical="center"/>
    </xf>
    <xf numFmtId="4" fontId="3" fillId="25" borderId="12" applyNumberFormat="0" applyProtection="0">
      <alignment horizontal="right" vertical="center"/>
    </xf>
    <xf numFmtId="4" fontId="3" fillId="26" borderId="12" applyNumberFormat="0" applyProtection="0">
      <alignment horizontal="right" vertical="center"/>
    </xf>
    <xf numFmtId="4" fontId="3" fillId="27" borderId="12" applyNumberFormat="0" applyProtection="0">
      <alignment horizontal="right" vertical="center"/>
    </xf>
    <xf numFmtId="4" fontId="3" fillId="28" borderId="12" applyNumberFormat="0" applyProtection="0">
      <alignment horizontal="right" vertical="center"/>
    </xf>
    <xf numFmtId="4" fontId="3" fillId="29" borderId="12" applyNumberFormat="0" applyProtection="0">
      <alignment horizontal="right" vertical="center"/>
    </xf>
    <xf numFmtId="4" fontId="25" fillId="30" borderId="12" applyNumberFormat="0" applyProtection="0">
      <alignment horizontal="left" vertical="center" indent="1"/>
    </xf>
    <xf numFmtId="4" fontId="3" fillId="31" borderId="14" applyNumberFormat="0" applyProtection="0">
      <alignment horizontal="left" vertical="center" indent="1"/>
    </xf>
    <xf numFmtId="4" fontId="3" fillId="32" borderId="0" applyNumberFormat="0" applyProtection="0">
      <alignment horizontal="left" indent="1"/>
    </xf>
    <xf numFmtId="4" fontId="3" fillId="32" borderId="0" applyNumberFormat="0" applyProtection="0">
      <alignment horizontal="left" indent="1"/>
    </xf>
    <xf numFmtId="4" fontId="3" fillId="32" borderId="0" applyNumberFormat="0" applyProtection="0">
      <alignment horizontal="left" indent="1"/>
    </xf>
    <xf numFmtId="4" fontId="3" fillId="32" borderId="0" applyNumberFormat="0" applyProtection="0">
      <alignment horizontal="left" indent="1"/>
    </xf>
    <xf numFmtId="4" fontId="26" fillId="33" borderId="0" applyNumberFormat="0" applyProtection="0">
      <alignment horizontal="left" vertical="center" indent="1"/>
    </xf>
    <xf numFmtId="4" fontId="26" fillId="33" borderId="0" applyNumberFormat="0" applyProtection="0">
      <alignment horizontal="left" vertical="center" indent="1"/>
    </xf>
    <xf numFmtId="4" fontId="26" fillId="33" borderId="0" applyNumberFormat="0" applyProtection="0">
      <alignment horizontal="left" vertical="center" indent="1"/>
    </xf>
    <xf numFmtId="4" fontId="26" fillId="33" borderId="0" applyNumberFormat="0" applyProtection="0">
      <alignment horizontal="left" vertical="center" indent="1"/>
    </xf>
    <xf numFmtId="0" fontId="5" fillId="19" borderId="12" applyNumberFormat="0" applyProtection="0">
      <alignment horizontal="left" vertical="center" indent="1"/>
    </xf>
    <xf numFmtId="0" fontId="5" fillId="19" borderId="12" applyNumberFormat="0" applyProtection="0">
      <alignment horizontal="left" vertical="center" indent="1"/>
    </xf>
    <xf numFmtId="4" fontId="3" fillId="31" borderId="12" applyNumberFormat="0" applyProtection="0">
      <alignment horizontal="left" vertical="center" indent="1"/>
    </xf>
    <xf numFmtId="4" fontId="3" fillId="31" borderId="12" applyNumberFormat="0" applyProtection="0">
      <alignment horizontal="left" vertical="center" indent="1"/>
    </xf>
    <xf numFmtId="4" fontId="27" fillId="34" borderId="0" applyNumberFormat="0" applyProtection="0">
      <alignment horizontal="left" indent="1"/>
    </xf>
    <xf numFmtId="4" fontId="27" fillId="34" borderId="0" applyNumberFormat="0" applyProtection="0">
      <alignment horizontal="left" indent="1"/>
    </xf>
    <xf numFmtId="4" fontId="27" fillId="34" borderId="0" applyNumberFormat="0" applyProtection="0">
      <alignment horizontal="left" indent="1"/>
    </xf>
    <xf numFmtId="4" fontId="27" fillId="34" borderId="0" applyNumberFormat="0" applyProtection="0">
      <alignment horizontal="left" indent="1"/>
    </xf>
    <xf numFmtId="4" fontId="27" fillId="34" borderId="0" applyNumberFormat="0" applyProtection="0">
      <alignment horizontal="left" indent="1"/>
    </xf>
    <xf numFmtId="4" fontId="27" fillId="34" borderId="0" applyNumberFormat="0" applyProtection="0">
      <alignment horizontal="left" indent="1"/>
    </xf>
    <xf numFmtId="4" fontId="27" fillId="34" borderId="0" applyNumberFormat="0" applyProtection="0">
      <alignment horizontal="left" indent="1"/>
    </xf>
    <xf numFmtId="4" fontId="3" fillId="35" borderId="12" applyNumberFormat="0" applyProtection="0">
      <alignment horizontal="left" vertical="center" indent="1"/>
    </xf>
    <xf numFmtId="4" fontId="3" fillId="35" borderId="12" applyNumberFormat="0" applyProtection="0">
      <alignment horizontal="left" vertical="center" indent="1"/>
    </xf>
    <xf numFmtId="4" fontId="28" fillId="36" borderId="0" applyNumberFormat="0" applyProtection="0"/>
    <xf numFmtId="4" fontId="28" fillId="36" borderId="0" applyNumberFormat="0" applyProtection="0"/>
    <xf numFmtId="4" fontId="28" fillId="36" borderId="0" applyNumberFormat="0" applyProtection="0"/>
    <xf numFmtId="4" fontId="28" fillId="36" borderId="0" applyNumberFormat="0" applyProtection="0"/>
    <xf numFmtId="4" fontId="28" fillId="36" borderId="0" applyNumberFormat="0" applyProtection="0"/>
    <xf numFmtId="4" fontId="28" fillId="36" borderId="0" applyNumberFormat="0" applyProtection="0"/>
    <xf numFmtId="4" fontId="28" fillId="36" borderId="0" applyNumberFormat="0" applyProtection="0"/>
    <xf numFmtId="0" fontId="5" fillId="35" borderId="12" applyNumberFormat="0" applyProtection="0">
      <alignment horizontal="left" vertical="center" indent="1"/>
    </xf>
    <xf numFmtId="0" fontId="5" fillId="35" borderId="12" applyNumberFormat="0" applyProtection="0">
      <alignment horizontal="left" vertical="center" indent="1"/>
    </xf>
    <xf numFmtId="0" fontId="5" fillId="33" borderId="13" applyNumberFormat="0" applyProtection="0">
      <alignment horizontal="left" vertical="center" indent="1"/>
    </xf>
    <xf numFmtId="0" fontId="5" fillId="33" borderId="13" applyNumberFormat="0" applyProtection="0">
      <alignment horizontal="left" vertical="center" indent="1"/>
    </xf>
    <xf numFmtId="0" fontId="5" fillId="35" borderId="12" applyNumberFormat="0" applyProtection="0">
      <alignment horizontal="left" vertical="center" indent="1"/>
    </xf>
    <xf numFmtId="0" fontId="5" fillId="35" borderId="12" applyNumberFormat="0" applyProtection="0">
      <alignment horizontal="left" vertical="center" indent="1"/>
    </xf>
    <xf numFmtId="0" fontId="5" fillId="33" borderId="13" applyNumberFormat="0" applyProtection="0">
      <alignment horizontal="left" vertical="top" indent="1"/>
    </xf>
    <xf numFmtId="0" fontId="5" fillId="33" borderId="13" applyNumberFormat="0" applyProtection="0">
      <alignment horizontal="left" vertical="top" indent="1"/>
    </xf>
    <xf numFmtId="0" fontId="5" fillId="17" borderId="12" applyNumberFormat="0" applyProtection="0">
      <alignment horizontal="left" vertical="center" indent="1"/>
    </xf>
    <xf numFmtId="0" fontId="5" fillId="17" borderId="12" applyNumberFormat="0" applyProtection="0">
      <alignment horizontal="left" vertical="center" indent="1"/>
    </xf>
    <xf numFmtId="0" fontId="5" fillId="20" borderId="13" applyNumberFormat="0" applyProtection="0">
      <alignment horizontal="left" vertical="center" indent="1"/>
    </xf>
    <xf numFmtId="0" fontId="5" fillId="20" borderId="13" applyNumberFormat="0" applyProtection="0">
      <alignment horizontal="left" vertical="center" indent="1"/>
    </xf>
    <xf numFmtId="0" fontId="5" fillId="17" borderId="12" applyNumberFormat="0" applyProtection="0">
      <alignment horizontal="left" vertical="center" indent="1"/>
    </xf>
    <xf numFmtId="0" fontId="5" fillId="17" borderId="12" applyNumberFormat="0" applyProtection="0">
      <alignment horizontal="left" vertical="center" indent="1"/>
    </xf>
    <xf numFmtId="0" fontId="5" fillId="20" borderId="13" applyNumberFormat="0" applyProtection="0">
      <alignment horizontal="left" vertical="top" indent="1"/>
    </xf>
    <xf numFmtId="0" fontId="5" fillId="20" borderId="13" applyNumberFormat="0" applyProtection="0">
      <alignment horizontal="left" vertical="top" indent="1"/>
    </xf>
    <xf numFmtId="0" fontId="5" fillId="15" borderId="12" applyNumberFormat="0" applyProtection="0">
      <alignment horizontal="left" vertical="center" indent="1"/>
    </xf>
    <xf numFmtId="0" fontId="5" fillId="15" borderId="12" applyNumberFormat="0" applyProtection="0">
      <alignment horizontal="left" vertical="center" indent="1"/>
    </xf>
    <xf numFmtId="0" fontId="5" fillId="37" borderId="13" applyNumberFormat="0" applyProtection="0">
      <alignment horizontal="left" vertical="center" indent="1"/>
    </xf>
    <xf numFmtId="0" fontId="5" fillId="37" borderId="13" applyNumberFormat="0" applyProtection="0">
      <alignment horizontal="left" vertical="center" indent="1"/>
    </xf>
    <xf numFmtId="0" fontId="5" fillId="15" borderId="12" applyNumberFormat="0" applyProtection="0">
      <alignment horizontal="left" vertical="center" indent="1"/>
    </xf>
    <xf numFmtId="0" fontId="5" fillId="15" borderId="12" applyNumberFormat="0" applyProtection="0">
      <alignment horizontal="left" vertical="center" indent="1"/>
    </xf>
    <xf numFmtId="0" fontId="5" fillId="37" borderId="13" applyNumberFormat="0" applyProtection="0">
      <alignment horizontal="left" vertical="top" indent="1"/>
    </xf>
    <xf numFmtId="0" fontId="5" fillId="37" borderId="13" applyNumberFormat="0" applyProtection="0">
      <alignment horizontal="left" vertical="top" indent="1"/>
    </xf>
    <xf numFmtId="0" fontId="5" fillId="19" borderId="12" applyNumberFormat="0" applyProtection="0">
      <alignment horizontal="left" vertical="center" indent="1"/>
    </xf>
    <xf numFmtId="0" fontId="5" fillId="19" borderId="12" applyNumberFormat="0" applyProtection="0">
      <alignment horizontal="left" vertical="center" indent="1"/>
    </xf>
    <xf numFmtId="0" fontId="5" fillId="38" borderId="13" applyNumberFormat="0" applyProtection="0">
      <alignment horizontal="left" vertical="center" indent="1"/>
    </xf>
    <xf numFmtId="0" fontId="5" fillId="38" borderId="13" applyNumberFormat="0" applyProtection="0">
      <alignment horizontal="left" vertical="center" indent="1"/>
    </xf>
    <xf numFmtId="0" fontId="5" fillId="19" borderId="12" applyNumberFormat="0" applyProtection="0">
      <alignment horizontal="left" vertical="center" indent="1"/>
    </xf>
    <xf numFmtId="0" fontId="5" fillId="19" borderId="12" applyNumberFormat="0" applyProtection="0">
      <alignment horizontal="left" vertical="center" indent="1"/>
    </xf>
    <xf numFmtId="0" fontId="5" fillId="38" borderId="13" applyNumberFormat="0" applyProtection="0">
      <alignment horizontal="left" vertical="top" indent="1"/>
    </xf>
    <xf numFmtId="0" fontId="5" fillId="38" borderId="13" applyNumberFormat="0" applyProtection="0">
      <alignment horizontal="left" vertical="top" indent="1"/>
    </xf>
    <xf numFmtId="4" fontId="3" fillId="16" borderId="12" applyNumberFormat="0" applyProtection="0">
      <alignment vertical="center"/>
    </xf>
    <xf numFmtId="4" fontId="24" fillId="16" borderId="12" applyNumberFormat="0" applyProtection="0">
      <alignment vertical="center"/>
    </xf>
    <xf numFmtId="4" fontId="3" fillId="16" borderId="12" applyNumberFormat="0" applyProtection="0">
      <alignment horizontal="left" vertical="center" indent="1"/>
    </xf>
    <xf numFmtId="4" fontId="3" fillId="16" borderId="12" applyNumberFormat="0" applyProtection="0">
      <alignment horizontal="left" vertical="center" indent="1"/>
    </xf>
    <xf numFmtId="4" fontId="3" fillId="32" borderId="13" applyNumberFormat="0" applyProtection="0">
      <alignment horizontal="right" vertical="center"/>
    </xf>
    <xf numFmtId="4" fontId="3" fillId="32" borderId="13" applyNumberFormat="0" applyProtection="0">
      <alignment horizontal="right" vertical="center"/>
    </xf>
    <xf numFmtId="4" fontId="3" fillId="31" borderId="12" applyNumberFormat="0" applyProtection="0">
      <alignment horizontal="right" vertical="center"/>
    </xf>
    <xf numFmtId="4" fontId="3" fillId="0" borderId="13" applyNumberFormat="0" applyProtection="0">
      <alignment horizontal="right" vertical="center"/>
    </xf>
    <xf numFmtId="4" fontId="3" fillId="0" borderId="13" applyNumberFormat="0" applyProtection="0">
      <alignment horizontal="right" vertical="center"/>
    </xf>
    <xf numFmtId="4" fontId="24" fillId="31" borderId="12" applyNumberFormat="0" applyProtection="0">
      <alignment horizontal="right" vertical="center"/>
    </xf>
    <xf numFmtId="4" fontId="3" fillId="0" borderId="13" applyNumberFormat="0" applyProtection="0">
      <alignment horizontal="left" vertical="center" indent="1"/>
    </xf>
    <xf numFmtId="0" fontId="5" fillId="19" borderId="12" applyNumberFormat="0" applyProtection="0">
      <alignment horizontal="left" vertical="center" indent="1"/>
    </xf>
    <xf numFmtId="4" fontId="3" fillId="0" borderId="13" applyNumberFormat="0" applyProtection="0">
      <alignment horizontal="left" vertical="center" indent="1"/>
    </xf>
    <xf numFmtId="0" fontId="5" fillId="19" borderId="12" applyNumberFormat="0" applyProtection="0">
      <alignment horizontal="left" vertical="center" indent="1"/>
    </xf>
    <xf numFmtId="4" fontId="3" fillId="0" borderId="13" applyNumberFormat="0" applyProtection="0">
      <alignment horizontal="left" vertical="center" indent="1"/>
    </xf>
    <xf numFmtId="0" fontId="5" fillId="19" borderId="12" applyNumberFormat="0" applyProtection="0">
      <alignment horizontal="left" vertical="center" indent="1"/>
    </xf>
    <xf numFmtId="0" fontId="5" fillId="19" borderId="12" applyNumberFormat="0" applyProtection="0">
      <alignment horizontal="left" vertical="center" indent="1"/>
    </xf>
    <xf numFmtId="0" fontId="3" fillId="20" borderId="13" applyNumberFormat="0" applyProtection="0">
      <alignment horizontal="left" vertical="top"/>
    </xf>
    <xf numFmtId="0" fontId="3" fillId="20" borderId="13" applyNumberFormat="0" applyProtection="0">
      <alignment horizontal="left" vertical="top"/>
    </xf>
    <xf numFmtId="0" fontId="3" fillId="20" borderId="13" applyNumberFormat="0" applyProtection="0">
      <alignment horizontal="left" vertical="top"/>
    </xf>
    <xf numFmtId="0" fontId="29" fillId="0" borderId="0"/>
    <xf numFmtId="0" fontId="29" fillId="0" borderId="0"/>
    <xf numFmtId="4" fontId="30" fillId="39" borderId="0" applyNumberFormat="0" applyProtection="0">
      <alignment horizontal="left"/>
    </xf>
    <xf numFmtId="4" fontId="30" fillId="39" borderId="0" applyNumberFormat="0" applyProtection="0">
      <alignment horizontal="left"/>
    </xf>
    <xf numFmtId="4" fontId="30" fillId="39" borderId="0" applyNumberFormat="0" applyProtection="0">
      <alignment horizontal="left"/>
    </xf>
    <xf numFmtId="4" fontId="30" fillId="39" borderId="0" applyNumberFormat="0" applyProtection="0">
      <alignment horizontal="left"/>
    </xf>
    <xf numFmtId="4" fontId="30" fillId="39" borderId="0" applyNumberFormat="0" applyProtection="0">
      <alignment horizontal="left"/>
    </xf>
    <xf numFmtId="4" fontId="30" fillId="39" borderId="0" applyNumberFormat="0" applyProtection="0">
      <alignment horizontal="left"/>
    </xf>
    <xf numFmtId="4" fontId="30" fillId="39" borderId="0" applyNumberFormat="0" applyProtection="0">
      <alignment horizontal="left"/>
    </xf>
    <xf numFmtId="4" fontId="31" fillId="31" borderId="12" applyNumberFormat="0" applyProtection="0">
      <alignment horizontal="right" vertical="center"/>
    </xf>
    <xf numFmtId="37" fontId="32" fillId="40" borderId="0" applyNumberFormat="0" applyFont="0" applyBorder="0" applyAlignment="0" applyProtection="0"/>
    <xf numFmtId="175" fontId="5" fillId="0" borderId="15">
      <alignment horizontal="justify" vertical="top" wrapText="1"/>
    </xf>
    <xf numFmtId="0" fontId="5" fillId="0" borderId="0">
      <alignment horizontal="left" wrapText="1"/>
    </xf>
    <xf numFmtId="176" fontId="5" fillId="0" borderId="0" applyFill="0" applyBorder="0" applyAlignment="0" applyProtection="0">
      <alignment wrapText="1"/>
    </xf>
    <xf numFmtId="0" fontId="33" fillId="0" borderId="0" applyNumberFormat="0" applyFill="0" applyBorder="0">
      <alignment horizontal="center" wrapText="1"/>
    </xf>
    <xf numFmtId="0" fontId="33" fillId="0" borderId="0" applyNumberFormat="0" applyFill="0" applyBorder="0">
      <alignment horizontal="center" wrapText="1"/>
    </xf>
    <xf numFmtId="0" fontId="33" fillId="0" borderId="6">
      <alignment horizontal="center" vertical="center" wrapText="1"/>
    </xf>
    <xf numFmtId="0" fontId="13" fillId="0" borderId="16"/>
    <xf numFmtId="177" fontId="34" fillId="0" borderId="0">
      <alignment horizontal="left"/>
    </xf>
    <xf numFmtId="0" fontId="13" fillId="0" borderId="17"/>
    <xf numFmtId="37" fontId="17" fillId="18" borderId="0" applyNumberFormat="0" applyBorder="0" applyAlignment="0" applyProtection="0"/>
    <xf numFmtId="37" fontId="17" fillId="0" borderId="0"/>
    <xf numFmtId="3" fontId="35" fillId="41" borderId="18" applyProtection="0"/>
  </cellStyleXfs>
  <cellXfs count="4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4" fillId="0" borderId="2" xfId="3" applyFont="1" applyFill="1" applyBorder="1" applyAlignment="1">
      <alignment horizontal="center"/>
    </xf>
    <xf numFmtId="164" fontId="4" fillId="0" borderId="2" xfId="1" applyNumberFormat="1" applyFont="1" applyFill="1" applyBorder="1" applyAlignment="1">
      <alignment horizontal="center" wrapText="1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4" fillId="0" borderId="3" xfId="3" applyFont="1" applyFill="1" applyBorder="1" applyAlignment="1"/>
    <xf numFmtId="165" fontId="1" fillId="0" borderId="0" xfId="1" applyNumberFormat="1" applyFont="1" applyFill="1" applyAlignment="1"/>
    <xf numFmtId="165" fontId="4" fillId="0" borderId="3" xfId="1" applyNumberFormat="1" applyFont="1" applyFill="1" applyBorder="1" applyAlignment="1">
      <alignment horizontal="right"/>
    </xf>
    <xf numFmtId="165" fontId="1" fillId="0" borderId="0" xfId="0" applyNumberFormat="1" applyFont="1" applyFill="1" applyAlignment="1"/>
    <xf numFmtId="10" fontId="1" fillId="0" borderId="0" xfId="2" applyNumberFormat="1" applyFont="1" applyFill="1" applyAlignment="1"/>
    <xf numFmtId="165" fontId="1" fillId="0" borderId="4" xfId="0" applyNumberFormat="1" applyFont="1" applyFill="1" applyBorder="1" applyAlignment="1"/>
    <xf numFmtId="9" fontId="1" fillId="0" borderId="0" xfId="2" applyFont="1" applyFill="1" applyAlignment="1"/>
    <xf numFmtId="165" fontId="4" fillId="0" borderId="0" xfId="1" applyNumberFormat="1" applyFont="1" applyFill="1" applyBorder="1" applyAlignment="1">
      <alignment horizontal="right"/>
    </xf>
    <xf numFmtId="166" fontId="1" fillId="0" borderId="0" xfId="2" applyNumberFormat="1" applyFont="1" applyFill="1" applyAlignment="1"/>
    <xf numFmtId="165" fontId="1" fillId="0" borderId="0" xfId="0" applyNumberFormat="1" applyFont="1" applyFill="1" applyBorder="1" applyAlignment="1"/>
    <xf numFmtId="0" fontId="6" fillId="0" borderId="0" xfId="0" applyFont="1" applyFill="1" applyAlignment="1"/>
    <xf numFmtId="165" fontId="1" fillId="0" borderId="5" xfId="0" applyNumberFormat="1" applyFont="1" applyFill="1" applyBorder="1" applyAlignment="1"/>
    <xf numFmtId="0" fontId="7" fillId="0" borderId="3" xfId="3" applyFont="1" applyFill="1" applyBorder="1" applyAlignment="1"/>
    <xf numFmtId="165" fontId="7" fillId="0" borderId="3" xfId="1" applyNumberFormat="1" applyFont="1" applyFill="1" applyBorder="1" applyAlignment="1">
      <alignment horizontal="right"/>
    </xf>
    <xf numFmtId="165" fontId="2" fillId="0" borderId="0" xfId="0" applyNumberFormat="1" applyFont="1" applyFill="1" applyAlignment="1"/>
    <xf numFmtId="165" fontId="2" fillId="0" borderId="5" xfId="0" applyNumberFormat="1" applyFont="1" applyFill="1" applyBorder="1" applyAlignment="1"/>
    <xf numFmtId="165" fontId="1" fillId="0" borderId="0" xfId="0" applyNumberFormat="1" applyFont="1" applyFill="1" applyAlignment="1">
      <alignment horizontal="right"/>
    </xf>
    <xf numFmtId="165" fontId="7" fillId="0" borderId="0" xfId="1" applyNumberFormat="1" applyFont="1" applyFill="1" applyBorder="1" applyAlignment="1">
      <alignment horizontal="right"/>
    </xf>
    <xf numFmtId="165" fontId="2" fillId="0" borderId="6" xfId="0" applyNumberFormat="1" applyFont="1" applyFill="1" applyBorder="1" applyAlignment="1"/>
    <xf numFmtId="165" fontId="1" fillId="0" borderId="4" xfId="1" applyNumberFormat="1" applyFont="1" applyFill="1" applyBorder="1" applyAlignment="1"/>
    <xf numFmtId="165" fontId="1" fillId="0" borderId="0" xfId="1" applyNumberFormat="1" applyFont="1" applyFill="1" applyBorder="1" applyAlignment="1"/>
    <xf numFmtId="165" fontId="2" fillId="0" borderId="7" xfId="0" applyNumberFormat="1" applyFont="1" applyFill="1" applyBorder="1" applyAlignment="1"/>
    <xf numFmtId="0" fontId="1" fillId="0" borderId="0" xfId="0" applyFont="1" applyFill="1" applyAlignment="1">
      <alignment horizontal="right"/>
    </xf>
    <xf numFmtId="0" fontId="4" fillId="0" borderId="3" xfId="3" applyFont="1" applyFill="1" applyBorder="1" applyAlignment="1">
      <alignment horizontal="right"/>
    </xf>
    <xf numFmtId="167" fontId="1" fillId="0" borderId="0" xfId="2" applyNumberFormat="1" applyFont="1" applyFill="1" applyAlignment="1"/>
    <xf numFmtId="0" fontId="2" fillId="0" borderId="0" xfId="0" applyFont="1" applyFill="1" applyAlignment="1"/>
    <xf numFmtId="165" fontId="2" fillId="0" borderId="0" xfId="1" applyNumberFormat="1" applyFont="1" applyFill="1" applyAlignment="1"/>
    <xf numFmtId="10" fontId="1" fillId="0" borderId="0" xfId="0" applyNumberFormat="1" applyFont="1" applyFill="1" applyAlignment="1"/>
    <xf numFmtId="37" fontId="1" fillId="0" borderId="0" xfId="0" applyNumberFormat="1" applyFont="1" applyFill="1" applyAlignment="1"/>
    <xf numFmtId="165" fontId="1" fillId="0" borderId="0" xfId="1" applyNumberFormat="1" applyFont="1" applyFill="1"/>
    <xf numFmtId="165" fontId="2" fillId="0" borderId="8" xfId="0" applyNumberFormat="1" applyFont="1" applyFill="1" applyBorder="1" applyAlignment="1"/>
    <xf numFmtId="165" fontId="2" fillId="0" borderId="9" xfId="1" applyNumberFormat="1" applyFont="1" applyFill="1" applyBorder="1" applyAlignment="1"/>
    <xf numFmtId="0" fontId="1" fillId="0" borderId="0" xfId="0" applyFont="1" applyFill="1" applyAlignment="1">
      <alignment horizontal="center"/>
    </xf>
    <xf numFmtId="37" fontId="1" fillId="0" borderId="19" xfId="0" applyNumberFormat="1" applyFont="1" applyFill="1" applyBorder="1" applyAlignment="1"/>
    <xf numFmtId="37" fontId="1" fillId="0" borderId="20" xfId="0" applyNumberFormat="1" applyFont="1" applyFill="1" applyBorder="1" applyAlignment="1"/>
    <xf numFmtId="0" fontId="1" fillId="0" borderId="0" xfId="0" applyFont="1" applyFill="1" applyAlignment="1">
      <alignment horizontal="center"/>
    </xf>
  </cellXfs>
  <cellStyles count="308">
    <cellStyle name="20% - Accent1 2" xfId="4"/>
    <cellStyle name="20% - Accent1 2 2" xfId="5"/>
    <cellStyle name="20% - Accent1 3" xfId="6"/>
    <cellStyle name="20% - Accent1 3 2" xfId="7"/>
    <cellStyle name="20% - Accent1 4" xfId="8"/>
    <cellStyle name="20% - Accent1 5" xfId="9"/>
    <cellStyle name="20% - Accent1 6" xfId="10"/>
    <cellStyle name="20% - Accent1 7" xfId="11"/>
    <cellStyle name="20% - Accent2 2" xfId="12"/>
    <cellStyle name="20% - Accent2 2 2" xfId="13"/>
    <cellStyle name="20% - Accent2 3" xfId="14"/>
    <cellStyle name="20% - Accent2 3 2" xfId="15"/>
    <cellStyle name="20% - Accent2 4" xfId="16"/>
    <cellStyle name="20% - Accent2 5" xfId="17"/>
    <cellStyle name="20% - Accent2 6" xfId="18"/>
    <cellStyle name="20% - Accent2 7" xfId="19"/>
    <cellStyle name="20% - Accent3 2" xfId="20"/>
    <cellStyle name="20% - Accent3 2 2" xfId="21"/>
    <cellStyle name="20% - Accent3 3" xfId="22"/>
    <cellStyle name="20% - Accent3 3 2" xfId="23"/>
    <cellStyle name="20% - Accent3 4" xfId="24"/>
    <cellStyle name="20% - Accent3 5" xfId="25"/>
    <cellStyle name="20% - Accent3 6" xfId="26"/>
    <cellStyle name="20% - Accent3 7" xfId="27"/>
    <cellStyle name="20% - Accent4 2" xfId="28"/>
    <cellStyle name="20% - Accent4 2 2" xfId="29"/>
    <cellStyle name="20% - Accent4 3" xfId="30"/>
    <cellStyle name="20% - Accent4 3 2" xfId="31"/>
    <cellStyle name="20% - Accent4 4" xfId="32"/>
    <cellStyle name="20% - Accent4 5" xfId="33"/>
    <cellStyle name="20% - Accent4 6" xfId="34"/>
    <cellStyle name="20% - Accent4 7" xfId="35"/>
    <cellStyle name="20% - Accent5 2" xfId="36"/>
    <cellStyle name="20% - Accent5 2 2" xfId="37"/>
    <cellStyle name="20% - Accent5 3" xfId="38"/>
    <cellStyle name="20% - Accent5 3 2" xfId="39"/>
    <cellStyle name="20% - Accent5 4" xfId="40"/>
    <cellStyle name="20% - Accent5 5" xfId="41"/>
    <cellStyle name="20% - Accent5 6" xfId="42"/>
    <cellStyle name="20% - Accent5 7" xfId="43"/>
    <cellStyle name="20% - Accent6 2" xfId="44"/>
    <cellStyle name="20% - Accent6 2 2" xfId="45"/>
    <cellStyle name="20% - Accent6 3" xfId="46"/>
    <cellStyle name="20% - Accent6 3 2" xfId="47"/>
    <cellStyle name="20% - Accent6 4" xfId="48"/>
    <cellStyle name="20% - Accent6 5" xfId="49"/>
    <cellStyle name="20% - Accent6 6" xfId="50"/>
    <cellStyle name="20% - Accent6 7" xfId="51"/>
    <cellStyle name="40% - Accent1 2" xfId="52"/>
    <cellStyle name="40% - Accent1 2 2" xfId="53"/>
    <cellStyle name="40% - Accent1 3" xfId="54"/>
    <cellStyle name="40% - Accent1 3 2" xfId="55"/>
    <cellStyle name="40% - Accent1 4" xfId="56"/>
    <cellStyle name="40% - Accent1 5" xfId="57"/>
    <cellStyle name="40% - Accent1 6" xfId="58"/>
    <cellStyle name="40% - Accent1 7" xfId="59"/>
    <cellStyle name="40% - Accent2 2" xfId="60"/>
    <cellStyle name="40% - Accent2 2 2" xfId="61"/>
    <cellStyle name="40% - Accent2 3" xfId="62"/>
    <cellStyle name="40% - Accent2 3 2" xfId="63"/>
    <cellStyle name="40% - Accent2 4" xfId="64"/>
    <cellStyle name="40% - Accent2 5" xfId="65"/>
    <cellStyle name="40% - Accent2 6" xfId="66"/>
    <cellStyle name="40% - Accent2 7" xfId="67"/>
    <cellStyle name="40% - Accent3 2" xfId="68"/>
    <cellStyle name="40% - Accent3 2 2" xfId="69"/>
    <cellStyle name="40% - Accent3 3" xfId="70"/>
    <cellStyle name="40% - Accent3 3 2" xfId="71"/>
    <cellStyle name="40% - Accent3 4" xfId="72"/>
    <cellStyle name="40% - Accent3 5" xfId="73"/>
    <cellStyle name="40% - Accent3 6" xfId="74"/>
    <cellStyle name="40% - Accent3 7" xfId="75"/>
    <cellStyle name="40% - Accent4 2" xfId="76"/>
    <cellStyle name="40% - Accent4 2 2" xfId="77"/>
    <cellStyle name="40% - Accent4 3" xfId="78"/>
    <cellStyle name="40% - Accent4 3 2" xfId="79"/>
    <cellStyle name="40% - Accent4 4" xfId="80"/>
    <cellStyle name="40% - Accent4 5" xfId="81"/>
    <cellStyle name="40% - Accent4 6" xfId="82"/>
    <cellStyle name="40% - Accent4 7" xfId="83"/>
    <cellStyle name="40% - Accent5 2" xfId="84"/>
    <cellStyle name="40% - Accent5 2 2" xfId="85"/>
    <cellStyle name="40% - Accent5 3" xfId="86"/>
    <cellStyle name="40% - Accent5 3 2" xfId="87"/>
    <cellStyle name="40% - Accent5 4" xfId="88"/>
    <cellStyle name="40% - Accent5 5" xfId="89"/>
    <cellStyle name="40% - Accent5 6" xfId="90"/>
    <cellStyle name="40% - Accent5 7" xfId="91"/>
    <cellStyle name="40% - Accent6 2" xfId="92"/>
    <cellStyle name="40% - Accent6 2 2" xfId="93"/>
    <cellStyle name="40% - Accent6 3" xfId="94"/>
    <cellStyle name="40% - Accent6 3 2" xfId="95"/>
    <cellStyle name="40% - Accent6 4" xfId="96"/>
    <cellStyle name="40% - Accent6 5" xfId="97"/>
    <cellStyle name="40% - Accent6 6" xfId="98"/>
    <cellStyle name="40% - Accent6 7" xfId="99"/>
    <cellStyle name="Column total in dollars" xfId="100"/>
    <cellStyle name="Comma" xfId="1" builtinId="3"/>
    <cellStyle name="Comma  - Style1" xfId="101"/>
    <cellStyle name="Comma  - Style2" xfId="102"/>
    <cellStyle name="Comma  - Style3" xfId="103"/>
    <cellStyle name="Comma  - Style4" xfId="104"/>
    <cellStyle name="Comma  - Style5" xfId="105"/>
    <cellStyle name="Comma  - Style6" xfId="106"/>
    <cellStyle name="Comma  - Style7" xfId="107"/>
    <cellStyle name="Comma  - Style8" xfId="108"/>
    <cellStyle name="Comma (0)" xfId="109"/>
    <cellStyle name="Comma [0] 2" xfId="110"/>
    <cellStyle name="Comma [0] 3" xfId="111"/>
    <cellStyle name="Comma 2" xfId="112"/>
    <cellStyle name="Comma 2 2" xfId="113"/>
    <cellStyle name="Comma 2 3" xfId="114"/>
    <cellStyle name="Comma 2 4" xfId="115"/>
    <cellStyle name="Comma 3" xfId="116"/>
    <cellStyle name="Comma 3 2" xfId="117"/>
    <cellStyle name="Comma 4" xfId="118"/>
    <cellStyle name="Comma 5" xfId="119"/>
    <cellStyle name="Comma 6" xfId="120"/>
    <cellStyle name="Comma 7" xfId="121"/>
    <cellStyle name="Comma0" xfId="122"/>
    <cellStyle name="Comma0 - Style3" xfId="123"/>
    <cellStyle name="Comma0 - Style4" xfId="124"/>
    <cellStyle name="Comma0_OMAG by BU" xfId="125"/>
    <cellStyle name="Comma1 - Style1" xfId="126"/>
    <cellStyle name="Currency 2" xfId="127"/>
    <cellStyle name="Currency 3" xfId="128"/>
    <cellStyle name="Currency No Comma" xfId="129"/>
    <cellStyle name="Currency(0)" xfId="130"/>
    <cellStyle name="Currency0" xfId="131"/>
    <cellStyle name="Date" xfId="132"/>
    <cellStyle name="Date - Style3" xfId="133"/>
    <cellStyle name="Date_OMAG by BU" xfId="134"/>
    <cellStyle name="Fixed" xfId="135"/>
    <cellStyle name="General" xfId="136"/>
    <cellStyle name="Grey" xfId="137"/>
    <cellStyle name="header" xfId="138"/>
    <cellStyle name="Header1" xfId="139"/>
    <cellStyle name="Header2" xfId="140"/>
    <cellStyle name="Hyperlink 2" xfId="141"/>
    <cellStyle name="Input [yellow]" xfId="142"/>
    <cellStyle name="Marathon" xfId="143"/>
    <cellStyle name="MCP" xfId="144"/>
    <cellStyle name="nONE" xfId="145"/>
    <cellStyle name="noninput" xfId="146"/>
    <cellStyle name="Normal" xfId="0" builtinId="0"/>
    <cellStyle name="Normal - Style1" xfId="147"/>
    <cellStyle name="Normal 2" xfId="148"/>
    <cellStyle name="Normal 2 2" xfId="149"/>
    <cellStyle name="Normal 2 3" xfId="150"/>
    <cellStyle name="Normal 2 3 2" xfId="151"/>
    <cellStyle name="Normal 2 4" xfId="152"/>
    <cellStyle name="Normal 2 5" xfId="153"/>
    <cellStyle name="Normal 3" xfId="154"/>
    <cellStyle name="Normal 4" xfId="155"/>
    <cellStyle name="Normal 4 2" xfId="156"/>
    <cellStyle name="Normal 4 4" xfId="157"/>
    <cellStyle name="Normal 5" xfId="158"/>
    <cellStyle name="Normal 6" xfId="159"/>
    <cellStyle name="Normal 7" xfId="160"/>
    <cellStyle name="Normal(0)" xfId="161"/>
    <cellStyle name="Normal_Sheet1" xfId="3"/>
    <cellStyle name="Note 2" xfId="162"/>
    <cellStyle name="Note 2 2" xfId="163"/>
    <cellStyle name="Note 3" xfId="164"/>
    <cellStyle name="Note 3 2" xfId="165"/>
    <cellStyle name="Note 4" xfId="166"/>
    <cellStyle name="Note 4 2" xfId="167"/>
    <cellStyle name="Note 5" xfId="168"/>
    <cellStyle name="Note 6" xfId="169"/>
    <cellStyle name="Note 7" xfId="170"/>
    <cellStyle name="Note 8" xfId="171"/>
    <cellStyle name="Note 9" xfId="172"/>
    <cellStyle name="Number" xfId="173"/>
    <cellStyle name="Password" xfId="174"/>
    <cellStyle name="Percen - Style1" xfId="175"/>
    <cellStyle name="Percen - Style2" xfId="176"/>
    <cellStyle name="Percent" xfId="2" builtinId="5"/>
    <cellStyle name="Percent [2]" xfId="177"/>
    <cellStyle name="Percent 2" xfId="178"/>
    <cellStyle name="Percent 3" xfId="179"/>
    <cellStyle name="Percent(0)" xfId="180"/>
    <cellStyle name="SAPBEXaggData" xfId="181"/>
    <cellStyle name="SAPBEXaggDataEmph" xfId="182"/>
    <cellStyle name="SAPBEXaggItem" xfId="183"/>
    <cellStyle name="SAPBEXaggItem 2" xfId="184"/>
    <cellStyle name="SAPBEXaggItem 3" xfId="185"/>
    <cellStyle name="SAPBEXaggItem 4" xfId="186"/>
    <cellStyle name="SAPBEXaggItem_Actuals 2007" xfId="187"/>
    <cellStyle name="SAPBEXaggItemX" xfId="188"/>
    <cellStyle name="SAPBEXchaText" xfId="189"/>
    <cellStyle name="SAPBEXchaText 2" xfId="190"/>
    <cellStyle name="SAPBEXchaText 3" xfId="191"/>
    <cellStyle name="SAPBEXchaText 4" xfId="192"/>
    <cellStyle name="SAPBEXchaText_Actuals 2007" xfId="193"/>
    <cellStyle name="SAPBEXexcBad7" xfId="194"/>
    <cellStyle name="SAPBEXexcBad8" xfId="195"/>
    <cellStyle name="SAPBEXexcBad9" xfId="196"/>
    <cellStyle name="SAPBEXexcCritical4" xfId="197"/>
    <cellStyle name="SAPBEXexcCritical5" xfId="198"/>
    <cellStyle name="SAPBEXexcCritical6" xfId="199"/>
    <cellStyle name="SAPBEXexcGood1" xfId="200"/>
    <cellStyle name="SAPBEXexcGood2" xfId="201"/>
    <cellStyle name="SAPBEXexcGood3" xfId="202"/>
    <cellStyle name="SAPBEXfilterDrill" xfId="203"/>
    <cellStyle name="SAPBEXfilterItem" xfId="204"/>
    <cellStyle name="SAPBEXfilterItem 2" xfId="205"/>
    <cellStyle name="SAPBEXfilterItem 3" xfId="206"/>
    <cellStyle name="SAPBEXfilterItem 4" xfId="207"/>
    <cellStyle name="SAPBEXfilterItem_Actuals 2007" xfId="208"/>
    <cellStyle name="SAPBEXfilterText" xfId="209"/>
    <cellStyle name="SAPBEXfilterText 2" xfId="210"/>
    <cellStyle name="SAPBEXfilterText 3" xfId="211"/>
    <cellStyle name="SAPBEXfilterText 4" xfId="212"/>
    <cellStyle name="SAPBEXformats" xfId="213"/>
    <cellStyle name="SAPBEXformats 2" xfId="214"/>
    <cellStyle name="SAPBEXheaderItem" xfId="215"/>
    <cellStyle name="SAPBEXheaderItem 2" xfId="216"/>
    <cellStyle name="SAPBEXheaderItem 3" xfId="217"/>
    <cellStyle name="SAPBEXheaderItem 4" xfId="218"/>
    <cellStyle name="SAPBEXheaderItem 5" xfId="219"/>
    <cellStyle name="SAPBEXheaderItem 6" xfId="220"/>
    <cellStyle name="SAPBEXheaderItem 7" xfId="221"/>
    <cellStyle name="SAPBEXheaderItem 8" xfId="222"/>
    <cellStyle name="SAPBEXheaderItem_Actuals 2007" xfId="223"/>
    <cellStyle name="SAPBEXheaderText" xfId="224"/>
    <cellStyle name="SAPBEXheaderText 2" xfId="225"/>
    <cellStyle name="SAPBEXheaderText 3" xfId="226"/>
    <cellStyle name="SAPBEXheaderText 4" xfId="227"/>
    <cellStyle name="SAPBEXheaderText 5" xfId="228"/>
    <cellStyle name="SAPBEXheaderText 6" xfId="229"/>
    <cellStyle name="SAPBEXheaderText 7" xfId="230"/>
    <cellStyle name="SAPBEXheaderText 8" xfId="231"/>
    <cellStyle name="SAPBEXheaderText_Actuals 2007" xfId="232"/>
    <cellStyle name="SAPBEXHLevel0" xfId="233"/>
    <cellStyle name="SAPBEXHLevel0 2" xfId="234"/>
    <cellStyle name="SAPBEXHLevel0 3" xfId="235"/>
    <cellStyle name="SAPBEXHLevel0 4" xfId="236"/>
    <cellStyle name="SAPBEXHLevel0X" xfId="237"/>
    <cellStyle name="SAPBEXHLevel0X 2" xfId="238"/>
    <cellStyle name="SAPBEXHLevel0X 3" xfId="239"/>
    <cellStyle name="SAPBEXHLevel0X 4" xfId="240"/>
    <cellStyle name="SAPBEXHLevel1" xfId="241"/>
    <cellStyle name="SAPBEXHLevel1 2" xfId="242"/>
    <cellStyle name="SAPBEXHLevel1 3" xfId="243"/>
    <cellStyle name="SAPBEXHLevel1 4" xfId="244"/>
    <cellStyle name="SAPBEXHLevel1X" xfId="245"/>
    <cellStyle name="SAPBEXHLevel1X 2" xfId="246"/>
    <cellStyle name="SAPBEXHLevel1X 3" xfId="247"/>
    <cellStyle name="SAPBEXHLevel1X 4" xfId="248"/>
    <cellStyle name="SAPBEXHLevel2" xfId="249"/>
    <cellStyle name="SAPBEXHLevel2 2" xfId="250"/>
    <cellStyle name="SAPBEXHLevel2 3" xfId="251"/>
    <cellStyle name="SAPBEXHLevel2 4" xfId="252"/>
    <cellStyle name="SAPBEXHLevel2X" xfId="253"/>
    <cellStyle name="SAPBEXHLevel2X 2" xfId="254"/>
    <cellStyle name="SAPBEXHLevel2X 3" xfId="255"/>
    <cellStyle name="SAPBEXHLevel2X 4" xfId="256"/>
    <cellStyle name="SAPBEXHLevel3" xfId="257"/>
    <cellStyle name="SAPBEXHLevel3 2" xfId="258"/>
    <cellStyle name="SAPBEXHLevel3 3" xfId="259"/>
    <cellStyle name="SAPBEXHLevel3 4" xfId="260"/>
    <cellStyle name="SAPBEXHLevel3X" xfId="261"/>
    <cellStyle name="SAPBEXHLevel3X 2" xfId="262"/>
    <cellStyle name="SAPBEXHLevel3X 3" xfId="263"/>
    <cellStyle name="SAPBEXHLevel3X 4" xfId="264"/>
    <cellStyle name="SAPBEXresData" xfId="265"/>
    <cellStyle name="SAPBEXresDataEmph" xfId="266"/>
    <cellStyle name="SAPBEXresItem" xfId="267"/>
    <cellStyle name="SAPBEXresItemX" xfId="268"/>
    <cellStyle name="SAPBEXstdData" xfId="269"/>
    <cellStyle name="SAPBEXstdData 2" xfId="270"/>
    <cellStyle name="SAPBEXstdData 3" xfId="271"/>
    <cellStyle name="SAPBEXstdData 4" xfId="272"/>
    <cellStyle name="SAPBEXstdData_Actuals 2007" xfId="273"/>
    <cellStyle name="SAPBEXstdDataEmph" xfId="274"/>
    <cellStyle name="SAPBEXstdItem" xfId="275"/>
    <cellStyle name="SAPBEXstdItem 2" xfId="276"/>
    <cellStyle name="SAPBEXstdItem 3" xfId="277"/>
    <cellStyle name="SAPBEXstdItem 4" xfId="278"/>
    <cellStyle name="SAPBEXstdItem_Actuals 2007" xfId="279"/>
    <cellStyle name="SAPBEXstdItemX" xfId="280"/>
    <cellStyle name="SAPBEXstdItemX 2" xfId="281"/>
    <cellStyle name="SAPBEXstdItemX 3" xfId="282"/>
    <cellStyle name="SAPBEXstdItemX 4" xfId="283"/>
    <cellStyle name="SAPBEXstdItemX_Actuals 2007" xfId="284"/>
    <cellStyle name="SAPBEXtitle" xfId="285"/>
    <cellStyle name="SAPBEXtitle 2" xfId="286"/>
    <cellStyle name="SAPBEXtitle 3" xfId="287"/>
    <cellStyle name="SAPBEXtitle 4" xfId="288"/>
    <cellStyle name="SAPBEXtitle 5" xfId="289"/>
    <cellStyle name="SAPBEXtitle 6" xfId="290"/>
    <cellStyle name="SAPBEXtitle 7" xfId="291"/>
    <cellStyle name="SAPBEXtitle 8" xfId="292"/>
    <cellStyle name="SAPBEXtitle_Actuals 2007" xfId="293"/>
    <cellStyle name="SAPBEXundefined" xfId="294"/>
    <cellStyle name="Shade" xfId="295"/>
    <cellStyle name="Special" xfId="296"/>
    <cellStyle name="Style 1" xfId="297"/>
    <cellStyle name="Style 27" xfId="298"/>
    <cellStyle name="Style 35" xfId="299"/>
    <cellStyle name="Style 36" xfId="300"/>
    <cellStyle name="Titles" xfId="301"/>
    <cellStyle name="Total2 - Style2" xfId="302"/>
    <cellStyle name="TRANSMISSION RELIABILITY PORTION OF PROJECT" xfId="303"/>
    <cellStyle name="Underl - Style4" xfId="304"/>
    <cellStyle name="Unprot" xfId="305"/>
    <cellStyle name="Unprot$" xfId="306"/>
    <cellStyle name="Unprotect" xfId="3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cal%20Settings/Temporary%20Internet%20Files/OLK1AC/RECOV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21566/LOCALS~1/Temp/xSAPtemp348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21895/Desktop/Defdebit-AM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D274"/>
  <sheetViews>
    <sheetView tabSelected="1" zoomScale="75" zoomScaleNormal="75" workbookViewId="0">
      <pane xSplit="2" ySplit="9" topLeftCell="P10" activePane="bottomRight" state="frozen"/>
      <selection pane="topRight" activeCell="C1" sqref="C1"/>
      <selection pane="bottomLeft" activeCell="A4" sqref="A4"/>
      <selection pane="bottomRight"/>
    </sheetView>
  </sheetViews>
  <sheetFormatPr defaultRowHeight="15.75" outlineLevelCol="1"/>
  <cols>
    <col min="1" max="1" width="5.28515625" style="1" bestFit="1" customWidth="1"/>
    <col min="2" max="2" width="62" style="1" bestFit="1" customWidth="1"/>
    <col min="3" max="15" width="18" style="1" hidden="1" customWidth="1" outlineLevel="1"/>
    <col min="16" max="16" width="18.5703125" style="1" bestFit="1" customWidth="1" collapsed="1"/>
    <col min="17" max="17" width="20.140625" style="1" hidden="1" customWidth="1"/>
    <col min="18" max="18" width="11.28515625" style="1" hidden="1" customWidth="1"/>
    <col min="19" max="19" width="3.5703125" style="1" customWidth="1"/>
    <col min="20" max="21" width="16.7109375" style="1" customWidth="1" outlineLevel="1"/>
    <col min="22" max="22" width="18" style="1" customWidth="1" outlineLevel="1"/>
    <col min="23" max="23" width="17.7109375" style="1" customWidth="1" outlineLevel="1"/>
    <col min="24" max="24" width="15.7109375" style="1" customWidth="1" outlineLevel="1"/>
    <col min="25" max="25" width="18" style="1" customWidth="1" outlineLevel="1"/>
    <col min="26" max="26" width="16.85546875" style="1" customWidth="1" outlineLevel="1"/>
    <col min="27" max="27" width="18.85546875" style="1" customWidth="1" outlineLevel="1"/>
    <col min="28" max="28" width="11.140625" style="1" bestFit="1" customWidth="1"/>
    <col min="29" max="29" width="13.140625" style="1" bestFit="1" customWidth="1"/>
    <col min="30" max="16384" width="9.140625" style="1"/>
  </cols>
  <sheetData>
    <row r="1" spans="1:28">
      <c r="B1" s="2" t="s">
        <v>182</v>
      </c>
    </row>
    <row r="2" spans="1:28">
      <c r="B2" s="42" t="s">
        <v>179</v>
      </c>
    </row>
    <row r="3" spans="1:28">
      <c r="B3" s="43" t="s">
        <v>180</v>
      </c>
    </row>
    <row r="4" spans="1:28">
      <c r="B4" s="2" t="s">
        <v>181</v>
      </c>
    </row>
    <row r="5" spans="1:28">
      <c r="B5" s="2"/>
    </row>
    <row r="6" spans="1:28">
      <c r="B6" s="41" t="s">
        <v>183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 t="s">
        <v>184</v>
      </c>
      <c r="Q6" s="41"/>
      <c r="R6" s="41"/>
      <c r="T6" s="41" t="s">
        <v>185</v>
      </c>
      <c r="U6" s="41" t="s">
        <v>186</v>
      </c>
      <c r="V6" s="41" t="s">
        <v>187</v>
      </c>
      <c r="W6" s="41" t="s">
        <v>188</v>
      </c>
      <c r="X6" s="41" t="s">
        <v>189</v>
      </c>
      <c r="Y6" s="41" t="s">
        <v>190</v>
      </c>
      <c r="Z6" s="41" t="s">
        <v>191</v>
      </c>
      <c r="AA6" s="41" t="s">
        <v>192</v>
      </c>
      <c r="AB6" s="41"/>
    </row>
    <row r="7" spans="1:28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T7" s="3"/>
      <c r="U7" s="3"/>
      <c r="V7" s="3"/>
      <c r="W7" s="3"/>
      <c r="X7" s="3"/>
      <c r="Y7" s="3"/>
      <c r="Z7" s="3"/>
      <c r="AA7" s="3"/>
    </row>
    <row r="8" spans="1:28">
      <c r="A8" s="3" t="s">
        <v>0</v>
      </c>
      <c r="B8" s="4" t="s">
        <v>1</v>
      </c>
      <c r="C8" s="5">
        <v>40695</v>
      </c>
      <c r="D8" s="5">
        <v>40725</v>
      </c>
      <c r="E8" s="5">
        <v>40756</v>
      </c>
      <c r="F8" s="5">
        <v>40787</v>
      </c>
      <c r="G8" s="5">
        <v>40817</v>
      </c>
      <c r="H8" s="5">
        <v>40848</v>
      </c>
      <c r="I8" s="5">
        <v>40878</v>
      </c>
      <c r="J8" s="5">
        <v>40909</v>
      </c>
      <c r="K8" s="5">
        <v>40940</v>
      </c>
      <c r="L8" s="5">
        <v>40969</v>
      </c>
      <c r="M8" s="5">
        <v>41000</v>
      </c>
      <c r="N8" s="5">
        <v>41030</v>
      </c>
      <c r="O8" s="5">
        <v>41061</v>
      </c>
      <c r="P8" s="3" t="s">
        <v>2</v>
      </c>
      <c r="Q8" s="6" t="s">
        <v>3</v>
      </c>
      <c r="R8" s="6" t="s">
        <v>4</v>
      </c>
      <c r="T8" s="3" t="s">
        <v>5</v>
      </c>
      <c r="U8" s="3" t="s">
        <v>6</v>
      </c>
      <c r="V8" s="3" t="s">
        <v>7</v>
      </c>
      <c r="W8" s="3" t="s">
        <v>8</v>
      </c>
      <c r="X8" s="44" t="s">
        <v>9</v>
      </c>
      <c r="Y8" s="44"/>
      <c r="Z8" s="44"/>
      <c r="AA8" s="7" t="s">
        <v>10</v>
      </c>
    </row>
    <row r="9" spans="1:28">
      <c r="B9" s="8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6"/>
      <c r="Q9" s="6"/>
      <c r="R9" s="6"/>
      <c r="X9" s="3" t="s">
        <v>11</v>
      </c>
      <c r="Y9" s="3" t="s">
        <v>12</v>
      </c>
      <c r="Z9" s="3" t="s">
        <v>13</v>
      </c>
    </row>
    <row r="10" spans="1:28" s="6" customFormat="1">
      <c r="A10" s="6">
        <v>1</v>
      </c>
      <c r="B10" s="9" t="s">
        <v>14</v>
      </c>
      <c r="C10" s="4" t="s">
        <v>15</v>
      </c>
      <c r="D10" s="4" t="s">
        <v>15</v>
      </c>
      <c r="E10" s="4" t="s">
        <v>15</v>
      </c>
      <c r="F10" s="4" t="s">
        <v>15</v>
      </c>
      <c r="G10" s="4" t="s">
        <v>15</v>
      </c>
      <c r="H10" s="4" t="s">
        <v>15</v>
      </c>
      <c r="I10" s="4" t="s">
        <v>15</v>
      </c>
      <c r="J10" s="4" t="s">
        <v>15</v>
      </c>
      <c r="K10" s="4" t="s">
        <v>15</v>
      </c>
      <c r="L10" s="4" t="s">
        <v>15</v>
      </c>
      <c r="M10" s="4" t="s">
        <v>15</v>
      </c>
      <c r="N10" s="4" t="s">
        <v>15</v>
      </c>
      <c r="O10" s="4" t="s">
        <v>15</v>
      </c>
      <c r="R10" s="6" t="s">
        <v>16</v>
      </c>
      <c r="X10" s="10"/>
      <c r="Y10" s="10"/>
      <c r="Z10" s="10"/>
      <c r="AA10" s="10"/>
      <c r="AB10" s="10"/>
    </row>
    <row r="11" spans="1:28" s="6" customFormat="1">
      <c r="A11" s="6">
        <f t="shared" ref="A11:A74" si="0">+A10+1</f>
        <v>2</v>
      </c>
      <c r="B11" s="9" t="s">
        <v>17</v>
      </c>
      <c r="C11" s="11">
        <f>22519683339.27-25026303</f>
        <v>22494657036.27</v>
      </c>
      <c r="D11" s="11">
        <f>22538905367.18-25026303</f>
        <v>22513879064.18</v>
      </c>
      <c r="E11" s="11">
        <f>22592506930.14-25145661</f>
        <v>22567361269.139999</v>
      </c>
      <c r="F11" s="11">
        <f>22598922375.09-25155340</f>
        <v>22573767035.09</v>
      </c>
      <c r="G11" s="11">
        <f>22633607562.82-25183132</f>
        <v>22608424430.82</v>
      </c>
      <c r="H11" s="11">
        <f>22885467141.58-25195886</f>
        <v>22860271255.580002</v>
      </c>
      <c r="I11" s="11">
        <v>23014228731.009998</v>
      </c>
      <c r="J11" s="11">
        <v>23041852963.66</v>
      </c>
      <c r="K11" s="11">
        <v>23063076957.150002</v>
      </c>
      <c r="L11" s="11">
        <v>23141225342.98</v>
      </c>
      <c r="M11" s="11">
        <v>23276471692.220001</v>
      </c>
      <c r="N11" s="11">
        <v>23341283033.93</v>
      </c>
      <c r="O11" s="11">
        <v>23570701300.41</v>
      </c>
      <c r="P11" s="12">
        <f>(C11+2*SUM(D11:N11)+O11)/24</f>
        <v>22919543412.008335</v>
      </c>
      <c r="Q11" s="12">
        <f t="shared" ref="Q11:Q25" si="1">AVERAGE(D11:O11)</f>
        <v>22964378589.680832</v>
      </c>
      <c r="R11" s="13">
        <f>+Q11/P11-1</f>
        <v>1.9561985536329374E-3</v>
      </c>
      <c r="V11" s="12">
        <f>+P11</f>
        <v>22919543412.008335</v>
      </c>
      <c r="X11" s="10">
        <v>1548960033.034529</v>
      </c>
      <c r="Y11" s="10">
        <v>21277452770.969261</v>
      </c>
      <c r="Z11" s="10">
        <f>+P11-X11-Y11</f>
        <v>93130608.004543304</v>
      </c>
      <c r="AA11" s="10">
        <f>+Z11+X11+Y11</f>
        <v>22919543412.008335</v>
      </c>
      <c r="AB11" s="10">
        <f>+AA11-V11</f>
        <v>0</v>
      </c>
    </row>
    <row r="12" spans="1:28" s="6" customFormat="1">
      <c r="A12" s="6">
        <f t="shared" si="0"/>
        <v>3</v>
      </c>
      <c r="B12" s="9" t="s">
        <v>18</v>
      </c>
      <c r="C12" s="11">
        <v>1028316270.58</v>
      </c>
      <c r="D12" s="11">
        <v>1115094453.8399999</v>
      </c>
      <c r="E12" s="11">
        <v>1162288374.3199999</v>
      </c>
      <c r="F12" s="11">
        <v>1243059219.7</v>
      </c>
      <c r="G12" s="11">
        <v>1323576403.99</v>
      </c>
      <c r="H12" s="11">
        <v>1199496888.6600001</v>
      </c>
      <c r="I12" s="11">
        <v>1203547965.21</v>
      </c>
      <c r="J12" s="11">
        <v>1262420584.3299999</v>
      </c>
      <c r="K12" s="11">
        <v>1343476611.71</v>
      </c>
      <c r="L12" s="11">
        <v>1334646286.0999999</v>
      </c>
      <c r="M12" s="11">
        <v>1304174952.55</v>
      </c>
      <c r="N12" s="11">
        <v>1345399206.3099999</v>
      </c>
      <c r="O12" s="11">
        <v>1198496961.5599999</v>
      </c>
      <c r="P12" s="12">
        <f t="shared" ref="P12:P25" si="2">(C12+2*SUM(D12:N12)+O12)/24</f>
        <v>1245882296.8991666</v>
      </c>
      <c r="Q12" s="12">
        <f t="shared" si="1"/>
        <v>1252973159.0233331</v>
      </c>
      <c r="R12" s="13">
        <f>+Q12/P12-1</f>
        <v>5.6914382215838E-3</v>
      </c>
      <c r="V12" s="12">
        <f>+P12</f>
        <v>1245882296.8991666</v>
      </c>
      <c r="X12" s="10"/>
      <c r="Y12" s="10"/>
      <c r="Z12" s="10">
        <f>+V12</f>
        <v>1245882296.8991666</v>
      </c>
      <c r="AA12" s="10">
        <f>+Z12+X12+Y12</f>
        <v>1245882296.8991666</v>
      </c>
      <c r="AB12" s="10">
        <f>+AA12-V12</f>
        <v>0</v>
      </c>
    </row>
    <row r="13" spans="1:28" s="6" customFormat="1">
      <c r="A13" s="6">
        <f t="shared" si="0"/>
        <v>4</v>
      </c>
      <c r="B13" s="9" t="s">
        <v>19</v>
      </c>
      <c r="C13" s="11">
        <f t="shared" ref="C13:N13" si="3">SUM(C11:C12)</f>
        <v>23522973306.850002</v>
      </c>
      <c r="D13" s="11">
        <f t="shared" si="3"/>
        <v>23628973518.02</v>
      </c>
      <c r="E13" s="11">
        <f t="shared" si="3"/>
        <v>23729649643.459999</v>
      </c>
      <c r="F13" s="11">
        <f t="shared" si="3"/>
        <v>23816826254.790001</v>
      </c>
      <c r="G13" s="11">
        <f t="shared" si="3"/>
        <v>23932000834.810001</v>
      </c>
      <c r="H13" s="11">
        <f t="shared" si="3"/>
        <v>24059768144.240002</v>
      </c>
      <c r="I13" s="11">
        <f t="shared" si="3"/>
        <v>24217776696.219997</v>
      </c>
      <c r="J13" s="11">
        <f t="shared" si="3"/>
        <v>24304273547.989998</v>
      </c>
      <c r="K13" s="11">
        <f t="shared" si="3"/>
        <v>24406553568.860001</v>
      </c>
      <c r="L13" s="11">
        <f t="shared" si="3"/>
        <v>24475871629.079998</v>
      </c>
      <c r="M13" s="11">
        <f t="shared" si="3"/>
        <v>24580646644.77</v>
      </c>
      <c r="N13" s="11">
        <f t="shared" si="3"/>
        <v>24686682240.240002</v>
      </c>
      <c r="O13" s="11">
        <f>SUM(O11:O12)</f>
        <v>24769198261.970001</v>
      </c>
      <c r="P13" s="12">
        <f>(C13+2*SUM(D13:N13)+O13)/24</f>
        <v>24165425708.90749</v>
      </c>
      <c r="Q13" s="12">
        <f t="shared" si="1"/>
        <v>24217351748.704163</v>
      </c>
      <c r="R13" s="13">
        <f>+Q13/P13-1</f>
        <v>2.1487740552210699E-3</v>
      </c>
      <c r="X13" s="10"/>
      <c r="Y13" s="10"/>
      <c r="Z13" s="10"/>
      <c r="AA13" s="10"/>
      <c r="AB13" s="10">
        <f t="shared" ref="AB13:AB76" si="4">+AA13-V13</f>
        <v>0</v>
      </c>
    </row>
    <row r="14" spans="1:28" s="6" customFormat="1">
      <c r="A14" s="6">
        <f t="shared" si="0"/>
        <v>5</v>
      </c>
      <c r="B14" s="9" t="s">
        <v>20</v>
      </c>
      <c r="C14" s="11">
        <v>7552203238.9499998</v>
      </c>
      <c r="D14" s="11">
        <v>7585333316.8999996</v>
      </c>
      <c r="E14" s="11">
        <v>7615857092.5699997</v>
      </c>
      <c r="F14" s="11">
        <v>7640180650.9399996</v>
      </c>
      <c r="G14" s="11">
        <v>7659358031.1700001</v>
      </c>
      <c r="H14" s="11">
        <v>7694397958.6300001</v>
      </c>
      <c r="I14" s="11">
        <v>7666665055.4700003</v>
      </c>
      <c r="J14" s="11">
        <v>7702786353.1899996</v>
      </c>
      <c r="K14" s="11">
        <v>7738759852.1999998</v>
      </c>
      <c r="L14" s="11">
        <v>7730562168.8100004</v>
      </c>
      <c r="M14" s="11">
        <v>7747416317.5500002</v>
      </c>
      <c r="N14" s="11">
        <v>7789820002.1700001</v>
      </c>
      <c r="O14" s="11">
        <v>7826359196.9499998</v>
      </c>
      <c r="P14" s="12">
        <f t="shared" si="2"/>
        <v>7688368168.1291685</v>
      </c>
      <c r="Q14" s="12">
        <f t="shared" si="1"/>
        <v>7699791333.0458336</v>
      </c>
      <c r="R14" s="13">
        <f>+Q14/P14-1</f>
        <v>1.4857723598640238E-3</v>
      </c>
      <c r="V14" s="12">
        <f>-P14</f>
        <v>-7688368168.1291685</v>
      </c>
      <c r="X14" s="10">
        <v>-602925363.62793529</v>
      </c>
      <c r="Y14" s="10">
        <v>-7045213334.3912182</v>
      </c>
      <c r="Z14" s="10">
        <f>-P14-X14-Y14</f>
        <v>-40229470.110014915</v>
      </c>
      <c r="AA14" s="10">
        <f>+Z14+X14+Y14</f>
        <v>-7688368168.1291685</v>
      </c>
      <c r="AB14" s="10">
        <f t="shared" si="4"/>
        <v>0</v>
      </c>
    </row>
    <row r="15" spans="1:28" s="6" customFormat="1">
      <c r="A15" s="6">
        <f t="shared" si="0"/>
        <v>6</v>
      </c>
      <c r="B15" s="9" t="s">
        <v>21</v>
      </c>
      <c r="C15" s="11">
        <f t="shared" ref="C15:N15" si="5">C13-C14</f>
        <v>15970770067.900002</v>
      </c>
      <c r="D15" s="11">
        <f t="shared" si="5"/>
        <v>16043640201.120001</v>
      </c>
      <c r="E15" s="11">
        <f t="shared" si="5"/>
        <v>16113792550.889999</v>
      </c>
      <c r="F15" s="11">
        <f t="shared" si="5"/>
        <v>16176645603.850002</v>
      </c>
      <c r="G15" s="11">
        <f t="shared" si="5"/>
        <v>16272642803.640001</v>
      </c>
      <c r="H15" s="11">
        <f t="shared" si="5"/>
        <v>16365370185.610001</v>
      </c>
      <c r="I15" s="11">
        <f t="shared" si="5"/>
        <v>16551111640.749996</v>
      </c>
      <c r="J15" s="11">
        <f t="shared" si="5"/>
        <v>16601487194.799999</v>
      </c>
      <c r="K15" s="11">
        <f t="shared" si="5"/>
        <v>16667793716.66</v>
      </c>
      <c r="L15" s="11">
        <f t="shared" si="5"/>
        <v>16745309460.269997</v>
      </c>
      <c r="M15" s="11">
        <f t="shared" si="5"/>
        <v>16833230327.220001</v>
      </c>
      <c r="N15" s="11">
        <f t="shared" si="5"/>
        <v>16896862238.070002</v>
      </c>
      <c r="O15" s="11">
        <f>O13-O14</f>
        <v>16942839065.02</v>
      </c>
      <c r="P15" s="12">
        <f t="shared" si="2"/>
        <v>16477057540.778336</v>
      </c>
      <c r="Q15" s="12">
        <f t="shared" si="1"/>
        <v>16517560415.658333</v>
      </c>
      <c r="R15" s="13">
        <f>+Q15/P15-1</f>
        <v>2.4581376122381204E-3</v>
      </c>
      <c r="X15" s="10"/>
      <c r="Y15" s="10"/>
      <c r="Z15" s="10"/>
      <c r="AA15" s="10"/>
      <c r="AB15" s="10">
        <f t="shared" si="4"/>
        <v>0</v>
      </c>
    </row>
    <row r="16" spans="1:28" s="6" customFormat="1">
      <c r="A16" s="6">
        <f t="shared" si="0"/>
        <v>7</v>
      </c>
      <c r="B16" s="9" t="s">
        <v>22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2">
        <f t="shared" si="2"/>
        <v>0</v>
      </c>
      <c r="Q16" s="12" t="e">
        <f t="shared" si="1"/>
        <v>#DIV/0!</v>
      </c>
      <c r="R16" s="13"/>
      <c r="X16" s="10"/>
      <c r="Y16" s="10"/>
      <c r="Z16" s="10"/>
      <c r="AA16" s="10"/>
      <c r="AB16" s="10">
        <f t="shared" si="4"/>
        <v>0</v>
      </c>
    </row>
    <row r="17" spans="1:29" s="6" customFormat="1">
      <c r="A17" s="6">
        <f t="shared" si="0"/>
        <v>8</v>
      </c>
      <c r="B17" s="9" t="s">
        <v>23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2">
        <f t="shared" si="2"/>
        <v>0</v>
      </c>
      <c r="Q17" s="12" t="e">
        <f t="shared" si="1"/>
        <v>#DIV/0!</v>
      </c>
      <c r="R17" s="13"/>
      <c r="X17" s="10"/>
      <c r="Y17" s="10"/>
      <c r="Z17" s="10"/>
      <c r="AA17" s="10"/>
      <c r="AB17" s="10">
        <f t="shared" si="4"/>
        <v>0</v>
      </c>
    </row>
    <row r="18" spans="1:29" s="6" customFormat="1">
      <c r="A18" s="6">
        <f t="shared" si="0"/>
        <v>9</v>
      </c>
      <c r="B18" s="9" t="s">
        <v>24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2">
        <f t="shared" si="2"/>
        <v>0</v>
      </c>
      <c r="Q18" s="12" t="e">
        <f t="shared" si="1"/>
        <v>#DIV/0!</v>
      </c>
      <c r="R18" s="13"/>
      <c r="X18" s="10"/>
      <c r="Y18" s="10"/>
      <c r="Z18" s="10"/>
      <c r="AA18" s="10"/>
      <c r="AB18" s="10">
        <f t="shared" si="4"/>
        <v>0</v>
      </c>
    </row>
    <row r="19" spans="1:29" s="6" customFormat="1">
      <c r="A19" s="6">
        <f t="shared" si="0"/>
        <v>10</v>
      </c>
      <c r="B19" s="9" t="s">
        <v>25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2">
        <f t="shared" si="2"/>
        <v>0</v>
      </c>
      <c r="Q19" s="12" t="e">
        <f t="shared" si="1"/>
        <v>#DIV/0!</v>
      </c>
      <c r="R19" s="13"/>
      <c r="X19" s="10"/>
      <c r="Y19" s="10"/>
      <c r="Z19" s="10"/>
      <c r="AA19" s="10"/>
      <c r="AB19" s="10">
        <f t="shared" si="4"/>
        <v>0</v>
      </c>
    </row>
    <row r="20" spans="1:29" s="6" customFormat="1">
      <c r="A20" s="6">
        <f t="shared" si="0"/>
        <v>11</v>
      </c>
      <c r="B20" s="9" t="s">
        <v>26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2">
        <f t="shared" si="2"/>
        <v>0</v>
      </c>
      <c r="Q20" s="12" t="e">
        <f t="shared" si="1"/>
        <v>#DIV/0!</v>
      </c>
      <c r="R20" s="13"/>
      <c r="X20" s="10"/>
      <c r="Y20" s="10"/>
      <c r="Z20" s="10"/>
      <c r="AA20" s="10"/>
      <c r="AB20" s="10">
        <f t="shared" si="4"/>
        <v>0</v>
      </c>
    </row>
    <row r="21" spans="1:29" s="6" customFormat="1">
      <c r="A21" s="6">
        <f t="shared" si="0"/>
        <v>12</v>
      </c>
      <c r="B21" s="9" t="s">
        <v>27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2">
        <f t="shared" si="2"/>
        <v>0</v>
      </c>
      <c r="Q21" s="12" t="e">
        <f t="shared" si="1"/>
        <v>#DIV/0!</v>
      </c>
      <c r="R21" s="13"/>
      <c r="X21" s="10"/>
      <c r="Y21" s="10"/>
      <c r="Z21" s="10"/>
      <c r="AA21" s="10"/>
      <c r="AB21" s="10">
        <f t="shared" si="4"/>
        <v>0</v>
      </c>
    </row>
    <row r="22" spans="1:29" s="6" customFormat="1">
      <c r="A22" s="6">
        <f t="shared" si="0"/>
        <v>13</v>
      </c>
      <c r="B22" s="9" t="s">
        <v>28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2">
        <f t="shared" si="2"/>
        <v>0</v>
      </c>
      <c r="Q22" s="12" t="e">
        <f t="shared" si="1"/>
        <v>#DIV/0!</v>
      </c>
      <c r="R22" s="13"/>
      <c r="X22" s="10"/>
      <c r="Y22" s="10"/>
      <c r="Z22" s="10"/>
      <c r="AA22" s="10"/>
      <c r="AB22" s="10">
        <f t="shared" si="4"/>
        <v>0</v>
      </c>
    </row>
    <row r="23" spans="1:29" s="6" customFormat="1">
      <c r="A23" s="6">
        <f t="shared" si="0"/>
        <v>14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2">
        <f t="shared" si="2"/>
        <v>0</v>
      </c>
      <c r="Q23" s="12" t="e">
        <f t="shared" si="1"/>
        <v>#DIV/0!</v>
      </c>
      <c r="R23" s="13"/>
      <c r="T23"/>
      <c r="U23"/>
      <c r="V23"/>
      <c r="W23"/>
      <c r="X23"/>
      <c r="Y23"/>
      <c r="Z23"/>
      <c r="AA23"/>
      <c r="AB23" s="10">
        <f t="shared" si="4"/>
        <v>0</v>
      </c>
    </row>
    <row r="24" spans="1:29" s="6" customFormat="1">
      <c r="A24" s="6">
        <f t="shared" si="0"/>
        <v>15</v>
      </c>
      <c r="B24" s="9" t="s">
        <v>21</v>
      </c>
      <c r="C24" s="11">
        <f t="shared" ref="C24:N24" si="6">C15</f>
        <v>15970770067.900002</v>
      </c>
      <c r="D24" s="11">
        <f t="shared" si="6"/>
        <v>16043640201.120001</v>
      </c>
      <c r="E24" s="11">
        <f t="shared" si="6"/>
        <v>16113792550.889999</v>
      </c>
      <c r="F24" s="11">
        <f t="shared" si="6"/>
        <v>16176645603.850002</v>
      </c>
      <c r="G24" s="11">
        <f t="shared" si="6"/>
        <v>16272642803.640001</v>
      </c>
      <c r="H24" s="11">
        <f t="shared" si="6"/>
        <v>16365370185.610001</v>
      </c>
      <c r="I24" s="11">
        <f t="shared" si="6"/>
        <v>16551111640.749996</v>
      </c>
      <c r="J24" s="11">
        <f t="shared" si="6"/>
        <v>16601487194.799999</v>
      </c>
      <c r="K24" s="11">
        <f t="shared" si="6"/>
        <v>16667793716.66</v>
      </c>
      <c r="L24" s="11">
        <f t="shared" si="6"/>
        <v>16745309460.269997</v>
      </c>
      <c r="M24" s="11">
        <f t="shared" si="6"/>
        <v>16833230327.220001</v>
      </c>
      <c r="N24" s="11">
        <f t="shared" si="6"/>
        <v>16896862238.070002</v>
      </c>
      <c r="O24" s="11">
        <f>O15</f>
        <v>16942839065.02</v>
      </c>
      <c r="P24" s="14">
        <f t="shared" si="2"/>
        <v>16477057540.778336</v>
      </c>
      <c r="Q24" s="12">
        <f t="shared" si="1"/>
        <v>16517560415.658333</v>
      </c>
      <c r="R24" s="13">
        <f>+Q24/P24-1</f>
        <v>2.4581376122381204E-3</v>
      </c>
      <c r="T24"/>
      <c r="U24"/>
      <c r="V24"/>
      <c r="W24"/>
      <c r="X24"/>
      <c r="Y24"/>
      <c r="Z24"/>
      <c r="AA24"/>
      <c r="AB24" s="10">
        <f t="shared" si="4"/>
        <v>0</v>
      </c>
    </row>
    <row r="25" spans="1:29" s="6" customFormat="1">
      <c r="A25" s="6">
        <f t="shared" si="0"/>
        <v>16</v>
      </c>
      <c r="B25" s="9" t="s">
        <v>29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>
        <f t="shared" si="2"/>
        <v>0</v>
      </c>
      <c r="Q25" s="12" t="e">
        <f t="shared" si="1"/>
        <v>#DIV/0!</v>
      </c>
      <c r="R25" s="13"/>
      <c r="X25" s="15"/>
      <c r="Y25" s="15"/>
      <c r="Z25" s="15"/>
      <c r="AA25" s="10"/>
      <c r="AB25" s="10">
        <f t="shared" si="4"/>
        <v>0</v>
      </c>
    </row>
    <row r="26" spans="1:29" s="6" customFormat="1">
      <c r="A26" s="6">
        <f t="shared" si="0"/>
        <v>17</v>
      </c>
      <c r="B26" s="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2"/>
      <c r="Q26" s="12"/>
      <c r="R26" s="13"/>
      <c r="X26" s="15"/>
      <c r="Y26" s="15"/>
      <c r="Z26" s="15"/>
      <c r="AA26" s="10"/>
      <c r="AB26" s="10">
        <f t="shared" si="4"/>
        <v>0</v>
      </c>
    </row>
    <row r="27" spans="1:29" s="6" customFormat="1">
      <c r="A27" s="6">
        <f t="shared" si="0"/>
        <v>18</v>
      </c>
      <c r="B27" s="9" t="s">
        <v>30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12"/>
      <c r="Q27" s="12"/>
      <c r="R27" s="13"/>
      <c r="X27" s="10"/>
      <c r="Y27" s="10"/>
      <c r="Z27" s="10"/>
      <c r="AA27" s="10"/>
      <c r="AB27" s="10">
        <f t="shared" si="4"/>
        <v>0</v>
      </c>
    </row>
    <row r="28" spans="1:29" s="6" customFormat="1">
      <c r="A28" s="6">
        <f t="shared" si="0"/>
        <v>19</v>
      </c>
      <c r="B28" s="9" t="s">
        <v>31</v>
      </c>
      <c r="C28" s="11">
        <v>15601520.83</v>
      </c>
      <c r="D28" s="11">
        <v>15601520.83</v>
      </c>
      <c r="E28" s="11">
        <v>15483040.890000001</v>
      </c>
      <c r="F28" s="11">
        <v>15483040.890000001</v>
      </c>
      <c r="G28" s="11">
        <v>15483040.890000001</v>
      </c>
      <c r="H28" s="11">
        <v>15483040.890000001</v>
      </c>
      <c r="I28" s="11">
        <v>15445647.789999999</v>
      </c>
      <c r="J28" s="11">
        <v>15445647.789999999</v>
      </c>
      <c r="K28" s="11">
        <v>15445655.029999999</v>
      </c>
      <c r="L28" s="11">
        <v>14793403.220000001</v>
      </c>
      <c r="M28" s="11">
        <v>14793403.220000001</v>
      </c>
      <c r="N28" s="11">
        <v>14656612.390000001</v>
      </c>
      <c r="O28" s="11">
        <v>15344663.710000001</v>
      </c>
      <c r="P28" s="12">
        <f>(C28+2*SUM(D28:N28)+O28)/24</f>
        <v>15298928.841666663</v>
      </c>
      <c r="Q28" s="12">
        <f t="shared" ref="Q28:Q41" si="7">AVERAGE(D28:O28)</f>
        <v>15288226.461666666</v>
      </c>
      <c r="R28" s="13">
        <f>+Q28/P28-1</f>
        <v>-6.9955093658902179E-4</v>
      </c>
      <c r="V28" s="12">
        <f>+P28</f>
        <v>15298928.841666663</v>
      </c>
      <c r="X28" s="10"/>
      <c r="Y28" s="10"/>
      <c r="Z28" s="10">
        <f>+V28</f>
        <v>15298928.841666663</v>
      </c>
      <c r="AA28" s="10">
        <f t="shared" ref="AA28:AA39" si="8">+Z28+X28+Y28</f>
        <v>15298928.841666663</v>
      </c>
      <c r="AB28" s="10">
        <f t="shared" si="4"/>
        <v>0</v>
      </c>
    </row>
    <row r="29" spans="1:29" s="6" customFormat="1">
      <c r="A29" s="6">
        <f t="shared" si="0"/>
        <v>20</v>
      </c>
      <c r="B29" s="9" t="s">
        <v>32</v>
      </c>
      <c r="C29" s="11">
        <v>1860570.33</v>
      </c>
      <c r="D29" s="11">
        <v>1873631.4</v>
      </c>
      <c r="E29" s="11">
        <v>1886692.43</v>
      </c>
      <c r="F29" s="11">
        <v>1899752.71</v>
      </c>
      <c r="G29" s="11">
        <v>1912811.32</v>
      </c>
      <c r="H29" s="11">
        <v>1925862.66</v>
      </c>
      <c r="I29" s="11">
        <v>1917756.81</v>
      </c>
      <c r="J29" s="11">
        <v>1930728.36</v>
      </c>
      <c r="K29" s="11">
        <v>1943699.91</v>
      </c>
      <c r="L29" s="11">
        <v>1936631.85</v>
      </c>
      <c r="M29" s="11">
        <v>1957867.76</v>
      </c>
      <c r="N29" s="11">
        <v>1960620.89</v>
      </c>
      <c r="O29" s="11">
        <v>2659571.46</v>
      </c>
      <c r="P29" s="12">
        <f>-(C29+2*SUM(D29:N29)+O29)/24</f>
        <v>-1950510.5829166668</v>
      </c>
      <c r="Q29" s="12">
        <f t="shared" si="7"/>
        <v>1983802.2966666669</v>
      </c>
      <c r="R29" s="13">
        <f>+Q29/P29-1</f>
        <v>-2.0170682046237438</v>
      </c>
      <c r="V29" s="12">
        <f>P29</f>
        <v>-1950510.5829166668</v>
      </c>
      <c r="X29" s="10"/>
      <c r="Y29" s="10"/>
      <c r="Z29" s="10">
        <f>+V29</f>
        <v>-1950510.5829166668</v>
      </c>
      <c r="AA29" s="10">
        <f t="shared" si="8"/>
        <v>-1950510.5829166668</v>
      </c>
      <c r="AB29" s="10">
        <f t="shared" si="4"/>
        <v>0</v>
      </c>
    </row>
    <row r="30" spans="1:29" s="6" customFormat="1">
      <c r="A30" s="6">
        <f t="shared" si="0"/>
        <v>21</v>
      </c>
      <c r="B30" s="9" t="s">
        <v>33</v>
      </c>
      <c r="C30" s="11">
        <v>69928.31</v>
      </c>
      <c r="D30" s="11">
        <v>69928.31</v>
      </c>
      <c r="E30" s="11">
        <v>69928.31</v>
      </c>
      <c r="F30" s="11">
        <v>69928.31</v>
      </c>
      <c r="G30" s="11">
        <v>69928.31</v>
      </c>
      <c r="H30" s="11">
        <v>69928.31</v>
      </c>
      <c r="I30" s="11">
        <v>69928.31</v>
      </c>
      <c r="J30" s="11">
        <v>69928.31</v>
      </c>
      <c r="K30" s="11">
        <v>69928.31</v>
      </c>
      <c r="L30" s="11">
        <v>69928.31</v>
      </c>
      <c r="M30" s="11">
        <v>69928.31</v>
      </c>
      <c r="N30" s="11">
        <v>69928.31</v>
      </c>
      <c r="O30" s="11">
        <v>69928.31</v>
      </c>
      <c r="P30" s="12">
        <f t="shared" ref="P30:P40" si="9">(C30+2*SUM(D30:N30)+O30)/24</f>
        <v>69928.310000000012</v>
      </c>
      <c r="Q30" s="12">
        <f t="shared" si="7"/>
        <v>69928.310000000012</v>
      </c>
      <c r="R30" s="13">
        <f>+Q30/P30-1</f>
        <v>0</v>
      </c>
      <c r="V30" s="12">
        <f>P30</f>
        <v>69928.310000000012</v>
      </c>
      <c r="X30" s="10"/>
      <c r="Y30" s="10"/>
      <c r="Z30" s="10">
        <f>+V30</f>
        <v>69928.310000000012</v>
      </c>
      <c r="AA30" s="10">
        <f t="shared" si="8"/>
        <v>69928.310000000012</v>
      </c>
      <c r="AB30" s="10">
        <f t="shared" si="4"/>
        <v>0</v>
      </c>
    </row>
    <row r="31" spans="1:29" s="6" customFormat="1">
      <c r="A31" s="6">
        <f t="shared" si="0"/>
        <v>22</v>
      </c>
      <c r="B31" s="9" t="s">
        <v>34</v>
      </c>
      <c r="C31" s="11">
        <f>210570088.62-4314397</f>
        <v>206255691.62</v>
      </c>
      <c r="D31" s="11">
        <f>208641707.66+20032702</f>
        <v>228674409.66</v>
      </c>
      <c r="E31" s="11">
        <f>214253746.28+16497907</f>
        <v>230751653.28</v>
      </c>
      <c r="F31" s="11">
        <f>213713594.73+18077181</f>
        <v>231790775.72999999</v>
      </c>
      <c r="G31" s="11">
        <f>218794715.47+17238990</f>
        <v>236033705.47</v>
      </c>
      <c r="H31" s="11">
        <f>234623726.63+6826595</f>
        <v>241450321.63</v>
      </c>
      <c r="I31" s="11">
        <v>240956267.94</v>
      </c>
      <c r="J31" s="11">
        <v>247193781.97</v>
      </c>
      <c r="K31" s="11">
        <v>250431206.88</v>
      </c>
      <c r="L31" s="11">
        <v>252425950.81999999</v>
      </c>
      <c r="M31" s="11">
        <v>251904190.06999999</v>
      </c>
      <c r="N31" s="11">
        <v>251246412.71000001</v>
      </c>
      <c r="O31" s="11">
        <v>250946712.15000001</v>
      </c>
      <c r="P31" s="12">
        <f t="shared" si="9"/>
        <v>240954989.83708334</v>
      </c>
      <c r="Q31" s="12">
        <f t="shared" si="7"/>
        <v>242817115.69250003</v>
      </c>
      <c r="R31" s="13">
        <f>+Q31/P31-1</f>
        <v>7.7281066338394933E-3</v>
      </c>
      <c r="T31" s="10">
        <v>39282981.023055553</v>
      </c>
      <c r="V31" s="12">
        <f>+P31-T31</f>
        <v>201672008.81402779</v>
      </c>
      <c r="X31" s="10">
        <v>32424125.297717221</v>
      </c>
      <c r="Y31" s="10">
        <v>111558007.02099431</v>
      </c>
      <c r="Z31" s="10">
        <f>+V31-X31-Y31</f>
        <v>57689876.495316267</v>
      </c>
      <c r="AA31" s="10">
        <f t="shared" si="8"/>
        <v>201672008.81402779</v>
      </c>
      <c r="AB31" s="10">
        <f t="shared" si="4"/>
        <v>0</v>
      </c>
      <c r="AC31" s="17"/>
    </row>
    <row r="32" spans="1:29" s="6" customFormat="1">
      <c r="A32" s="6">
        <f t="shared" si="0"/>
        <v>23</v>
      </c>
      <c r="B32" s="9" t="s">
        <v>35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>
        <f t="shared" si="9"/>
        <v>0</v>
      </c>
      <c r="Q32" s="12" t="e">
        <f t="shared" si="7"/>
        <v>#DIV/0!</v>
      </c>
      <c r="R32" s="13"/>
      <c r="V32" s="12">
        <f t="shared" ref="V32:V38" si="10">P32</f>
        <v>0</v>
      </c>
      <c r="X32" s="10"/>
      <c r="Y32" s="10"/>
      <c r="Z32" s="10">
        <f t="shared" ref="Z32:Z39" si="11">+V32</f>
        <v>0</v>
      </c>
      <c r="AA32" s="10">
        <f t="shared" si="8"/>
        <v>0</v>
      </c>
      <c r="AB32" s="10">
        <f t="shared" si="4"/>
        <v>0</v>
      </c>
    </row>
    <row r="33" spans="1:28" s="6" customFormat="1">
      <c r="A33" s="6">
        <f t="shared" si="0"/>
        <v>24</v>
      </c>
      <c r="B33" s="9" t="s">
        <v>36</v>
      </c>
      <c r="C33" s="11">
        <v>84158849.980000004</v>
      </c>
      <c r="D33" s="11">
        <v>83900228.709999993</v>
      </c>
      <c r="E33" s="11">
        <v>83292190.430000007</v>
      </c>
      <c r="F33" s="11">
        <v>82378724.560000002</v>
      </c>
      <c r="G33" s="11">
        <v>82697970.609999999</v>
      </c>
      <c r="H33" s="11">
        <v>82563472.879999995</v>
      </c>
      <c r="I33" s="11">
        <v>83950134.829999998</v>
      </c>
      <c r="J33" s="11">
        <v>83406622.319999993</v>
      </c>
      <c r="K33" s="11">
        <v>84790157.870000005</v>
      </c>
      <c r="L33" s="11">
        <v>85020053.689999998</v>
      </c>
      <c r="M33" s="11">
        <v>84663559.299999997</v>
      </c>
      <c r="N33" s="11">
        <v>83848083.400000006</v>
      </c>
      <c r="O33" s="11">
        <v>84304196.310000002</v>
      </c>
      <c r="P33" s="12">
        <f t="shared" si="9"/>
        <v>83728560.145416647</v>
      </c>
      <c r="Q33" s="12">
        <f t="shared" si="7"/>
        <v>83734616.242499992</v>
      </c>
      <c r="R33" s="13">
        <f>+Q33/P33-1</f>
        <v>7.2330123351393993E-5</v>
      </c>
      <c r="V33" s="12">
        <f t="shared" si="10"/>
        <v>83728560.145416647</v>
      </c>
      <c r="X33" s="10"/>
      <c r="Y33" s="10"/>
      <c r="Z33" s="10">
        <f t="shared" si="11"/>
        <v>83728560.145416647</v>
      </c>
      <c r="AA33" s="10">
        <f t="shared" si="8"/>
        <v>83728560.145416647</v>
      </c>
      <c r="AB33" s="10">
        <f t="shared" si="4"/>
        <v>0</v>
      </c>
    </row>
    <row r="34" spans="1:28" s="6" customFormat="1">
      <c r="A34" s="6">
        <f t="shared" si="0"/>
        <v>25</v>
      </c>
      <c r="B34" s="9" t="s">
        <v>37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2">
        <f t="shared" si="9"/>
        <v>0</v>
      </c>
      <c r="Q34" s="12" t="e">
        <f t="shared" si="7"/>
        <v>#DIV/0!</v>
      </c>
      <c r="R34" s="13"/>
      <c r="V34" s="12">
        <f t="shared" si="10"/>
        <v>0</v>
      </c>
      <c r="X34" s="10"/>
      <c r="Y34" s="10"/>
      <c r="Z34" s="10">
        <f t="shared" si="11"/>
        <v>0</v>
      </c>
      <c r="AA34" s="10">
        <f t="shared" si="8"/>
        <v>0</v>
      </c>
      <c r="AB34" s="10">
        <f t="shared" si="4"/>
        <v>0</v>
      </c>
    </row>
    <row r="35" spans="1:28" s="6" customFormat="1">
      <c r="A35" s="6">
        <f t="shared" si="0"/>
        <v>26</v>
      </c>
      <c r="B35" s="9" t="s">
        <v>38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2">
        <f t="shared" si="9"/>
        <v>0</v>
      </c>
      <c r="Q35" s="12" t="e">
        <f t="shared" si="7"/>
        <v>#DIV/0!</v>
      </c>
      <c r="R35" s="13"/>
      <c r="V35" s="12">
        <f t="shared" si="10"/>
        <v>0</v>
      </c>
      <c r="X35" s="10"/>
      <c r="Y35" s="10"/>
      <c r="Z35" s="10">
        <f t="shared" si="11"/>
        <v>0</v>
      </c>
      <c r="AA35" s="10">
        <f t="shared" si="8"/>
        <v>0</v>
      </c>
      <c r="AB35" s="10">
        <f t="shared" si="4"/>
        <v>0</v>
      </c>
    </row>
    <row r="36" spans="1:28" s="6" customFormat="1">
      <c r="A36" s="6">
        <f t="shared" si="0"/>
        <v>27</v>
      </c>
      <c r="B36" s="9" t="s">
        <v>39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2">
        <f t="shared" si="9"/>
        <v>0</v>
      </c>
      <c r="Q36" s="12" t="e">
        <f t="shared" si="7"/>
        <v>#DIV/0!</v>
      </c>
      <c r="R36" s="13"/>
      <c r="V36" s="12">
        <f t="shared" si="10"/>
        <v>0</v>
      </c>
      <c r="X36" s="10"/>
      <c r="Y36" s="10"/>
      <c r="Z36" s="10">
        <f t="shared" si="11"/>
        <v>0</v>
      </c>
      <c r="AA36" s="10">
        <f t="shared" si="8"/>
        <v>0</v>
      </c>
      <c r="AB36" s="10">
        <f t="shared" si="4"/>
        <v>0</v>
      </c>
    </row>
    <row r="37" spans="1:28" s="6" customFormat="1">
      <c r="A37" s="6">
        <f t="shared" si="0"/>
        <v>28</v>
      </c>
      <c r="B37" s="9" t="s">
        <v>40</v>
      </c>
      <c r="C37" s="11">
        <v>5477018.6500000004</v>
      </c>
      <c r="D37" s="11">
        <v>5584343.04</v>
      </c>
      <c r="E37" s="11">
        <v>5706203.6799999997</v>
      </c>
      <c r="F37" s="11">
        <v>5741715.4699999997</v>
      </c>
      <c r="G37" s="11">
        <v>5807944.6500000004</v>
      </c>
      <c r="H37" s="11">
        <v>5912937.7699999996</v>
      </c>
      <c r="I37" s="11">
        <v>6137778.9400000004</v>
      </c>
      <c r="J37" s="11">
        <v>6331097.0499999998</v>
      </c>
      <c r="K37" s="11">
        <v>6322919.04</v>
      </c>
      <c r="L37" s="11">
        <v>6413022.8499999996</v>
      </c>
      <c r="M37" s="11">
        <v>16602967.720000001</v>
      </c>
      <c r="N37" s="11">
        <v>17789376.219999999</v>
      </c>
      <c r="O37" s="11">
        <v>18935451.510000002</v>
      </c>
      <c r="P37" s="12">
        <f t="shared" si="9"/>
        <v>8379711.7924999995</v>
      </c>
      <c r="Q37" s="12">
        <f t="shared" si="7"/>
        <v>8940479.8283333331</v>
      </c>
      <c r="R37" s="13">
        <f>+Q37/P37-1</f>
        <v>6.691972823399861E-2</v>
      </c>
      <c r="V37" s="12">
        <f t="shared" si="10"/>
        <v>8379711.7924999995</v>
      </c>
      <c r="X37" s="10"/>
      <c r="Y37" s="10"/>
      <c r="Z37" s="10">
        <f t="shared" si="11"/>
        <v>8379711.7924999995</v>
      </c>
      <c r="AA37" s="10">
        <f t="shared" si="8"/>
        <v>8379711.7924999995</v>
      </c>
      <c r="AB37" s="10">
        <f t="shared" si="4"/>
        <v>0</v>
      </c>
    </row>
    <row r="38" spans="1:28" s="6" customFormat="1">
      <c r="A38" s="6">
        <f t="shared" si="0"/>
        <v>29</v>
      </c>
      <c r="B38" s="9" t="s">
        <v>41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2">
        <f t="shared" si="9"/>
        <v>0</v>
      </c>
      <c r="Q38" s="12" t="e">
        <f t="shared" si="7"/>
        <v>#DIV/0!</v>
      </c>
      <c r="R38" s="13"/>
      <c r="V38" s="12">
        <f t="shared" si="10"/>
        <v>0</v>
      </c>
      <c r="X38" s="10"/>
      <c r="Y38" s="10"/>
      <c r="Z38" s="10">
        <f t="shared" si="11"/>
        <v>0</v>
      </c>
      <c r="AA38" s="10">
        <f t="shared" si="8"/>
        <v>0</v>
      </c>
      <c r="AB38" s="10">
        <f t="shared" si="4"/>
        <v>0</v>
      </c>
    </row>
    <row r="39" spans="1:28" s="6" customFormat="1">
      <c r="A39" s="6">
        <f t="shared" si="0"/>
        <v>30</v>
      </c>
      <c r="B39" s="9" t="s">
        <v>42</v>
      </c>
      <c r="C39" s="11">
        <v>5904320.1699999999</v>
      </c>
      <c r="D39" s="11">
        <v>5347478.17</v>
      </c>
      <c r="E39" s="11">
        <v>5702291.1699999999</v>
      </c>
      <c r="F39" s="11">
        <v>6297562</v>
      </c>
      <c r="G39" s="11">
        <v>6123786</v>
      </c>
      <c r="H39" s="11">
        <v>5637366</v>
      </c>
      <c r="I39" s="11">
        <v>4472312</v>
      </c>
      <c r="J39" s="11">
        <v>3800307</v>
      </c>
      <c r="K39" s="11">
        <v>2747187.72</v>
      </c>
      <c r="L39" s="11">
        <v>1068525.1100000001</v>
      </c>
      <c r="M39" s="11">
        <v>1057610.7</v>
      </c>
      <c r="N39" s="11">
        <v>953643.83</v>
      </c>
      <c r="O39" s="11">
        <v>843218.75</v>
      </c>
      <c r="P39" s="12">
        <f>(C39+2*SUM(D39:N39)+O39)/24</f>
        <v>3881819.93</v>
      </c>
      <c r="Q39" s="12">
        <f t="shared" si="7"/>
        <v>3670940.7041666671</v>
      </c>
      <c r="R39" s="13">
        <f>+Q39/P39-1</f>
        <v>-5.4324834648714182E-2</v>
      </c>
      <c r="T39" s="12"/>
      <c r="U39" s="12"/>
      <c r="V39" s="43">
        <f>+P39</f>
        <v>3881819.93</v>
      </c>
      <c r="W39" s="12"/>
      <c r="X39" s="10"/>
      <c r="Y39" s="10"/>
      <c r="Z39" s="43">
        <f t="shared" si="11"/>
        <v>3881819.93</v>
      </c>
      <c r="AA39" s="10">
        <f t="shared" si="8"/>
        <v>3881819.93</v>
      </c>
      <c r="AB39" s="10">
        <f t="shared" si="4"/>
        <v>0</v>
      </c>
    </row>
    <row r="40" spans="1:28" s="6" customFormat="1">
      <c r="A40" s="6">
        <f t="shared" si="0"/>
        <v>31</v>
      </c>
      <c r="B40" s="9" t="s">
        <v>43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2">
        <f t="shared" si="9"/>
        <v>0</v>
      </c>
      <c r="Q40" s="12" t="e">
        <f t="shared" si="7"/>
        <v>#DIV/0!</v>
      </c>
      <c r="R40" s="13"/>
      <c r="T40"/>
      <c r="U40"/>
      <c r="V40"/>
      <c r="W40"/>
      <c r="X40"/>
      <c r="Y40"/>
      <c r="Z40"/>
      <c r="AA40"/>
      <c r="AB40" s="10">
        <f t="shared" si="4"/>
        <v>0</v>
      </c>
    </row>
    <row r="41" spans="1:28" s="6" customFormat="1">
      <c r="A41" s="6">
        <f t="shared" si="0"/>
        <v>32</v>
      </c>
      <c r="B41" s="9" t="s">
        <v>44</v>
      </c>
      <c r="C41" s="11">
        <f t="shared" ref="C41:O41" si="12">SUM(C30:C40,C28)-C29</f>
        <v>315606759.23000002</v>
      </c>
      <c r="D41" s="11">
        <f t="shared" si="12"/>
        <v>337304277.32000005</v>
      </c>
      <c r="E41" s="11">
        <f t="shared" si="12"/>
        <v>339118615.32999998</v>
      </c>
      <c r="F41" s="11">
        <f t="shared" si="12"/>
        <v>339861994.25000006</v>
      </c>
      <c r="G41" s="11">
        <f t="shared" si="12"/>
        <v>344303564.60999995</v>
      </c>
      <c r="H41" s="11">
        <f t="shared" si="12"/>
        <v>349191204.81999993</v>
      </c>
      <c r="I41" s="11">
        <f t="shared" si="12"/>
        <v>349114313</v>
      </c>
      <c r="J41" s="11">
        <f t="shared" si="12"/>
        <v>354316656.08000004</v>
      </c>
      <c r="K41" s="11">
        <f t="shared" si="12"/>
        <v>357863354.94</v>
      </c>
      <c r="L41" s="11">
        <f t="shared" si="12"/>
        <v>357854252.15000004</v>
      </c>
      <c r="M41" s="11">
        <f t="shared" si="12"/>
        <v>367133791.56000006</v>
      </c>
      <c r="N41" s="11">
        <f t="shared" si="12"/>
        <v>366603435.96999997</v>
      </c>
      <c r="O41" s="11">
        <f t="shared" si="12"/>
        <v>367784599.27999997</v>
      </c>
      <c r="P41" s="14">
        <f>SUBTOTAL(9,P28:P40)</f>
        <v>350363428.27375001</v>
      </c>
      <c r="Q41" s="12">
        <f t="shared" si="7"/>
        <v>352537504.94249994</v>
      </c>
      <c r="R41" s="13">
        <f>+Q41/P41-1</f>
        <v>6.2052043487006436E-3</v>
      </c>
      <c r="T41"/>
      <c r="U41"/>
      <c r="V41"/>
      <c r="W41"/>
      <c r="X41"/>
      <c r="Y41"/>
      <c r="Z41"/>
      <c r="AA41"/>
      <c r="AB41" s="10">
        <f t="shared" si="4"/>
        <v>0</v>
      </c>
    </row>
    <row r="42" spans="1:28" s="6" customFormat="1">
      <c r="A42" s="6">
        <f t="shared" si="0"/>
        <v>33</v>
      </c>
      <c r="B42" s="9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8"/>
      <c r="Q42" s="12"/>
      <c r="R42" s="13"/>
      <c r="T42"/>
      <c r="U42"/>
      <c r="V42"/>
      <c r="W42"/>
      <c r="X42"/>
      <c r="Y42"/>
      <c r="Z42"/>
      <c r="AA42"/>
      <c r="AB42" s="10">
        <f t="shared" si="4"/>
        <v>0</v>
      </c>
    </row>
    <row r="43" spans="1:28" s="6" customFormat="1">
      <c r="A43" s="6">
        <f t="shared" si="0"/>
        <v>34</v>
      </c>
      <c r="B43" s="9" t="s">
        <v>45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12"/>
      <c r="Q43" s="12"/>
      <c r="R43" s="13"/>
      <c r="X43" s="10"/>
      <c r="Y43" s="10"/>
      <c r="Z43" s="10"/>
      <c r="AA43" s="10"/>
      <c r="AB43" s="10">
        <f t="shared" si="4"/>
        <v>0</v>
      </c>
    </row>
    <row r="44" spans="1:28" s="6" customFormat="1">
      <c r="A44" s="6">
        <f t="shared" si="0"/>
        <v>35</v>
      </c>
      <c r="B44" s="9" t="s">
        <v>46</v>
      </c>
      <c r="C44" s="11">
        <f>8428469.66-169218</f>
        <v>8259251.6600000001</v>
      </c>
      <c r="D44" s="11">
        <f>77850163.76-611915</f>
        <v>77238248.760000005</v>
      </c>
      <c r="E44" s="11">
        <f>6635991.64+205619</f>
        <v>6841610.6399999997</v>
      </c>
      <c r="F44" s="11">
        <f>8776698.29-285313</f>
        <v>8491385.2899999991</v>
      </c>
      <c r="G44" s="11">
        <f>15975075.42-297650</f>
        <v>15677425.42</v>
      </c>
      <c r="H44" s="11">
        <f>6409676.05-309245</f>
        <v>6100431.0499999998</v>
      </c>
      <c r="I44" s="11">
        <v>14846925.880000001</v>
      </c>
      <c r="J44" s="11">
        <v>7253456.7400000002</v>
      </c>
      <c r="K44" s="11">
        <v>8327523.6399999997</v>
      </c>
      <c r="L44" s="11">
        <v>12565601.609999999</v>
      </c>
      <c r="M44" s="11">
        <v>14880796.99</v>
      </c>
      <c r="N44" s="11">
        <v>6174358.4800000004</v>
      </c>
      <c r="O44" s="11">
        <v>13317074.93</v>
      </c>
      <c r="P44" s="12">
        <f t="shared" ref="P44:P50" si="13">(C44+2*SUM(D44:N44)+O44)/24</f>
        <v>15765493.982916666</v>
      </c>
      <c r="Q44" s="12">
        <f t="shared" ref="Q44:Q76" si="14">AVERAGE(D44:O44)</f>
        <v>15976236.619166665</v>
      </c>
      <c r="R44" s="13">
        <f t="shared" ref="R44:R54" si="15">+Q44/P44-1</f>
        <v>1.3367334793210839E-2</v>
      </c>
      <c r="T44" s="12">
        <f>+P44</f>
        <v>15765493.982916666</v>
      </c>
      <c r="X44" s="10"/>
      <c r="Y44" s="10"/>
      <c r="Z44" s="10"/>
      <c r="AA44" s="10"/>
      <c r="AB44" s="10">
        <f t="shared" si="4"/>
        <v>0</v>
      </c>
    </row>
    <row r="45" spans="1:28" s="6" customFormat="1">
      <c r="A45" s="6">
        <f t="shared" si="0"/>
        <v>36</v>
      </c>
      <c r="B45" s="9" t="s">
        <v>47</v>
      </c>
      <c r="C45" s="11">
        <v>714145.89</v>
      </c>
      <c r="D45" s="11">
        <v>745745.89</v>
      </c>
      <c r="E45" s="11">
        <v>745745.89</v>
      </c>
      <c r="F45" s="11">
        <v>745745.89</v>
      </c>
      <c r="G45" s="11">
        <v>774145.89</v>
      </c>
      <c r="H45" s="11">
        <v>774145.89</v>
      </c>
      <c r="I45" s="11">
        <v>774145.89</v>
      </c>
      <c r="J45" s="11">
        <v>603873.55000000005</v>
      </c>
      <c r="K45" s="11">
        <v>713728.55</v>
      </c>
      <c r="L45" s="11">
        <v>713728.55</v>
      </c>
      <c r="M45" s="11">
        <v>713728.55</v>
      </c>
      <c r="N45" s="11">
        <v>713728.55</v>
      </c>
      <c r="O45" s="11">
        <v>713728.55</v>
      </c>
      <c r="P45" s="12">
        <f t="shared" si="13"/>
        <v>727700.02583333326</v>
      </c>
      <c r="Q45" s="12">
        <f t="shared" si="14"/>
        <v>727682.6366666666</v>
      </c>
      <c r="R45" s="13">
        <f t="shared" si="15"/>
        <v>-2.3896064380024562E-5</v>
      </c>
      <c r="T45" s="12"/>
      <c r="V45" s="12">
        <f>+P45</f>
        <v>727700.02583333326</v>
      </c>
      <c r="X45" s="10"/>
      <c r="Y45" s="10"/>
      <c r="Z45" s="10">
        <f>+V45</f>
        <v>727700.02583333326</v>
      </c>
      <c r="AA45" s="10">
        <f>+Z45</f>
        <v>727700.02583333326</v>
      </c>
      <c r="AB45" s="10">
        <f t="shared" si="4"/>
        <v>0</v>
      </c>
    </row>
    <row r="46" spans="1:28" s="6" customFormat="1">
      <c r="A46" s="6">
        <f t="shared" si="0"/>
        <v>37</v>
      </c>
      <c r="B46" s="9" t="s">
        <v>48</v>
      </c>
      <c r="C46" s="11">
        <v>1720</v>
      </c>
      <c r="D46" s="11">
        <v>1720</v>
      </c>
      <c r="E46" s="11">
        <v>1720</v>
      </c>
      <c r="F46" s="11">
        <v>1720</v>
      </c>
      <c r="G46" s="11">
        <v>1720</v>
      </c>
      <c r="H46" s="11">
        <v>1720</v>
      </c>
      <c r="I46" s="11">
        <v>1520</v>
      </c>
      <c r="J46" s="11">
        <v>1520</v>
      </c>
      <c r="K46" s="11">
        <v>1520</v>
      </c>
      <c r="L46" s="11">
        <v>1520</v>
      </c>
      <c r="M46" s="11">
        <v>1520</v>
      </c>
      <c r="N46" s="11">
        <v>1520</v>
      </c>
      <c r="O46" s="11">
        <v>1520</v>
      </c>
      <c r="P46" s="12">
        <f t="shared" si="13"/>
        <v>1611.6666666666667</v>
      </c>
      <c r="Q46" s="12">
        <f t="shared" si="14"/>
        <v>1603.3333333333333</v>
      </c>
      <c r="R46" s="13">
        <f t="shared" si="15"/>
        <v>-5.170630816959787E-3</v>
      </c>
      <c r="T46" s="12">
        <f>+P46</f>
        <v>1611.6666666666667</v>
      </c>
      <c r="X46" s="10"/>
      <c r="Y46" s="10"/>
      <c r="Z46" s="10"/>
      <c r="AA46" s="10"/>
      <c r="AB46" s="10">
        <f t="shared" si="4"/>
        <v>0</v>
      </c>
    </row>
    <row r="47" spans="1:28" s="6" customFormat="1">
      <c r="A47" s="6">
        <f t="shared" si="0"/>
        <v>38</v>
      </c>
      <c r="B47" s="9" t="s">
        <v>49</v>
      </c>
      <c r="C47" s="11">
        <v>134856988.08000001</v>
      </c>
      <c r="D47" s="11">
        <v>46043</v>
      </c>
      <c r="E47" s="11">
        <v>63545752.82</v>
      </c>
      <c r="F47" s="11">
        <v>116946384.34999999</v>
      </c>
      <c r="G47" s="11">
        <v>110538746.97</v>
      </c>
      <c r="H47" s="11">
        <v>17539671.030000001</v>
      </c>
      <c r="I47" s="11">
        <v>7244794</v>
      </c>
      <c r="J47" s="11">
        <v>7946000.3300000001</v>
      </c>
      <c r="K47" s="11">
        <v>944058.16</v>
      </c>
      <c r="L47" s="11">
        <v>8443507.3699999992</v>
      </c>
      <c r="M47" s="11">
        <v>15143776.23</v>
      </c>
      <c r="N47" s="11">
        <v>11244035.25</v>
      </c>
      <c r="O47" s="11">
        <v>69144376.010000005</v>
      </c>
      <c r="P47" s="12">
        <f t="shared" si="13"/>
        <v>38465287.629583336</v>
      </c>
      <c r="Q47" s="12">
        <f t="shared" si="14"/>
        <v>35727262.126666665</v>
      </c>
      <c r="R47" s="13">
        <f t="shared" si="15"/>
        <v>-7.1181724397424762E-2</v>
      </c>
      <c r="S47" s="13"/>
      <c r="T47" s="12"/>
      <c r="V47" s="12">
        <f>+P47</f>
        <v>38465287.629583336</v>
      </c>
      <c r="X47" s="10"/>
      <c r="Y47" s="10"/>
      <c r="Z47" s="10">
        <f>+V47</f>
        <v>38465287.629583336</v>
      </c>
      <c r="AA47" s="10">
        <f>+Z47</f>
        <v>38465287.629583336</v>
      </c>
      <c r="AB47" s="10">
        <f t="shared" si="4"/>
        <v>0</v>
      </c>
    </row>
    <row r="48" spans="1:28" s="6" customFormat="1">
      <c r="A48" s="6">
        <f t="shared" si="0"/>
        <v>39</v>
      </c>
      <c r="B48" s="9" t="s">
        <v>50</v>
      </c>
      <c r="C48" s="11">
        <v>352481.28000000003</v>
      </c>
      <c r="D48" s="11">
        <v>237601.05</v>
      </c>
      <c r="E48" s="11">
        <v>237744.01</v>
      </c>
      <c r="F48" s="11">
        <v>237905.24</v>
      </c>
      <c r="G48" s="11">
        <v>238029.4</v>
      </c>
      <c r="H48" s="11">
        <v>238168.31</v>
      </c>
      <c r="I48" s="11">
        <v>238518.94</v>
      </c>
      <c r="J48" s="11">
        <v>238875.26</v>
      </c>
      <c r="K48" s="11">
        <v>239187.59</v>
      </c>
      <c r="L48" s="11">
        <v>329897.68</v>
      </c>
      <c r="M48" s="11">
        <v>330154.38</v>
      </c>
      <c r="N48" s="11">
        <v>330337.61</v>
      </c>
      <c r="O48" s="11">
        <v>330489.83</v>
      </c>
      <c r="P48" s="12">
        <f t="shared" si="13"/>
        <v>269825.41875000001</v>
      </c>
      <c r="Q48" s="12">
        <f t="shared" si="14"/>
        <v>268909.10833333334</v>
      </c>
      <c r="R48" s="13">
        <f t="shared" si="15"/>
        <v>-3.3959380880852486E-3</v>
      </c>
      <c r="T48" s="12"/>
      <c r="V48" s="12">
        <f>+P48</f>
        <v>269825.41875000001</v>
      </c>
      <c r="X48" s="10"/>
      <c r="Y48" s="10"/>
      <c r="Z48" s="10">
        <f>+V48</f>
        <v>269825.41875000001</v>
      </c>
      <c r="AA48" s="10">
        <f>+Z48</f>
        <v>269825.41875000001</v>
      </c>
      <c r="AB48" s="10">
        <f t="shared" si="4"/>
        <v>0</v>
      </c>
    </row>
    <row r="49" spans="1:28" s="6" customFormat="1">
      <c r="A49" s="6">
        <f t="shared" si="0"/>
        <v>40</v>
      </c>
      <c r="B49" s="9" t="s">
        <v>51</v>
      </c>
      <c r="C49" s="11">
        <v>289880719.57999998</v>
      </c>
      <c r="D49" s="11">
        <v>332037207.89999998</v>
      </c>
      <c r="E49" s="11">
        <v>334816117.38</v>
      </c>
      <c r="F49" s="11">
        <v>357355881.13</v>
      </c>
      <c r="G49" s="11">
        <v>311244954.76999998</v>
      </c>
      <c r="H49" s="11">
        <v>326425606.69</v>
      </c>
      <c r="I49" s="11">
        <v>373179153.54000002</v>
      </c>
      <c r="J49" s="11">
        <v>382965656.73000002</v>
      </c>
      <c r="K49" s="11">
        <v>366618555.08999997</v>
      </c>
      <c r="L49" s="11">
        <v>332197312.47000003</v>
      </c>
      <c r="M49" s="11">
        <v>300659351.04000002</v>
      </c>
      <c r="N49" s="11">
        <v>295302541.07999998</v>
      </c>
      <c r="O49" s="11">
        <v>324461106.97000003</v>
      </c>
      <c r="P49" s="12">
        <f t="shared" si="13"/>
        <v>334997770.92458332</v>
      </c>
      <c r="Q49" s="12">
        <f t="shared" si="14"/>
        <v>336438620.39916664</v>
      </c>
      <c r="R49" s="13">
        <f t="shared" si="15"/>
        <v>4.3010718268561288E-3</v>
      </c>
      <c r="T49" s="12">
        <f>+P49</f>
        <v>334997770.92458332</v>
      </c>
      <c r="X49" s="10"/>
      <c r="Y49" s="10"/>
      <c r="Z49" s="10"/>
      <c r="AA49" s="10"/>
      <c r="AB49" s="10">
        <f t="shared" si="4"/>
        <v>0</v>
      </c>
    </row>
    <row r="50" spans="1:28" s="6" customFormat="1">
      <c r="A50" s="6">
        <f t="shared" si="0"/>
        <v>41</v>
      </c>
      <c r="B50" s="9" t="s">
        <v>52</v>
      </c>
      <c r="C50" s="11">
        <f>39483383.18-3483899</f>
        <v>35999484.18</v>
      </c>
      <c r="D50" s="11">
        <f>38678278.59-3351841</f>
        <v>35326437.590000004</v>
      </c>
      <c r="E50" s="11">
        <f>43533189.09-3193384</f>
        <v>40339805.090000004</v>
      </c>
      <c r="F50" s="11">
        <f>63115117.52-2556386</f>
        <v>60558731.520000003</v>
      </c>
      <c r="G50" s="11">
        <f>59834264.52-2423577</f>
        <v>57410687.520000003</v>
      </c>
      <c r="H50" s="11">
        <f>59510733.74-2286915</f>
        <v>57223818.740000002</v>
      </c>
      <c r="I50" s="11">
        <v>59610651.25</v>
      </c>
      <c r="J50" s="11">
        <v>57816712.829999998</v>
      </c>
      <c r="K50" s="11">
        <v>56960325.359999999</v>
      </c>
      <c r="L50" s="11">
        <v>55163959.200000003</v>
      </c>
      <c r="M50" s="11">
        <v>53547165.780000001</v>
      </c>
      <c r="N50" s="11">
        <v>52887909.799999997</v>
      </c>
      <c r="O50" s="11">
        <v>54757372.549999997</v>
      </c>
      <c r="P50" s="12">
        <f t="shared" si="13"/>
        <v>52685386.087083332</v>
      </c>
      <c r="Q50" s="12">
        <f t="shared" si="14"/>
        <v>53466964.769166656</v>
      </c>
      <c r="R50" s="13">
        <f t="shared" si="15"/>
        <v>1.4834828785186494E-2</v>
      </c>
      <c r="T50" s="12">
        <f>+P50</f>
        <v>52685386.087083332</v>
      </c>
      <c r="X50" s="10"/>
      <c r="Y50" s="10"/>
      <c r="Z50" s="10"/>
      <c r="AA50" s="10"/>
      <c r="AB50" s="10">
        <f t="shared" si="4"/>
        <v>0</v>
      </c>
    </row>
    <row r="51" spans="1:28" s="6" customFormat="1">
      <c r="A51" s="6">
        <f t="shared" si="0"/>
        <v>42</v>
      </c>
      <c r="B51" s="9" t="s">
        <v>53</v>
      </c>
      <c r="C51" s="11">
        <v>9269355.3399999999</v>
      </c>
      <c r="D51" s="11">
        <v>9340212.6699999999</v>
      </c>
      <c r="E51" s="11">
        <v>9219447.1099999994</v>
      </c>
      <c r="F51" s="11">
        <v>8929812.8599999994</v>
      </c>
      <c r="G51" s="11">
        <v>8402801.7699999996</v>
      </c>
      <c r="H51" s="11">
        <v>8066505.6600000001</v>
      </c>
      <c r="I51" s="11">
        <v>8722761.8100000005</v>
      </c>
      <c r="J51" s="11">
        <v>9207854.2699999996</v>
      </c>
      <c r="K51" s="11">
        <v>9560464.5099999998</v>
      </c>
      <c r="L51" s="11">
        <v>9959862.7599999998</v>
      </c>
      <c r="M51" s="11">
        <v>10489957.59</v>
      </c>
      <c r="N51" s="11">
        <v>10584998.57</v>
      </c>
      <c r="O51" s="11">
        <v>10828868.67</v>
      </c>
      <c r="P51" s="12">
        <f>-(C51+2*SUM(D51:N51)+O51)/24</f>
        <v>-9377815.965416668</v>
      </c>
      <c r="Q51" s="12">
        <f t="shared" si="14"/>
        <v>9442795.6875000019</v>
      </c>
      <c r="R51" s="13">
        <f t="shared" si="15"/>
        <v>-2.006929089067536</v>
      </c>
      <c r="T51" s="12">
        <f>+P51</f>
        <v>-9377815.965416668</v>
      </c>
      <c r="X51" s="10"/>
      <c r="Y51" s="10"/>
      <c r="Z51" s="10"/>
      <c r="AA51" s="10"/>
      <c r="AB51" s="10">
        <f t="shared" si="4"/>
        <v>0</v>
      </c>
    </row>
    <row r="52" spans="1:28" s="6" customFormat="1">
      <c r="A52" s="6">
        <f t="shared" si="0"/>
        <v>43</v>
      </c>
      <c r="B52" s="9" t="s">
        <v>54</v>
      </c>
      <c r="C52" s="11">
        <f>0+3269474</f>
        <v>3269474</v>
      </c>
      <c r="D52" s="11">
        <v>507</v>
      </c>
      <c r="E52" s="11">
        <v>2859805</v>
      </c>
      <c r="F52" s="11">
        <f>0+1559623</f>
        <v>1559623</v>
      </c>
      <c r="G52" s="11">
        <v>1304107</v>
      </c>
      <c r="H52" s="11">
        <v>11157918</v>
      </c>
      <c r="I52" s="11">
        <v>13897304.76</v>
      </c>
      <c r="J52" s="11">
        <v>8777683.6400000006</v>
      </c>
      <c r="K52" s="11">
        <v>3370651.61</v>
      </c>
      <c r="L52" s="11">
        <v>1410.04</v>
      </c>
      <c r="M52" s="11">
        <v>425.72</v>
      </c>
      <c r="N52" s="11">
        <v>5401546.8099999996</v>
      </c>
      <c r="O52" s="11">
        <v>7096790.3200000003</v>
      </c>
      <c r="P52" s="12">
        <f t="shared" ref="P52:P72" si="16">(C52+2*SUM(D52:N52)+O52)/24</f>
        <v>4459509.5616666665</v>
      </c>
      <c r="Q52" s="12">
        <f t="shared" si="14"/>
        <v>4618981.0750000002</v>
      </c>
      <c r="R52" s="13">
        <f t="shared" si="15"/>
        <v>3.5759876983812111E-2</v>
      </c>
      <c r="T52" s="12"/>
      <c r="V52" s="12">
        <f>+P52</f>
        <v>4459509.5616666665</v>
      </c>
      <c r="X52" s="10"/>
      <c r="Y52" s="10"/>
      <c r="Z52" s="10">
        <f>+V52</f>
        <v>4459509.5616666665</v>
      </c>
      <c r="AA52" s="10">
        <f>+Z52</f>
        <v>4459509.5616666665</v>
      </c>
      <c r="AB52" s="10">
        <f t="shared" si="4"/>
        <v>0</v>
      </c>
    </row>
    <row r="53" spans="1:28" s="6" customFormat="1">
      <c r="A53" s="6">
        <f t="shared" si="0"/>
        <v>44</v>
      </c>
      <c r="B53" s="9" t="s">
        <v>55</v>
      </c>
      <c r="C53" s="11">
        <f>17448003.59-3832658</f>
        <v>13615345.59</v>
      </c>
      <c r="D53" s="11">
        <f>18200640.45-4177598</f>
        <v>14023042.449999999</v>
      </c>
      <c r="E53" s="11">
        <f>16869698.42-2981313</f>
        <v>13888385.420000002</v>
      </c>
      <c r="F53" s="11">
        <f>26028906.65-3769561</f>
        <v>22259345.649999999</v>
      </c>
      <c r="G53" s="11">
        <f>26182537.25-3985539</f>
        <v>22196998.25</v>
      </c>
      <c r="H53" s="11">
        <f>26142421.03-3911954</f>
        <v>22230467.030000001</v>
      </c>
      <c r="I53" s="11">
        <v>7455751.9299999997</v>
      </c>
      <c r="J53" s="11">
        <v>11377449.02</v>
      </c>
      <c r="K53" s="11">
        <v>7568543.0800000001</v>
      </c>
      <c r="L53" s="11">
        <v>8458155.25</v>
      </c>
      <c r="M53" s="11">
        <v>8513686.5600000005</v>
      </c>
      <c r="N53" s="11">
        <v>8864716.2400000002</v>
      </c>
      <c r="O53" s="11">
        <v>8963216.2400000002</v>
      </c>
      <c r="P53" s="12">
        <f t="shared" si="16"/>
        <v>13177151.816249998</v>
      </c>
      <c r="Q53" s="12">
        <f t="shared" si="14"/>
        <v>12983313.093333334</v>
      </c>
      <c r="R53" s="13">
        <f t="shared" si="15"/>
        <v>-1.4710213983997966E-2</v>
      </c>
      <c r="T53" s="12">
        <f t="shared" ref="T53:T75" si="17">+P53</f>
        <v>13177151.816249998</v>
      </c>
      <c r="X53" s="10"/>
      <c r="Y53" s="10"/>
      <c r="Z53" s="10"/>
      <c r="AA53" s="10"/>
      <c r="AB53" s="10">
        <f t="shared" si="4"/>
        <v>0</v>
      </c>
    </row>
    <row r="54" spans="1:28" s="6" customFormat="1">
      <c r="A54" s="6">
        <f t="shared" si="0"/>
        <v>45</v>
      </c>
      <c r="B54" s="9" t="s">
        <v>56</v>
      </c>
      <c r="C54" s="11">
        <v>223055023.03</v>
      </c>
      <c r="D54" s="11">
        <v>219515039.46000001</v>
      </c>
      <c r="E54" s="11">
        <v>221001653.46000001</v>
      </c>
      <c r="F54" s="11">
        <v>215461362.71000001</v>
      </c>
      <c r="G54" s="11">
        <v>217573738.69</v>
      </c>
      <c r="H54" s="11">
        <v>223404802.63</v>
      </c>
      <c r="I54" s="11">
        <v>236891213.87</v>
      </c>
      <c r="J54" s="11">
        <v>237788285.52000001</v>
      </c>
      <c r="K54" s="11">
        <v>248769937.15000001</v>
      </c>
      <c r="L54" s="11">
        <v>256520580.78</v>
      </c>
      <c r="M54" s="11">
        <v>262822496.34</v>
      </c>
      <c r="N54" s="11">
        <v>268040220.93000001</v>
      </c>
      <c r="O54" s="11">
        <v>269876271.56</v>
      </c>
      <c r="P54" s="12">
        <f t="shared" si="16"/>
        <v>237854581.5695833</v>
      </c>
      <c r="Q54" s="12">
        <f t="shared" si="14"/>
        <v>239805466.92499995</v>
      </c>
      <c r="R54" s="13">
        <f t="shared" si="15"/>
        <v>8.2020087338361414E-3</v>
      </c>
      <c r="T54" s="12">
        <f t="shared" si="17"/>
        <v>237854581.5695833</v>
      </c>
      <c r="V54" s="12"/>
      <c r="X54" s="10"/>
      <c r="Y54" s="10"/>
      <c r="Z54" s="10"/>
      <c r="AA54" s="10"/>
      <c r="AB54" s="10">
        <f t="shared" si="4"/>
        <v>0</v>
      </c>
    </row>
    <row r="55" spans="1:28" s="6" customFormat="1">
      <c r="A55" s="6">
        <f t="shared" si="0"/>
        <v>46</v>
      </c>
      <c r="B55" s="9" t="s">
        <v>57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2">
        <f t="shared" si="16"/>
        <v>0</v>
      </c>
      <c r="Q55" s="12" t="e">
        <f t="shared" si="14"/>
        <v>#DIV/0!</v>
      </c>
      <c r="R55" s="13"/>
      <c r="T55" s="12">
        <f t="shared" si="17"/>
        <v>0</v>
      </c>
      <c r="X55" s="10"/>
      <c r="Y55" s="10"/>
      <c r="Z55" s="10"/>
      <c r="AA55" s="10"/>
      <c r="AB55" s="10">
        <f t="shared" si="4"/>
        <v>0</v>
      </c>
    </row>
    <row r="56" spans="1:28" s="6" customFormat="1">
      <c r="A56" s="6">
        <f t="shared" si="0"/>
        <v>47</v>
      </c>
      <c r="B56" s="9" t="s">
        <v>58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2">
        <f t="shared" si="16"/>
        <v>0</v>
      </c>
      <c r="Q56" s="12" t="e">
        <f t="shared" si="14"/>
        <v>#DIV/0!</v>
      </c>
      <c r="R56" s="13"/>
      <c r="T56" s="12">
        <f t="shared" si="17"/>
        <v>0</v>
      </c>
      <c r="X56" s="10"/>
      <c r="Y56" s="10"/>
      <c r="Z56" s="10"/>
      <c r="AA56" s="10"/>
      <c r="AB56" s="10">
        <f t="shared" si="4"/>
        <v>0</v>
      </c>
    </row>
    <row r="57" spans="1:28" s="6" customFormat="1">
      <c r="A57" s="6">
        <f t="shared" si="0"/>
        <v>48</v>
      </c>
      <c r="B57" s="9" t="s">
        <v>59</v>
      </c>
      <c r="C57" s="11">
        <v>191270513.40000001</v>
      </c>
      <c r="D57" s="11">
        <v>192533609.30000001</v>
      </c>
      <c r="E57" s="11">
        <v>193256203.62</v>
      </c>
      <c r="F57" s="11">
        <v>193195039.69</v>
      </c>
      <c r="G57" s="11">
        <v>193160297.68000001</v>
      </c>
      <c r="H57" s="11">
        <v>195887109.08000001</v>
      </c>
      <c r="I57" s="11">
        <v>196564767.27000001</v>
      </c>
      <c r="J57" s="11">
        <v>198165374.91999999</v>
      </c>
      <c r="K57" s="11">
        <v>198786081.30000001</v>
      </c>
      <c r="L57" s="11">
        <v>199643776.99000001</v>
      </c>
      <c r="M57" s="11">
        <v>198950803.88999999</v>
      </c>
      <c r="N57" s="11">
        <v>200138191.53</v>
      </c>
      <c r="O57" s="11">
        <v>200645004.03</v>
      </c>
      <c r="P57" s="12">
        <f t="shared" si="16"/>
        <v>196353251.16541669</v>
      </c>
      <c r="Q57" s="12">
        <f t="shared" si="14"/>
        <v>196743854.94166672</v>
      </c>
      <c r="R57" s="13">
        <f>+Q57/P57-1</f>
        <v>1.9892911063692509E-3</v>
      </c>
      <c r="T57" s="12">
        <f t="shared" si="17"/>
        <v>196353251.16541669</v>
      </c>
      <c r="V57" s="12"/>
      <c r="X57" s="10"/>
      <c r="Y57" s="10"/>
      <c r="Z57" s="10"/>
      <c r="AA57" s="10"/>
      <c r="AB57" s="10">
        <f t="shared" si="4"/>
        <v>0</v>
      </c>
    </row>
    <row r="58" spans="1:28" s="6" customFormat="1">
      <c r="A58" s="6">
        <f t="shared" si="0"/>
        <v>49</v>
      </c>
      <c r="B58" s="9" t="s">
        <v>60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2">
        <f t="shared" si="16"/>
        <v>0</v>
      </c>
      <c r="Q58" s="12" t="e">
        <f t="shared" si="14"/>
        <v>#DIV/0!</v>
      </c>
      <c r="R58" s="13"/>
      <c r="T58" s="12">
        <f t="shared" si="17"/>
        <v>0</v>
      </c>
      <c r="X58" s="10"/>
      <c r="Y58" s="10"/>
      <c r="Z58" s="10"/>
      <c r="AA58" s="10"/>
      <c r="AB58" s="10">
        <f t="shared" si="4"/>
        <v>0</v>
      </c>
    </row>
    <row r="59" spans="1:28" s="6" customFormat="1">
      <c r="A59" s="6">
        <f t="shared" si="0"/>
        <v>50</v>
      </c>
      <c r="B59" s="9" t="s">
        <v>61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2">
        <f t="shared" si="16"/>
        <v>0</v>
      </c>
      <c r="Q59" s="12" t="e">
        <f t="shared" si="14"/>
        <v>#DIV/0!</v>
      </c>
      <c r="R59" s="13"/>
      <c r="T59" s="12">
        <f t="shared" si="17"/>
        <v>0</v>
      </c>
      <c r="X59" s="10"/>
      <c r="Y59" s="10"/>
      <c r="Z59" s="10"/>
      <c r="AA59" s="10"/>
      <c r="AB59" s="10">
        <f t="shared" si="4"/>
        <v>0</v>
      </c>
    </row>
    <row r="60" spans="1:28" s="6" customFormat="1">
      <c r="A60" s="6">
        <f t="shared" si="0"/>
        <v>51</v>
      </c>
      <c r="B60" s="9" t="s">
        <v>62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2">
        <f t="shared" si="16"/>
        <v>0</v>
      </c>
      <c r="Q60" s="12" t="e">
        <f t="shared" si="14"/>
        <v>#DIV/0!</v>
      </c>
      <c r="R60" s="13"/>
      <c r="T60" s="12">
        <f t="shared" si="17"/>
        <v>0</v>
      </c>
      <c r="X60" s="10"/>
      <c r="Y60" s="10"/>
      <c r="Z60" s="10"/>
      <c r="AA60" s="10"/>
      <c r="AB60" s="10">
        <f t="shared" si="4"/>
        <v>0</v>
      </c>
    </row>
    <row r="61" spans="1:28" s="6" customFormat="1">
      <c r="A61" s="6">
        <f t="shared" si="0"/>
        <v>52</v>
      </c>
      <c r="B61" s="9" t="s">
        <v>63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2">
        <f t="shared" si="16"/>
        <v>0</v>
      </c>
      <c r="Q61" s="12" t="e">
        <f t="shared" si="14"/>
        <v>#DIV/0!</v>
      </c>
      <c r="R61" s="13"/>
      <c r="T61" s="12">
        <f t="shared" si="17"/>
        <v>0</v>
      </c>
      <c r="X61" s="10"/>
      <c r="Y61" s="10"/>
      <c r="Z61" s="10"/>
      <c r="AA61" s="10"/>
      <c r="AB61" s="10">
        <f t="shared" si="4"/>
        <v>0</v>
      </c>
    </row>
    <row r="62" spans="1:28" s="6" customFormat="1">
      <c r="A62" s="6">
        <f t="shared" si="0"/>
        <v>53</v>
      </c>
      <c r="B62" s="9" t="s">
        <v>64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2">
        <f t="shared" si="16"/>
        <v>0</v>
      </c>
      <c r="Q62" s="12" t="e">
        <f t="shared" si="14"/>
        <v>#DIV/0!</v>
      </c>
      <c r="R62" s="13"/>
      <c r="T62" s="12">
        <f t="shared" si="17"/>
        <v>0</v>
      </c>
      <c r="X62" s="10"/>
      <c r="Y62" s="10"/>
      <c r="Z62" s="10"/>
      <c r="AA62" s="10"/>
      <c r="AB62" s="10">
        <f t="shared" si="4"/>
        <v>0</v>
      </c>
    </row>
    <row r="63" spans="1:28" s="6" customFormat="1">
      <c r="A63" s="6">
        <f t="shared" si="0"/>
        <v>54</v>
      </c>
      <c r="B63" s="9" t="s">
        <v>65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2">
        <f t="shared" si="16"/>
        <v>0</v>
      </c>
      <c r="Q63" s="12" t="e">
        <f t="shared" si="14"/>
        <v>#DIV/0!</v>
      </c>
      <c r="R63" s="13"/>
      <c r="T63" s="12">
        <f t="shared" si="17"/>
        <v>0</v>
      </c>
      <c r="X63" s="10"/>
      <c r="Y63" s="10"/>
      <c r="Z63" s="10"/>
      <c r="AA63" s="10"/>
      <c r="AB63" s="10">
        <f t="shared" si="4"/>
        <v>0</v>
      </c>
    </row>
    <row r="64" spans="1:28" s="6" customFormat="1">
      <c r="A64" s="6">
        <f t="shared" si="0"/>
        <v>55</v>
      </c>
      <c r="B64" s="9" t="s">
        <v>66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2">
        <f t="shared" si="16"/>
        <v>0</v>
      </c>
      <c r="Q64" s="12" t="e">
        <f t="shared" si="14"/>
        <v>#DIV/0!</v>
      </c>
      <c r="R64" s="13"/>
      <c r="T64" s="12">
        <f t="shared" si="17"/>
        <v>0</v>
      </c>
      <c r="X64" s="10"/>
      <c r="Y64" s="10"/>
      <c r="Z64" s="10"/>
      <c r="AA64" s="10"/>
      <c r="AB64" s="10">
        <f t="shared" si="4"/>
        <v>0</v>
      </c>
    </row>
    <row r="65" spans="1:28" s="6" customFormat="1">
      <c r="A65" s="6">
        <f t="shared" si="0"/>
        <v>56</v>
      </c>
      <c r="B65" s="9" t="s">
        <v>67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2">
        <f t="shared" si="16"/>
        <v>0</v>
      </c>
      <c r="Q65" s="12" t="e">
        <f t="shared" si="14"/>
        <v>#DIV/0!</v>
      </c>
      <c r="R65" s="13"/>
      <c r="T65" s="12">
        <f t="shared" si="17"/>
        <v>0</v>
      </c>
      <c r="X65" s="10"/>
      <c r="Y65" s="10"/>
      <c r="Z65" s="10"/>
      <c r="AA65" s="10"/>
      <c r="AB65" s="10">
        <f t="shared" si="4"/>
        <v>0</v>
      </c>
    </row>
    <row r="66" spans="1:28" s="6" customFormat="1">
      <c r="A66" s="6">
        <f t="shared" si="0"/>
        <v>57</v>
      </c>
      <c r="B66" s="9" t="s">
        <v>68</v>
      </c>
      <c r="C66" s="11">
        <f>87921903.63-249129</f>
        <v>87672774.629999995</v>
      </c>
      <c r="D66" s="11">
        <f>59298455.16-220048</f>
        <v>59078407.159999996</v>
      </c>
      <c r="E66" s="11">
        <f>34609797.12-189047</f>
        <v>34420750.119999997</v>
      </c>
      <c r="F66" s="11">
        <f>39397352.91-162805</f>
        <v>39234547.909999996</v>
      </c>
      <c r="G66" s="11">
        <f>30305514.98-133766</f>
        <v>30171748.98</v>
      </c>
      <c r="H66" s="11">
        <f>42623205.56-101519</f>
        <v>42521686.560000002</v>
      </c>
      <c r="I66" s="11">
        <v>113503387.98999999</v>
      </c>
      <c r="J66" s="11">
        <v>84230593.150000006</v>
      </c>
      <c r="K66" s="11">
        <v>63891087.710000001</v>
      </c>
      <c r="L66" s="11">
        <v>125176629.81</v>
      </c>
      <c r="M66" s="11">
        <v>33824015.210000001</v>
      </c>
      <c r="N66" s="11">
        <v>28959637.969999999</v>
      </c>
      <c r="O66" s="11">
        <v>27465999.329999998</v>
      </c>
      <c r="P66" s="12">
        <f t="shared" si="16"/>
        <v>59381823.295833327</v>
      </c>
      <c r="Q66" s="12">
        <f t="shared" si="14"/>
        <v>56873207.658333339</v>
      </c>
      <c r="R66" s="13">
        <f>+Q66/P66-1</f>
        <v>-4.2245513833456316E-2</v>
      </c>
      <c r="T66" s="12">
        <f t="shared" si="17"/>
        <v>59381823.295833327</v>
      </c>
      <c r="X66" s="10"/>
      <c r="Y66" s="10"/>
      <c r="Z66" s="10"/>
      <c r="AA66" s="10"/>
      <c r="AB66" s="10">
        <f t="shared" si="4"/>
        <v>0</v>
      </c>
    </row>
    <row r="67" spans="1:28" s="6" customFormat="1">
      <c r="A67" s="6">
        <f t="shared" si="0"/>
        <v>58</v>
      </c>
      <c r="B67" s="9" t="s">
        <v>69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2">
        <f t="shared" si="16"/>
        <v>0</v>
      </c>
      <c r="Q67" s="12" t="e">
        <f t="shared" si="14"/>
        <v>#DIV/0!</v>
      </c>
      <c r="R67" s="13"/>
      <c r="T67" s="12">
        <f t="shared" si="17"/>
        <v>0</v>
      </c>
      <c r="X67" s="10"/>
      <c r="Y67" s="10"/>
      <c r="Z67" s="10"/>
      <c r="AA67" s="10"/>
      <c r="AB67" s="10">
        <f t="shared" si="4"/>
        <v>0</v>
      </c>
    </row>
    <row r="68" spans="1:28" s="6" customFormat="1">
      <c r="A68" s="6">
        <f t="shared" si="0"/>
        <v>59</v>
      </c>
      <c r="B68" s="9" t="s">
        <v>70</v>
      </c>
      <c r="C68" s="11">
        <v>12559.41</v>
      </c>
      <c r="D68" s="11">
        <v>14321.84</v>
      </c>
      <c r="E68" s="11">
        <v>24953.23</v>
      </c>
      <c r="F68" s="11">
        <v>24421.53</v>
      </c>
      <c r="G68" s="11">
        <v>26169.599999999999</v>
      </c>
      <c r="H68" s="11">
        <v>27787.09</v>
      </c>
      <c r="I68" s="11">
        <v>26886.799999999999</v>
      </c>
      <c r="J68" s="11">
        <v>16660.55</v>
      </c>
      <c r="K68" s="11">
        <v>18496</v>
      </c>
      <c r="L68" s="11">
        <v>19132.57</v>
      </c>
      <c r="M68" s="11">
        <v>-173483.88</v>
      </c>
      <c r="N68" s="11">
        <v>-164301.82999999999</v>
      </c>
      <c r="O68" s="11">
        <v>12909.74</v>
      </c>
      <c r="P68" s="12">
        <f t="shared" si="16"/>
        <v>-10518.493750000001</v>
      </c>
      <c r="Q68" s="12">
        <f t="shared" si="14"/>
        <v>-10503.896666666666</v>
      </c>
      <c r="R68" s="13">
        <f t="shared" ref="R68:R74" si="18">+Q68/P68-1</f>
        <v>-1.3877541481008837E-3</v>
      </c>
      <c r="T68" s="12">
        <f t="shared" si="17"/>
        <v>-10518.493750000001</v>
      </c>
      <c r="X68" s="10"/>
      <c r="Y68" s="10"/>
      <c r="Z68" s="10"/>
      <c r="AA68" s="10"/>
      <c r="AB68" s="10">
        <f t="shared" si="4"/>
        <v>0</v>
      </c>
    </row>
    <row r="69" spans="1:28" s="6" customFormat="1">
      <c r="A69" s="6">
        <f t="shared" si="0"/>
        <v>60</v>
      </c>
      <c r="B69" s="9" t="s">
        <v>71</v>
      </c>
      <c r="C69" s="11">
        <v>1722621.89</v>
      </c>
      <c r="D69" s="11">
        <v>6060244.2599999998</v>
      </c>
      <c r="E69" s="11">
        <v>5235372.54</v>
      </c>
      <c r="F69" s="11">
        <v>1937962.18</v>
      </c>
      <c r="G69" s="11">
        <v>4163049.42</v>
      </c>
      <c r="H69" s="11">
        <v>2526726.4500000002</v>
      </c>
      <c r="I69" s="11">
        <v>2237540.79</v>
      </c>
      <c r="J69" s="11">
        <v>2428841</v>
      </c>
      <c r="K69" s="11">
        <v>2273451.9</v>
      </c>
      <c r="L69" s="11">
        <v>1981371.63</v>
      </c>
      <c r="M69" s="11">
        <v>2574624.5</v>
      </c>
      <c r="N69" s="11">
        <v>2487207.39</v>
      </c>
      <c r="O69" s="11">
        <v>1794821.98</v>
      </c>
      <c r="P69" s="12">
        <f t="shared" si="16"/>
        <v>2972092.8329166663</v>
      </c>
      <c r="Q69" s="12">
        <f t="shared" si="14"/>
        <v>2975101.1699999995</v>
      </c>
      <c r="R69" s="13">
        <f t="shared" si="18"/>
        <v>1.0121948581198748E-3</v>
      </c>
      <c r="T69" s="12">
        <f t="shared" si="17"/>
        <v>2972092.8329166663</v>
      </c>
      <c r="X69" s="10"/>
      <c r="Y69" s="10"/>
      <c r="Z69" s="10"/>
      <c r="AA69" s="10"/>
      <c r="AB69" s="10">
        <f t="shared" si="4"/>
        <v>0</v>
      </c>
    </row>
    <row r="70" spans="1:28" s="6" customFormat="1">
      <c r="A70" s="6">
        <f t="shared" si="0"/>
        <v>61</v>
      </c>
      <c r="B70" s="9" t="s">
        <v>72</v>
      </c>
      <c r="C70" s="11">
        <v>214855971.06</v>
      </c>
      <c r="D70" s="11">
        <v>244604417.74000001</v>
      </c>
      <c r="E70" s="11">
        <v>251369995.72999999</v>
      </c>
      <c r="F70" s="11">
        <v>223160800</v>
      </c>
      <c r="G70" s="11">
        <v>233798100</v>
      </c>
      <c r="H70" s="11">
        <v>235272000</v>
      </c>
      <c r="I70" s="11">
        <v>236917500</v>
      </c>
      <c r="J70" s="11">
        <v>220973400</v>
      </c>
      <c r="K70" s="11">
        <v>211113100</v>
      </c>
      <c r="L70" s="11">
        <v>209913700</v>
      </c>
      <c r="M70" s="11">
        <v>202715100</v>
      </c>
      <c r="N70" s="11">
        <v>230254600</v>
      </c>
      <c r="O70" s="11">
        <v>258866700</v>
      </c>
      <c r="P70" s="12">
        <f t="shared" si="16"/>
        <v>228079504.08333337</v>
      </c>
      <c r="Q70" s="12">
        <f t="shared" si="14"/>
        <v>229913284.45583335</v>
      </c>
      <c r="R70" s="13">
        <f t="shared" si="18"/>
        <v>8.0400927732198202E-3</v>
      </c>
      <c r="T70" s="12">
        <f t="shared" si="17"/>
        <v>228079504.08333337</v>
      </c>
      <c r="X70" s="10"/>
      <c r="Y70" s="10"/>
      <c r="Z70" s="10"/>
      <c r="AA70" s="10"/>
      <c r="AB70" s="10">
        <f t="shared" si="4"/>
        <v>0</v>
      </c>
    </row>
    <row r="71" spans="1:28" s="6" customFormat="1">
      <c r="A71" s="6">
        <f t="shared" si="0"/>
        <v>62</v>
      </c>
      <c r="B71" s="9" t="s">
        <v>73</v>
      </c>
      <c r="C71" s="11"/>
      <c r="D71" s="11"/>
      <c r="E71" s="11"/>
      <c r="F71" s="11"/>
      <c r="G71" s="11"/>
      <c r="H71" s="11"/>
      <c r="I71" s="11">
        <v>2574464</v>
      </c>
      <c r="J71" s="11">
        <v>2757414</v>
      </c>
      <c r="K71" s="11">
        <v>2558291</v>
      </c>
      <c r="L71" s="11">
        <v>2334726</v>
      </c>
      <c r="M71" s="11">
        <v>1977025</v>
      </c>
      <c r="N71" s="11">
        <v>1935890</v>
      </c>
      <c r="O71" s="11">
        <v>1743859</v>
      </c>
      <c r="P71" s="12">
        <f t="shared" si="16"/>
        <v>1250811.625</v>
      </c>
      <c r="Q71" s="12">
        <f t="shared" si="14"/>
        <v>2268809.8571428573</v>
      </c>
      <c r="R71" s="13">
        <f t="shared" si="18"/>
        <v>0.81387013983249257</v>
      </c>
      <c r="T71" s="12"/>
      <c r="V71" s="43">
        <f t="shared" ref="V71:V73" si="19">+P71</f>
        <v>1250811.625</v>
      </c>
      <c r="X71" s="10"/>
      <c r="Y71" s="10"/>
      <c r="Z71" s="43">
        <f t="shared" ref="Z71:Z73" si="20">+V71</f>
        <v>1250811.625</v>
      </c>
      <c r="AA71" s="10">
        <f>+Z71</f>
        <v>1250811.625</v>
      </c>
      <c r="AB71" s="10">
        <f t="shared" si="4"/>
        <v>0</v>
      </c>
    </row>
    <row r="72" spans="1:28" s="6" customFormat="1">
      <c r="A72" s="6">
        <f t="shared" si="0"/>
        <v>63</v>
      </c>
      <c r="B72" s="9" t="s">
        <v>74</v>
      </c>
      <c r="C72" s="11">
        <v>52111171.880000003</v>
      </c>
      <c r="D72" s="11">
        <v>45411149.880000003</v>
      </c>
      <c r="E72" s="11">
        <v>37750575.880000003</v>
      </c>
      <c r="F72" s="11">
        <v>38177416</v>
      </c>
      <c r="G72" s="11">
        <v>35737478</v>
      </c>
      <c r="H72" s="11">
        <v>27422573</v>
      </c>
      <c r="I72" s="11">
        <v>15812193</v>
      </c>
      <c r="J72" s="11">
        <v>18436824</v>
      </c>
      <c r="K72" s="11">
        <v>21259908.309999999</v>
      </c>
      <c r="L72" s="11">
        <v>19653080.600000001</v>
      </c>
      <c r="M72" s="11">
        <v>18819517.260000002</v>
      </c>
      <c r="N72" s="11">
        <v>13113864.380000001</v>
      </c>
      <c r="O72" s="11">
        <v>12486971.060000001</v>
      </c>
      <c r="P72" s="12">
        <f t="shared" si="16"/>
        <v>26991137.64833333</v>
      </c>
      <c r="Q72" s="12">
        <f t="shared" si="14"/>
        <v>25340129.280833334</v>
      </c>
      <c r="R72" s="13">
        <f t="shared" si="18"/>
        <v>-6.1168535724982487E-2</v>
      </c>
      <c r="T72" s="12"/>
      <c r="U72" s="19"/>
      <c r="V72" s="43">
        <f t="shared" si="19"/>
        <v>26991137.64833333</v>
      </c>
      <c r="W72" s="12"/>
      <c r="X72" s="10"/>
      <c r="Y72" s="10"/>
      <c r="Z72" s="43">
        <f t="shared" si="20"/>
        <v>26991137.64833333</v>
      </c>
      <c r="AA72" s="10">
        <f>+Z72</f>
        <v>26991137.64833333</v>
      </c>
      <c r="AB72" s="10">
        <f t="shared" si="4"/>
        <v>0</v>
      </c>
    </row>
    <row r="73" spans="1:28" s="6" customFormat="1">
      <c r="A73" s="6">
        <f t="shared" si="0"/>
        <v>64</v>
      </c>
      <c r="B73" s="9" t="s">
        <v>75</v>
      </c>
      <c r="C73" s="11">
        <v>5904320.1699999999</v>
      </c>
      <c r="D73" s="11">
        <v>5347478.17</v>
      </c>
      <c r="E73" s="11">
        <v>5702291.1699999999</v>
      </c>
      <c r="F73" s="11">
        <v>6297562</v>
      </c>
      <c r="G73" s="11">
        <v>6123786</v>
      </c>
      <c r="H73" s="11">
        <v>5637366</v>
      </c>
      <c r="I73" s="11">
        <v>4472312</v>
      </c>
      <c r="J73" s="11">
        <v>3800307</v>
      </c>
      <c r="K73" s="11">
        <v>2747187.72</v>
      </c>
      <c r="L73" s="11">
        <v>1068525.1100000001</v>
      </c>
      <c r="M73" s="11">
        <v>1057610.7</v>
      </c>
      <c r="N73" s="11">
        <v>953643.83</v>
      </c>
      <c r="O73" s="11">
        <v>843218.75</v>
      </c>
      <c r="P73" s="12">
        <f>-(C73+2*SUM(D73:N73)+O73)/24</f>
        <v>-3881819.93</v>
      </c>
      <c r="Q73" s="12">
        <f t="shared" si="14"/>
        <v>3670940.7041666671</v>
      </c>
      <c r="R73" s="13">
        <f t="shared" si="18"/>
        <v>-1.9456751653512858</v>
      </c>
      <c r="T73" s="12"/>
      <c r="V73" s="43">
        <f t="shared" si="19"/>
        <v>-3881819.93</v>
      </c>
      <c r="W73" s="12"/>
      <c r="X73" s="10"/>
      <c r="Y73" s="10"/>
      <c r="Z73" s="43">
        <f t="shared" si="20"/>
        <v>-3881819.93</v>
      </c>
      <c r="AA73" s="10">
        <f>+Z73</f>
        <v>-3881819.93</v>
      </c>
      <c r="AB73" s="10">
        <f t="shared" si="4"/>
        <v>0</v>
      </c>
    </row>
    <row r="74" spans="1:28" s="6" customFormat="1">
      <c r="A74" s="6">
        <f t="shared" si="0"/>
        <v>65</v>
      </c>
      <c r="B74" s="9" t="s">
        <v>76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2">
        <f>(C74+2*SUM(D74:N74)+O74)/24</f>
        <v>0</v>
      </c>
      <c r="Q74" s="12" t="e">
        <f t="shared" si="14"/>
        <v>#DIV/0!</v>
      </c>
      <c r="R74" s="13" t="e">
        <f t="shared" si="18"/>
        <v>#DIV/0!</v>
      </c>
      <c r="T74" s="12">
        <f t="shared" si="17"/>
        <v>0</v>
      </c>
      <c r="W74" s="12"/>
      <c r="X74" s="10"/>
      <c r="Y74" s="10"/>
      <c r="Z74" s="10"/>
      <c r="AA74" s="10"/>
      <c r="AB74" s="10">
        <f t="shared" si="4"/>
        <v>0</v>
      </c>
    </row>
    <row r="75" spans="1:28" s="6" customFormat="1">
      <c r="A75" s="6">
        <f t="shared" ref="A75:A138" si="21">+A74+1</f>
        <v>66</v>
      </c>
      <c r="B75" s="9" t="s">
        <v>77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2">
        <f>(C75+2*SUM(D75:N75)+O75)/24</f>
        <v>0</v>
      </c>
      <c r="Q75" s="12" t="e">
        <f t="shared" si="14"/>
        <v>#DIV/0!</v>
      </c>
      <c r="R75" s="13"/>
      <c r="T75" s="12">
        <f t="shared" si="17"/>
        <v>0</v>
      </c>
      <c r="X75" s="10"/>
      <c r="Y75" s="10"/>
      <c r="Z75" s="10"/>
      <c r="AA75" s="10"/>
      <c r="AB75" s="10">
        <f t="shared" si="4"/>
        <v>0</v>
      </c>
    </row>
    <row r="76" spans="1:28" s="6" customFormat="1">
      <c r="A76" s="6">
        <f t="shared" si="21"/>
        <v>67</v>
      </c>
      <c r="B76" s="9" t="s">
        <v>78</v>
      </c>
      <c r="C76" s="11">
        <f t="shared" ref="C76:O76" si="22">SUM(C44:C50,C52:C61,C63:C72,C74)-SUM(C51,C62,C73,C75)</f>
        <v>1242476570.05</v>
      </c>
      <c r="D76" s="11">
        <f t="shared" si="22"/>
        <v>1212186052.4400001</v>
      </c>
      <c r="E76" s="11">
        <f t="shared" si="22"/>
        <v>1191414452.5500002</v>
      </c>
      <c r="F76" s="11">
        <f t="shared" si="22"/>
        <v>1264120897.23</v>
      </c>
      <c r="G76" s="11">
        <f t="shared" si="22"/>
        <v>1219490809.8199999</v>
      </c>
      <c r="H76" s="11">
        <f t="shared" si="22"/>
        <v>1155050759.8900001</v>
      </c>
      <c r="I76" s="11">
        <f t="shared" si="22"/>
        <v>1268581646.0999999</v>
      </c>
      <c r="J76" s="11">
        <f t="shared" si="22"/>
        <v>1228770459.9699998</v>
      </c>
      <c r="K76" s="11">
        <f t="shared" si="22"/>
        <v>1181106794.2199998</v>
      </c>
      <c r="L76" s="11">
        <f t="shared" si="22"/>
        <v>1222089702.6800001</v>
      </c>
      <c r="M76" s="11">
        <f t="shared" si="22"/>
        <v>1103753135.28</v>
      </c>
      <c r="N76" s="11">
        <f t="shared" si="22"/>
        <v>1114147361.79</v>
      </c>
      <c r="O76" s="11">
        <f t="shared" si="22"/>
        <v>1240006124.6799998</v>
      </c>
      <c r="P76" s="14">
        <f>SUBTOTAL(9,P44:P75)</f>
        <v>1200162784.9445834</v>
      </c>
      <c r="Q76" s="12">
        <f t="shared" si="14"/>
        <v>1200059849.7208335</v>
      </c>
      <c r="R76" s="13">
        <f>+Q76/P76-1</f>
        <v>-8.5767718380536095E-5</v>
      </c>
      <c r="T76"/>
      <c r="U76"/>
      <c r="V76"/>
      <c r="W76"/>
      <c r="X76"/>
      <c r="Y76"/>
      <c r="Z76"/>
      <c r="AA76"/>
      <c r="AB76" s="10">
        <f t="shared" si="4"/>
        <v>0</v>
      </c>
    </row>
    <row r="77" spans="1:28" s="6" customFormat="1">
      <c r="A77" s="6">
        <f t="shared" si="21"/>
        <v>68</v>
      </c>
      <c r="B77" s="9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8"/>
      <c r="Q77" s="12"/>
      <c r="R77" s="13"/>
      <c r="T77"/>
      <c r="U77"/>
      <c r="V77"/>
      <c r="W77"/>
      <c r="X77"/>
      <c r="Y77"/>
      <c r="Z77"/>
      <c r="AA77"/>
      <c r="AB77" s="10">
        <f t="shared" ref="AB77:AB140" si="23">+AA77-V77</f>
        <v>0</v>
      </c>
    </row>
    <row r="78" spans="1:28" s="6" customFormat="1">
      <c r="A78" s="6">
        <f t="shared" si="21"/>
        <v>69</v>
      </c>
      <c r="B78" s="9" t="s">
        <v>79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12"/>
      <c r="Q78" s="12"/>
      <c r="R78" s="13"/>
      <c r="X78" s="10"/>
      <c r="Y78" s="10"/>
      <c r="Z78" s="10"/>
      <c r="AA78" s="10"/>
      <c r="AB78" s="10">
        <f t="shared" si="23"/>
        <v>0</v>
      </c>
    </row>
    <row r="79" spans="1:28" s="6" customFormat="1">
      <c r="A79" s="6">
        <f t="shared" si="21"/>
        <v>70</v>
      </c>
      <c r="B79" s="9" t="s">
        <v>80</v>
      </c>
      <c r="C79" s="11">
        <v>34637123.829999998</v>
      </c>
      <c r="D79" s="11">
        <v>34541541.789999999</v>
      </c>
      <c r="E79" s="11">
        <v>34415758.329999998</v>
      </c>
      <c r="F79" s="11">
        <v>34181877.619999997</v>
      </c>
      <c r="G79" s="11">
        <v>33935949.840000004</v>
      </c>
      <c r="H79" s="11">
        <v>33690021.890000001</v>
      </c>
      <c r="I79" s="11">
        <v>33449340.809999999</v>
      </c>
      <c r="J79" s="11">
        <v>37726980.609999999</v>
      </c>
      <c r="K79" s="11">
        <v>37717993.310000002</v>
      </c>
      <c r="L79" s="11">
        <v>36290380.920000002</v>
      </c>
      <c r="M79" s="11">
        <v>36286705.590000004</v>
      </c>
      <c r="N79" s="11">
        <v>36391742.439999998</v>
      </c>
      <c r="O79" s="11">
        <v>36154416.020000003</v>
      </c>
      <c r="P79" s="12">
        <f t="shared" ref="P79:P93" si="24">(C79+2*SUM(D79:N79)+O79)/24</f>
        <v>35335338.589583337</v>
      </c>
      <c r="Q79" s="12">
        <f t="shared" ref="Q79:Q94" si="25">AVERAGE(D79:O79)</f>
        <v>35398559.097500004</v>
      </c>
      <c r="R79" s="13">
        <f>+Q79/P79-1</f>
        <v>1.7891581187594596E-3</v>
      </c>
      <c r="V79" s="12"/>
      <c r="W79" s="12">
        <f>-P79</f>
        <v>-35335338.589583337</v>
      </c>
      <c r="X79" s="10"/>
      <c r="Y79" s="10"/>
      <c r="Z79" s="10"/>
      <c r="AA79" s="10"/>
      <c r="AB79" s="10">
        <f t="shared" si="23"/>
        <v>0</v>
      </c>
    </row>
    <row r="80" spans="1:28" s="6" customFormat="1">
      <c r="A80" s="6">
        <f t="shared" si="21"/>
        <v>71</v>
      </c>
      <c r="B80" s="9" t="s">
        <v>81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2">
        <f t="shared" si="24"/>
        <v>0</v>
      </c>
      <c r="Q80" s="12" t="e">
        <f t="shared" si="25"/>
        <v>#DIV/0!</v>
      </c>
      <c r="R80" s="13"/>
      <c r="V80" s="12">
        <f t="shared" ref="V80:V90" si="26">+P80</f>
        <v>0</v>
      </c>
      <c r="X80" s="10"/>
      <c r="Y80" s="10"/>
      <c r="Z80" s="10"/>
      <c r="AA80" s="10"/>
      <c r="AB80" s="10">
        <f t="shared" si="23"/>
        <v>0</v>
      </c>
    </row>
    <row r="81" spans="1:28" s="6" customFormat="1">
      <c r="A81" s="6">
        <f t="shared" si="21"/>
        <v>72</v>
      </c>
      <c r="B81" s="9" t="s">
        <v>82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2">
        <f t="shared" si="24"/>
        <v>0</v>
      </c>
      <c r="Q81" s="12" t="e">
        <f t="shared" si="25"/>
        <v>#DIV/0!</v>
      </c>
      <c r="R81" s="13" t="e">
        <f>+Q81/P81-1</f>
        <v>#DIV/0!</v>
      </c>
      <c r="V81" s="12">
        <f t="shared" si="26"/>
        <v>0</v>
      </c>
      <c r="X81" s="10">
        <v>0</v>
      </c>
      <c r="Y81" s="10">
        <v>0</v>
      </c>
      <c r="Z81" s="10">
        <f>+P81-X81-Y81</f>
        <v>0</v>
      </c>
      <c r="AA81" s="10">
        <f>+Z81+X81+Y81</f>
        <v>0</v>
      </c>
      <c r="AB81" s="10">
        <f t="shared" si="23"/>
        <v>0</v>
      </c>
    </row>
    <row r="82" spans="1:28" s="6" customFormat="1">
      <c r="A82" s="6">
        <f t="shared" si="21"/>
        <v>73</v>
      </c>
      <c r="B82" s="9" t="s">
        <v>83</v>
      </c>
      <c r="C82" s="11">
        <v>1734854643.03</v>
      </c>
      <c r="D82" s="11">
        <v>1792493711.3599999</v>
      </c>
      <c r="E82" s="11">
        <v>1761310118.45</v>
      </c>
      <c r="F82" s="11">
        <v>1750711757.6600001</v>
      </c>
      <c r="G82" s="11">
        <v>1722826104.52</v>
      </c>
      <c r="H82" s="11">
        <v>1736666394.3800001</v>
      </c>
      <c r="I82" s="11">
        <v>1874535670.9200001</v>
      </c>
      <c r="J82" s="11">
        <v>1894207267.27</v>
      </c>
      <c r="K82" s="11">
        <v>1867152369.53</v>
      </c>
      <c r="L82" s="11">
        <v>1896130240.8599999</v>
      </c>
      <c r="M82" s="11">
        <v>1877281334.51</v>
      </c>
      <c r="N82" s="11">
        <v>1846018075.21</v>
      </c>
      <c r="O82" s="11">
        <v>1819877305.8199999</v>
      </c>
      <c r="P82" s="12">
        <f t="shared" si="24"/>
        <v>1816391584.9245832</v>
      </c>
      <c r="Q82" s="12">
        <f t="shared" si="25"/>
        <v>1819934195.8741665</v>
      </c>
      <c r="R82" s="13">
        <f>+Q82/P82-1</f>
        <v>1.9503563983591654E-3</v>
      </c>
      <c r="T82" s="42">
        <v>650332516.61458337</v>
      </c>
      <c r="V82" s="12">
        <f>+P82-T82</f>
        <v>1166059068.3099999</v>
      </c>
      <c r="X82" s="10">
        <v>13830508.039840424</v>
      </c>
      <c r="Y82" s="10">
        <v>168336505.04307589</v>
      </c>
      <c r="Z82" s="10">
        <f>+P82-X82-Y82-T82</f>
        <v>983892055.22708356</v>
      </c>
      <c r="AA82" s="10">
        <f>+Z82+X82+Y82</f>
        <v>1166059068.3099999</v>
      </c>
      <c r="AB82" s="10">
        <f t="shared" si="23"/>
        <v>0</v>
      </c>
    </row>
    <row r="83" spans="1:28" s="6" customFormat="1">
      <c r="A83" s="6">
        <f t="shared" si="21"/>
        <v>74</v>
      </c>
      <c r="B83" s="9" t="s">
        <v>84</v>
      </c>
      <c r="C83" s="11">
        <v>3037151.89</v>
      </c>
      <c r="D83" s="11">
        <v>2983030.97</v>
      </c>
      <c r="E83" s="11">
        <v>3349423.32</v>
      </c>
      <c r="F83" s="11">
        <v>3024702.33</v>
      </c>
      <c r="G83" s="11">
        <v>3019844.81</v>
      </c>
      <c r="H83" s="11">
        <v>3056444.79</v>
      </c>
      <c r="I83" s="11">
        <v>3115356.43</v>
      </c>
      <c r="J83" s="11">
        <v>3156779.52</v>
      </c>
      <c r="K83" s="11">
        <v>3240548.66</v>
      </c>
      <c r="L83" s="11">
        <v>3431846.32</v>
      </c>
      <c r="M83" s="11">
        <v>4068428.84</v>
      </c>
      <c r="N83" s="11">
        <v>4074045.74</v>
      </c>
      <c r="O83" s="11">
        <v>4987809.3099999996</v>
      </c>
      <c r="P83" s="12">
        <f t="shared" si="24"/>
        <v>3377744.3608333338</v>
      </c>
      <c r="Q83" s="12">
        <f t="shared" si="25"/>
        <v>3459021.7533333339</v>
      </c>
      <c r="R83" s="13">
        <f>+Q83/P83-1</f>
        <v>2.4062623993234222E-2</v>
      </c>
      <c r="V83" s="12">
        <f t="shared" si="26"/>
        <v>3377744.3608333338</v>
      </c>
      <c r="X83" s="10">
        <v>0</v>
      </c>
      <c r="Y83" s="10">
        <v>0</v>
      </c>
      <c r="Z83" s="10">
        <f>+V83</f>
        <v>3377744.3608333338</v>
      </c>
      <c r="AA83" s="10">
        <f>+Z83+X83+Y83</f>
        <v>3377744.3608333338</v>
      </c>
      <c r="AB83" s="10">
        <f t="shared" si="23"/>
        <v>0</v>
      </c>
    </row>
    <row r="84" spans="1:28" s="6" customFormat="1">
      <c r="A84" s="6">
        <f t="shared" si="21"/>
        <v>75</v>
      </c>
      <c r="B84" s="9" t="s">
        <v>85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2">
        <f t="shared" si="24"/>
        <v>0</v>
      </c>
      <c r="Q84" s="12" t="e">
        <f t="shared" si="25"/>
        <v>#DIV/0!</v>
      </c>
      <c r="R84" s="13"/>
      <c r="V84" s="12">
        <f t="shared" si="26"/>
        <v>0</v>
      </c>
      <c r="X84" s="10"/>
      <c r="Y84" s="10"/>
      <c r="Z84" s="10"/>
      <c r="AA84" s="10"/>
      <c r="AB84" s="10">
        <f t="shared" si="23"/>
        <v>0</v>
      </c>
    </row>
    <row r="85" spans="1:28" s="6" customFormat="1">
      <c r="A85" s="6">
        <f t="shared" si="21"/>
        <v>76</v>
      </c>
      <c r="B85" s="9" t="s">
        <v>86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2">
        <f t="shared" si="24"/>
        <v>0</v>
      </c>
      <c r="Q85" s="12" t="e">
        <f t="shared" si="25"/>
        <v>#DIV/0!</v>
      </c>
      <c r="R85" s="13"/>
      <c r="V85" s="12">
        <f t="shared" si="26"/>
        <v>0</v>
      </c>
      <c r="X85" s="10"/>
      <c r="Y85" s="10"/>
      <c r="Z85" s="10"/>
      <c r="AA85" s="10"/>
      <c r="AB85" s="10">
        <f t="shared" si="23"/>
        <v>0</v>
      </c>
    </row>
    <row r="86" spans="1:28" s="6" customFormat="1">
      <c r="A86" s="6">
        <f t="shared" si="21"/>
        <v>77</v>
      </c>
      <c r="B86" s="9" t="s">
        <v>87</v>
      </c>
      <c r="C86" s="11">
        <v>-214512.86</v>
      </c>
      <c r="D86" s="11">
        <v>128507.14</v>
      </c>
      <c r="E86" s="11">
        <v>-167498.88</v>
      </c>
      <c r="F86" s="11">
        <v>-167077.38</v>
      </c>
      <c r="G86" s="11">
        <v>-163096.39000000001</v>
      </c>
      <c r="H86" s="11">
        <v>340274.45</v>
      </c>
      <c r="I86" s="11"/>
      <c r="J86" s="11">
        <v>-48232.54</v>
      </c>
      <c r="K86" s="11">
        <v>-95146.81</v>
      </c>
      <c r="L86" s="11">
        <v>-173339.33</v>
      </c>
      <c r="M86" s="11">
        <v>-183723.69</v>
      </c>
      <c r="N86" s="11">
        <v>-176411.57</v>
      </c>
      <c r="O86" s="11">
        <v>-115896.56</v>
      </c>
      <c r="P86" s="12">
        <f t="shared" si="24"/>
        <v>-72579.142500000002</v>
      </c>
      <c r="Q86" s="12">
        <f t="shared" si="25"/>
        <v>-74694.687272727271</v>
      </c>
      <c r="R86" s="13"/>
      <c r="V86" s="12">
        <f t="shared" si="26"/>
        <v>-72579.142500000002</v>
      </c>
      <c r="X86" s="10"/>
      <c r="Y86" s="10"/>
      <c r="Z86" s="10">
        <f>+V86</f>
        <v>-72579.142500000002</v>
      </c>
      <c r="AA86" s="10">
        <f>+Z86+X86+Y86</f>
        <v>-72579.142500000002</v>
      </c>
      <c r="AB86" s="10">
        <f t="shared" si="23"/>
        <v>0</v>
      </c>
    </row>
    <row r="87" spans="1:28" s="6" customFormat="1">
      <c r="A87" s="6">
        <f t="shared" si="21"/>
        <v>78</v>
      </c>
      <c r="B87" s="9" t="s">
        <v>88</v>
      </c>
      <c r="C87" s="11">
        <v>89719.83</v>
      </c>
      <c r="D87" s="11">
        <v>90509.05</v>
      </c>
      <c r="E87" s="11">
        <v>101892.9</v>
      </c>
      <c r="F87" s="11">
        <v>110494.66</v>
      </c>
      <c r="G87" s="11">
        <v>81932.39</v>
      </c>
      <c r="H87" s="11">
        <v>52246.99</v>
      </c>
      <c r="I87" s="11">
        <v>66905.259999999995</v>
      </c>
      <c r="J87" s="11">
        <v>81157.94</v>
      </c>
      <c r="K87" s="11">
        <v>45669.84</v>
      </c>
      <c r="L87" s="11">
        <v>40431.64</v>
      </c>
      <c r="M87" s="11">
        <v>37356.480000000003</v>
      </c>
      <c r="N87" s="11">
        <v>18822.490000000002</v>
      </c>
      <c r="O87" s="11">
        <v>56151.65</v>
      </c>
      <c r="P87" s="12">
        <f t="shared" si="24"/>
        <v>66696.281666666662</v>
      </c>
      <c r="Q87" s="12">
        <f t="shared" si="25"/>
        <v>65297.607499999991</v>
      </c>
      <c r="R87" s="13">
        <f>+Q87/P87-1</f>
        <v>-2.0970796747814768E-2</v>
      </c>
      <c r="V87" s="12">
        <f t="shared" si="26"/>
        <v>66696.281666666662</v>
      </c>
      <c r="X87" s="10">
        <v>0</v>
      </c>
      <c r="Y87" s="10">
        <v>0</v>
      </c>
      <c r="Z87" s="10">
        <f>+V87</f>
        <v>66696.281666666662</v>
      </c>
      <c r="AA87" s="10">
        <f>+Z87+X87+Y87</f>
        <v>66696.281666666662</v>
      </c>
      <c r="AB87" s="10">
        <f t="shared" si="23"/>
        <v>0</v>
      </c>
    </row>
    <row r="88" spans="1:28" s="6" customFormat="1">
      <c r="A88" s="6">
        <f t="shared" si="21"/>
        <v>79</v>
      </c>
      <c r="B88" s="9" t="s">
        <v>89</v>
      </c>
      <c r="C88" s="11">
        <f>77886299.32-70296</f>
        <v>77816003.319999993</v>
      </c>
      <c r="D88" s="11">
        <f>78489308.8-21032</f>
        <v>78468276.799999997</v>
      </c>
      <c r="E88" s="11">
        <f>79723472.36-10334</f>
        <v>79713138.359999999</v>
      </c>
      <c r="F88" s="11">
        <f>86094472.84-58984</f>
        <v>86035488.840000004</v>
      </c>
      <c r="G88" s="11">
        <f>86509758.32-59743</f>
        <v>86450015.319999993</v>
      </c>
      <c r="H88" s="11">
        <f>85626652.23-65682</f>
        <v>85560970.230000004</v>
      </c>
      <c r="I88" s="11">
        <v>88864233.069999993</v>
      </c>
      <c r="J88" s="11">
        <v>90143100.909999996</v>
      </c>
      <c r="K88" s="11">
        <v>91035900.159999996</v>
      </c>
      <c r="L88" s="11">
        <v>92309599.370000005</v>
      </c>
      <c r="M88" s="11">
        <v>92462258.879999995</v>
      </c>
      <c r="N88" s="11">
        <v>92403595.709999993</v>
      </c>
      <c r="O88" s="11">
        <v>95646917.120000005</v>
      </c>
      <c r="P88" s="12">
        <f t="shared" si="24"/>
        <v>87514836.489166662</v>
      </c>
      <c r="Q88" s="12">
        <f t="shared" si="25"/>
        <v>88257791.230833337</v>
      </c>
      <c r="R88" s="13">
        <f>+Q88/P88-1</f>
        <v>8.4894718595360796E-3</v>
      </c>
      <c r="V88" s="12">
        <f t="shared" si="26"/>
        <v>87514836.489166662</v>
      </c>
      <c r="X88" s="10">
        <v>4213626.3067053072</v>
      </c>
      <c r="Y88" s="10">
        <v>81548519.994961098</v>
      </c>
      <c r="Z88" s="10">
        <f>+P88-X88-Y88</f>
        <v>1752690.1875002533</v>
      </c>
      <c r="AA88" s="10">
        <f>+Z88+X88+Y88</f>
        <v>87514836.489166662</v>
      </c>
      <c r="AB88" s="10">
        <f t="shared" si="23"/>
        <v>0</v>
      </c>
    </row>
    <row r="89" spans="1:28" s="6" customFormat="1">
      <c r="A89" s="6">
        <f t="shared" si="21"/>
        <v>80</v>
      </c>
      <c r="B89" s="9" t="s">
        <v>90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2">
        <f t="shared" si="24"/>
        <v>0</v>
      </c>
      <c r="Q89" s="12" t="e">
        <f t="shared" si="25"/>
        <v>#DIV/0!</v>
      </c>
      <c r="R89" s="13"/>
      <c r="V89" s="12">
        <f t="shared" si="26"/>
        <v>0</v>
      </c>
      <c r="X89" s="10"/>
      <c r="Y89" s="10"/>
      <c r="Z89" s="10"/>
      <c r="AA89" s="10"/>
      <c r="AB89" s="10">
        <f t="shared" si="23"/>
        <v>0</v>
      </c>
    </row>
    <row r="90" spans="1:28" s="6" customFormat="1">
      <c r="A90" s="6">
        <f t="shared" si="21"/>
        <v>81</v>
      </c>
      <c r="B90" s="9" t="s">
        <v>91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2">
        <f t="shared" si="24"/>
        <v>0</v>
      </c>
      <c r="Q90" s="12" t="e">
        <f t="shared" si="25"/>
        <v>#DIV/0!</v>
      </c>
      <c r="R90" s="13"/>
      <c r="V90" s="12">
        <f t="shared" si="26"/>
        <v>0</v>
      </c>
      <c r="X90" s="10"/>
      <c r="Y90" s="10"/>
      <c r="Z90" s="10"/>
      <c r="AA90" s="10"/>
      <c r="AB90" s="10">
        <f t="shared" si="23"/>
        <v>0</v>
      </c>
    </row>
    <row r="91" spans="1:28" s="6" customFormat="1">
      <c r="A91" s="6">
        <f t="shared" si="21"/>
        <v>82</v>
      </c>
      <c r="B91" s="9" t="s">
        <v>92</v>
      </c>
      <c r="C91" s="11">
        <v>10559054.24</v>
      </c>
      <c r="D91" s="11">
        <v>10411105.83</v>
      </c>
      <c r="E91" s="11">
        <v>10263157.529999999</v>
      </c>
      <c r="F91" s="11">
        <v>10115209.119999999</v>
      </c>
      <c r="G91" s="11">
        <v>9967260.8300000001</v>
      </c>
      <c r="H91" s="11">
        <v>9819312.4100000001</v>
      </c>
      <c r="I91" s="11">
        <v>9676901.3300000001</v>
      </c>
      <c r="J91" s="11">
        <v>9534490.1099999994</v>
      </c>
      <c r="K91" s="11">
        <v>9392079.0500000007</v>
      </c>
      <c r="L91" s="11">
        <v>10869558.51</v>
      </c>
      <c r="M91" s="11">
        <v>10715001.050000001</v>
      </c>
      <c r="N91" s="11">
        <v>10558848.43</v>
      </c>
      <c r="O91" s="11">
        <v>10402695.970000001</v>
      </c>
      <c r="P91" s="12">
        <f t="shared" si="24"/>
        <v>10150316.608749999</v>
      </c>
      <c r="Q91" s="12">
        <f t="shared" si="25"/>
        <v>10143801.680833332</v>
      </c>
      <c r="R91" s="13">
        <f>+Q91/P91-1</f>
        <v>-6.4184479832385399E-4</v>
      </c>
      <c r="V91" s="12"/>
      <c r="W91" s="12">
        <f>-P91</f>
        <v>-10150316.608749999</v>
      </c>
      <c r="X91" s="10"/>
      <c r="Y91" s="10"/>
      <c r="Z91" s="10"/>
      <c r="AA91" s="10"/>
      <c r="AB91" s="10">
        <f t="shared" si="23"/>
        <v>0</v>
      </c>
    </row>
    <row r="92" spans="1:28" s="6" customFormat="1">
      <c r="A92" s="6">
        <f t="shared" si="21"/>
        <v>83</v>
      </c>
      <c r="B92" s="9" t="s">
        <v>93</v>
      </c>
      <c r="C92" s="11">
        <v>563674504.14999998</v>
      </c>
      <c r="D92" s="11">
        <v>563674504.14999998</v>
      </c>
      <c r="E92" s="11">
        <v>563674504.14999998</v>
      </c>
      <c r="F92" s="11">
        <v>570961967.14999998</v>
      </c>
      <c r="G92" s="11">
        <v>570977554.14999998</v>
      </c>
      <c r="H92" s="11">
        <v>570977554.14999998</v>
      </c>
      <c r="I92" s="11">
        <v>639645755</v>
      </c>
      <c r="J92" s="11">
        <v>639645755</v>
      </c>
      <c r="K92" s="11">
        <v>639645755</v>
      </c>
      <c r="L92" s="11">
        <v>641098330</v>
      </c>
      <c r="M92" s="11">
        <v>641098330</v>
      </c>
      <c r="N92" s="11">
        <v>641098330</v>
      </c>
      <c r="O92" s="11">
        <v>623424543</v>
      </c>
      <c r="P92" s="12">
        <f t="shared" si="24"/>
        <v>606337321.86041665</v>
      </c>
      <c r="Q92" s="12">
        <f t="shared" si="25"/>
        <v>608826906.8125</v>
      </c>
      <c r="R92" s="13">
        <f>+Q92/P92-1</f>
        <v>4.1059404762429086E-3</v>
      </c>
      <c r="T92" s="42">
        <v>146766081.04166666</v>
      </c>
      <c r="V92" s="12">
        <f>+P92-T92</f>
        <v>459571240.81875002</v>
      </c>
      <c r="X92" s="10">
        <v>7023759.1323354822</v>
      </c>
      <c r="Y92" s="10">
        <v>145585178.76974773</v>
      </c>
      <c r="Z92" s="10">
        <f>+P92-X92-Y92-T92</f>
        <v>306962302.91666687</v>
      </c>
      <c r="AA92" s="10">
        <f>+Z92+X92+Y92</f>
        <v>459571240.81875008</v>
      </c>
      <c r="AB92" s="10">
        <f t="shared" si="23"/>
        <v>0</v>
      </c>
    </row>
    <row r="93" spans="1:28" s="6" customFormat="1">
      <c r="A93" s="6">
        <f t="shared" si="21"/>
        <v>84</v>
      </c>
      <c r="B93" s="9" t="s">
        <v>94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2">
        <f t="shared" si="24"/>
        <v>0</v>
      </c>
      <c r="Q93" s="12" t="e">
        <f t="shared" si="25"/>
        <v>#DIV/0!</v>
      </c>
      <c r="R93" s="13"/>
      <c r="V93" s="12">
        <f>+P93</f>
        <v>0</v>
      </c>
      <c r="X93" s="10"/>
      <c r="Y93" s="10"/>
      <c r="Z93" s="10"/>
      <c r="AA93"/>
      <c r="AB93" s="10">
        <f t="shared" si="23"/>
        <v>0</v>
      </c>
    </row>
    <row r="94" spans="1:28" s="6" customFormat="1">
      <c r="A94" s="6">
        <f t="shared" si="21"/>
        <v>85</v>
      </c>
      <c r="B94" s="9" t="s">
        <v>95</v>
      </c>
      <c r="C94" s="11">
        <f t="shared" ref="C94:O94" si="27">SUM(C79:C93)</f>
        <v>2424453687.4299998</v>
      </c>
      <c r="D94" s="11">
        <f t="shared" si="27"/>
        <v>2482791187.0899997</v>
      </c>
      <c r="E94" s="11">
        <f t="shared" si="27"/>
        <v>2452660494.1599998</v>
      </c>
      <c r="F94" s="11">
        <f t="shared" si="27"/>
        <v>2454974419.9999995</v>
      </c>
      <c r="G94" s="11">
        <f t="shared" si="27"/>
        <v>2427095565.4699998</v>
      </c>
      <c r="H94" s="11">
        <f t="shared" si="27"/>
        <v>2440163219.2900004</v>
      </c>
      <c r="I94" s="11">
        <f t="shared" si="27"/>
        <v>2649354162.8199997</v>
      </c>
      <c r="J94" s="11">
        <f t="shared" si="27"/>
        <v>2674447298.8199997</v>
      </c>
      <c r="K94" s="11">
        <f t="shared" si="27"/>
        <v>2648135168.7399998</v>
      </c>
      <c r="L94" s="11">
        <f t="shared" si="27"/>
        <v>2679997048.29</v>
      </c>
      <c r="M94" s="11">
        <f t="shared" si="27"/>
        <v>2661765691.6599998</v>
      </c>
      <c r="N94" s="11">
        <f t="shared" si="27"/>
        <v>2630387048.4500003</v>
      </c>
      <c r="O94" s="11">
        <f t="shared" si="27"/>
        <v>2590433942.3299999</v>
      </c>
      <c r="P94" s="14">
        <f>SUBTOTAL(9,P79:P93)</f>
        <v>2559101259.9725003</v>
      </c>
      <c r="Q94" s="12">
        <f t="shared" si="25"/>
        <v>2566017103.9266667</v>
      </c>
      <c r="R94" s="13">
        <f>+Q94/P94-1</f>
        <v>2.702450294694847E-3</v>
      </c>
      <c r="T94"/>
      <c r="U94"/>
      <c r="V94"/>
      <c r="W94"/>
      <c r="X94"/>
      <c r="Y94"/>
      <c r="Z94"/>
      <c r="AA94"/>
      <c r="AB94" s="10">
        <f t="shared" si="23"/>
        <v>0</v>
      </c>
    </row>
    <row r="95" spans="1:28" s="6" customFormat="1">
      <c r="A95" s="6">
        <f t="shared" si="21"/>
        <v>86</v>
      </c>
      <c r="B95" s="9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8"/>
      <c r="Q95" s="12"/>
      <c r="R95" s="13"/>
      <c r="T95" s="20"/>
      <c r="V95" s="20"/>
      <c r="W95" s="20"/>
      <c r="X95" s="20"/>
      <c r="Y95" s="20"/>
      <c r="Z95" s="20"/>
      <c r="AA95"/>
      <c r="AB95" s="10"/>
    </row>
    <row r="96" spans="1:28" s="6" customFormat="1">
      <c r="A96" s="6">
        <f t="shared" si="21"/>
        <v>87</v>
      </c>
      <c r="B96" s="21" t="s">
        <v>96</v>
      </c>
      <c r="C96" s="22">
        <f t="shared" ref="C96:O96" si="28">SUM(C94,C76,C41,C24,)</f>
        <v>19953307084.610001</v>
      </c>
      <c r="D96" s="22">
        <f t="shared" si="28"/>
        <v>20075921717.970001</v>
      </c>
      <c r="E96" s="22">
        <f t="shared" si="28"/>
        <v>20096986112.93</v>
      </c>
      <c r="F96" s="22">
        <f t="shared" si="28"/>
        <v>20235602915.330002</v>
      </c>
      <c r="G96" s="22">
        <f t="shared" si="28"/>
        <v>20263532743.540001</v>
      </c>
      <c r="H96" s="22">
        <f t="shared" si="28"/>
        <v>20309775369.610001</v>
      </c>
      <c r="I96" s="22">
        <f t="shared" si="28"/>
        <v>20818161762.669994</v>
      </c>
      <c r="J96" s="22">
        <f t="shared" si="28"/>
        <v>20859021609.669998</v>
      </c>
      <c r="K96" s="22">
        <f t="shared" si="28"/>
        <v>20854899034.559998</v>
      </c>
      <c r="L96" s="22">
        <f t="shared" si="28"/>
        <v>21005250463.389996</v>
      </c>
      <c r="M96" s="22">
        <f t="shared" si="28"/>
        <v>20965882945.720001</v>
      </c>
      <c r="N96" s="22">
        <f t="shared" si="28"/>
        <v>21008000084.280003</v>
      </c>
      <c r="O96" s="22">
        <f t="shared" si="28"/>
        <v>21141063731.310001</v>
      </c>
      <c r="P96" s="23">
        <f>(C96+2*SUM(D96:N96)+O96)/24</f>
        <v>20586685013.969166</v>
      </c>
      <c r="Q96" s="23">
        <f>AVERAGE(D96:O96)</f>
        <v>20636174874.248333</v>
      </c>
      <c r="R96" s="13">
        <f>+Q96/P96-1</f>
        <v>2.4039742311880996E-3</v>
      </c>
      <c r="T96" s="24">
        <f>SUBTOTAL(9,T10:T94)</f>
        <v>1968261911.6447227</v>
      </c>
      <c r="V96" s="24">
        <f>SUBTOTAL(9,V10:V94)</f>
        <v>18572937447.126102</v>
      </c>
      <c r="W96" s="24">
        <f>SUBTOTAL(9,W10:W94)</f>
        <v>-45485655.198333338</v>
      </c>
      <c r="X96" s="24">
        <f>SUBTOTAL(9,X10:X94)</f>
        <v>1003526688.1831921</v>
      </c>
      <c r="Y96" s="24">
        <f>SUBTOTAL(9,Y10:Y94)</f>
        <v>14739267647.406822</v>
      </c>
      <c r="Z96" s="24">
        <f>SUBTOTAL(9,Z10:Z94)</f>
        <v>2830143111.5360956</v>
      </c>
      <c r="AA96"/>
      <c r="AB96" s="10"/>
    </row>
    <row r="97" spans="1:28" s="6" customFormat="1">
      <c r="A97" s="6">
        <f t="shared" si="21"/>
        <v>88</v>
      </c>
      <c r="B97" s="25" t="s">
        <v>97</v>
      </c>
      <c r="C97" s="26">
        <f>C96-C172</f>
        <v>0</v>
      </c>
      <c r="D97" s="26">
        <f t="shared" ref="D97:O97" si="29">D96-D172</f>
        <v>0</v>
      </c>
      <c r="E97" s="26">
        <f t="shared" si="29"/>
        <v>0</v>
      </c>
      <c r="F97" s="26">
        <f t="shared" si="29"/>
        <v>0</v>
      </c>
      <c r="G97" s="26">
        <f t="shared" si="29"/>
        <v>0</v>
      </c>
      <c r="H97" s="26">
        <f t="shared" si="29"/>
        <v>0</v>
      </c>
      <c r="I97" s="26">
        <f t="shared" si="29"/>
        <v>0</v>
      </c>
      <c r="J97" s="26">
        <f t="shared" si="29"/>
        <v>0</v>
      </c>
      <c r="K97" s="26">
        <f t="shared" si="29"/>
        <v>0</v>
      </c>
      <c r="L97" s="26">
        <f t="shared" si="29"/>
        <v>0</v>
      </c>
      <c r="M97" s="26">
        <f t="shared" si="29"/>
        <v>0</v>
      </c>
      <c r="N97" s="26">
        <f t="shared" si="29"/>
        <v>0</v>
      </c>
      <c r="O97" s="26">
        <f t="shared" si="29"/>
        <v>0</v>
      </c>
      <c r="P97" s="27">
        <f>+T96+V96-W96</f>
        <v>20586685013.969158</v>
      </c>
      <c r="Q97" s="23"/>
      <c r="R97" s="13"/>
      <c r="V97" s="12"/>
      <c r="X97" s="15"/>
      <c r="Y97" s="15"/>
      <c r="Z97" s="15"/>
      <c r="AA97"/>
      <c r="AB97" s="10"/>
    </row>
    <row r="98" spans="1:28" s="6" customFormat="1">
      <c r="A98" s="6">
        <f t="shared" si="21"/>
        <v>89</v>
      </c>
      <c r="B98" s="21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3"/>
      <c r="Q98" s="23"/>
      <c r="R98" s="13"/>
      <c r="T98" s="12"/>
      <c r="V98" s="12"/>
      <c r="X98" s="10"/>
      <c r="Y98" s="10"/>
      <c r="Z98" s="10"/>
      <c r="AA98" s="10"/>
      <c r="AB98" s="10">
        <f t="shared" si="23"/>
        <v>0</v>
      </c>
    </row>
    <row r="99" spans="1:28" s="6" customFormat="1">
      <c r="A99" s="6">
        <f t="shared" si="21"/>
        <v>90</v>
      </c>
      <c r="B99" s="21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3"/>
      <c r="Q99" s="23"/>
      <c r="R99" s="13"/>
      <c r="T99" s="12"/>
      <c r="V99" s="12"/>
      <c r="X99" s="10"/>
      <c r="Y99" s="10"/>
      <c r="Z99" s="10"/>
      <c r="AA99" s="10"/>
      <c r="AB99" s="10">
        <f t="shared" si="23"/>
        <v>0</v>
      </c>
    </row>
    <row r="100" spans="1:28" s="6" customFormat="1">
      <c r="A100" s="6">
        <f t="shared" si="21"/>
        <v>91</v>
      </c>
      <c r="B100" s="9" t="s">
        <v>98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12"/>
      <c r="Q100" s="12"/>
      <c r="R100" s="13"/>
      <c r="X100" s="10"/>
      <c r="Y100" s="10"/>
      <c r="Z100" s="10"/>
      <c r="AA100" s="10"/>
      <c r="AB100" s="10">
        <f t="shared" si="23"/>
        <v>0</v>
      </c>
    </row>
    <row r="101" spans="1:28" s="6" customFormat="1">
      <c r="A101" s="6">
        <f t="shared" si="21"/>
        <v>92</v>
      </c>
      <c r="B101" s="9" t="s">
        <v>99</v>
      </c>
      <c r="C101" s="11">
        <v>3417945896.2399998</v>
      </c>
      <c r="D101" s="11">
        <v>3417945896.2399998</v>
      </c>
      <c r="E101" s="11">
        <v>3417945896.2399998</v>
      </c>
      <c r="F101" s="11">
        <v>3417945896.2399998</v>
      </c>
      <c r="G101" s="11">
        <v>3417945896.2399998</v>
      </c>
      <c r="H101" s="11">
        <v>3417945896.2399998</v>
      </c>
      <c r="I101" s="11">
        <v>3417945896.2399998</v>
      </c>
      <c r="J101" s="11">
        <v>3417945896.2399998</v>
      </c>
      <c r="K101" s="11">
        <v>3417945896.2399998</v>
      </c>
      <c r="L101" s="11">
        <v>3417945896.2399998</v>
      </c>
      <c r="M101" s="11">
        <v>3417945896.2399998</v>
      </c>
      <c r="N101" s="11">
        <v>3417945896.2399998</v>
      </c>
      <c r="O101" s="11">
        <v>3417945896.2399998</v>
      </c>
      <c r="P101" s="12">
        <f t="shared" ref="P101:P107" si="30">(C101+2*SUM(D101:N101)+O101)/24</f>
        <v>3417945896.2399998</v>
      </c>
      <c r="Q101" s="12">
        <f t="shared" ref="Q101:Q117" si="31">AVERAGE(D101:O101)</f>
        <v>3417945896.2399993</v>
      </c>
      <c r="R101" s="13">
        <f>+Q101/P101-1</f>
        <v>0</v>
      </c>
      <c r="W101" s="12">
        <f t="shared" ref="W101:W116" si="32">+P101</f>
        <v>3417945896.2399998</v>
      </c>
      <c r="X101" s="10"/>
      <c r="Y101" s="10"/>
      <c r="Z101" s="10"/>
      <c r="AA101" s="10"/>
      <c r="AB101" s="10">
        <f t="shared" si="23"/>
        <v>0</v>
      </c>
    </row>
    <row r="102" spans="1:28" s="6" customFormat="1">
      <c r="A102" s="6">
        <f t="shared" si="21"/>
        <v>93</v>
      </c>
      <c r="B102" s="9" t="s">
        <v>100</v>
      </c>
      <c r="C102" s="11">
        <v>40733100</v>
      </c>
      <c r="D102" s="11">
        <v>40733100</v>
      </c>
      <c r="E102" s="11">
        <v>40733100</v>
      </c>
      <c r="F102" s="11">
        <v>40733100</v>
      </c>
      <c r="G102" s="11">
        <v>40733100</v>
      </c>
      <c r="H102" s="11">
        <v>40733100</v>
      </c>
      <c r="I102" s="11">
        <v>40733100</v>
      </c>
      <c r="J102" s="11">
        <v>40733100</v>
      </c>
      <c r="K102" s="11">
        <v>40733100</v>
      </c>
      <c r="L102" s="11">
        <v>40733100</v>
      </c>
      <c r="M102" s="11">
        <v>40733100</v>
      </c>
      <c r="N102" s="11">
        <v>40733100</v>
      </c>
      <c r="O102" s="11">
        <v>40733100</v>
      </c>
      <c r="P102" s="12">
        <f t="shared" si="30"/>
        <v>40733100</v>
      </c>
      <c r="Q102" s="12">
        <f t="shared" si="31"/>
        <v>40733100</v>
      </c>
      <c r="R102" s="13">
        <f>+Q102/P102-1</f>
        <v>0</v>
      </c>
      <c r="W102" s="12">
        <f t="shared" si="32"/>
        <v>40733100</v>
      </c>
      <c r="X102" s="10"/>
      <c r="Y102" s="10"/>
      <c r="Z102" s="10"/>
      <c r="AA102" s="10"/>
      <c r="AB102" s="10">
        <f t="shared" si="23"/>
        <v>0</v>
      </c>
    </row>
    <row r="103" spans="1:28" s="6" customFormat="1">
      <c r="A103" s="6">
        <f t="shared" si="21"/>
        <v>94</v>
      </c>
      <c r="B103" s="9" t="s">
        <v>101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2">
        <f t="shared" si="30"/>
        <v>0</v>
      </c>
      <c r="Q103" s="12">
        <f t="shared" si="31"/>
        <v>0</v>
      </c>
      <c r="R103" s="13"/>
      <c r="W103" s="12">
        <f t="shared" si="32"/>
        <v>0</v>
      </c>
      <c r="X103" s="10"/>
      <c r="Y103" s="10"/>
      <c r="Z103" s="10"/>
      <c r="AA103" s="10"/>
      <c r="AB103" s="10">
        <f t="shared" si="23"/>
        <v>0</v>
      </c>
    </row>
    <row r="104" spans="1:28" s="6" customFormat="1">
      <c r="A104" s="6">
        <f t="shared" si="21"/>
        <v>95</v>
      </c>
      <c r="B104" s="9" t="s">
        <v>102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2">
        <f t="shared" si="30"/>
        <v>0</v>
      </c>
      <c r="Q104" s="12">
        <f t="shared" si="31"/>
        <v>0</v>
      </c>
      <c r="R104" s="13"/>
      <c r="W104" s="12">
        <f t="shared" si="32"/>
        <v>0</v>
      </c>
      <c r="X104" s="10"/>
      <c r="Y104" s="10"/>
      <c r="Z104" s="10"/>
      <c r="AA104" s="10"/>
      <c r="AB104" s="10">
        <f t="shared" si="23"/>
        <v>0</v>
      </c>
    </row>
    <row r="105" spans="1:28" s="6" customFormat="1">
      <c r="A105" s="6">
        <f t="shared" si="21"/>
        <v>96</v>
      </c>
      <c r="B105" s="9" t="s">
        <v>103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2">
        <f t="shared" si="30"/>
        <v>0</v>
      </c>
      <c r="Q105" s="12">
        <f t="shared" si="31"/>
        <v>0</v>
      </c>
      <c r="R105" s="13"/>
      <c r="W105" s="12">
        <f t="shared" si="32"/>
        <v>0</v>
      </c>
      <c r="X105" s="10"/>
      <c r="Y105" s="10"/>
      <c r="Z105" s="10"/>
      <c r="AA105" s="10"/>
      <c r="AB105" s="10">
        <f t="shared" si="23"/>
        <v>0</v>
      </c>
    </row>
    <row r="106" spans="1:28" s="6" customFormat="1">
      <c r="A106" s="6">
        <f t="shared" si="21"/>
        <v>97</v>
      </c>
      <c r="B106" s="9" t="s">
        <v>104</v>
      </c>
      <c r="C106" s="11">
        <v>1102229981.23</v>
      </c>
      <c r="D106" s="11">
        <v>1102229981.23</v>
      </c>
      <c r="E106" s="11">
        <v>1102229981.23</v>
      </c>
      <c r="F106" s="11">
        <v>1102229981.23</v>
      </c>
      <c r="G106" s="11">
        <v>1102229981.23</v>
      </c>
      <c r="H106" s="11">
        <v>1102229981.23</v>
      </c>
      <c r="I106" s="11">
        <v>1102229981.23</v>
      </c>
      <c r="J106" s="11">
        <v>1102229981.23</v>
      </c>
      <c r="K106" s="11">
        <v>1102229981.23</v>
      </c>
      <c r="L106" s="11">
        <v>1102229981.23</v>
      </c>
      <c r="M106" s="11">
        <v>1102229981.23</v>
      </c>
      <c r="N106" s="11">
        <v>1102229981.23</v>
      </c>
      <c r="O106" s="11">
        <v>1102229981.23</v>
      </c>
      <c r="P106" s="12">
        <f t="shared" si="30"/>
        <v>1102229981.2299998</v>
      </c>
      <c r="Q106" s="12">
        <f t="shared" si="31"/>
        <v>1102229981.2299998</v>
      </c>
      <c r="R106" s="13">
        <f>+Q106/P106-1</f>
        <v>0</v>
      </c>
      <c r="W106" s="12">
        <f t="shared" si="32"/>
        <v>1102229981.2299998</v>
      </c>
      <c r="X106" s="10"/>
      <c r="Y106" s="10"/>
      <c r="Z106" s="10"/>
      <c r="AA106" s="10"/>
      <c r="AB106" s="10">
        <f t="shared" si="23"/>
        <v>0</v>
      </c>
    </row>
    <row r="107" spans="1:28" s="6" customFormat="1">
      <c r="A107" s="6">
        <f t="shared" si="21"/>
        <v>98</v>
      </c>
      <c r="B107" s="9" t="s">
        <v>105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2">
        <f t="shared" si="30"/>
        <v>0</v>
      </c>
      <c r="Q107" s="12">
        <f t="shared" si="31"/>
        <v>0</v>
      </c>
      <c r="R107" s="13"/>
      <c r="W107" s="12">
        <f t="shared" si="32"/>
        <v>0</v>
      </c>
      <c r="X107" s="10"/>
      <c r="Y107" s="10"/>
      <c r="Z107" s="10"/>
      <c r="AA107" s="10"/>
      <c r="AB107" s="10">
        <f t="shared" si="23"/>
        <v>0</v>
      </c>
    </row>
    <row r="108" spans="1:28" s="6" customFormat="1">
      <c r="A108" s="6">
        <f t="shared" si="21"/>
        <v>99</v>
      </c>
      <c r="B108" s="9" t="s">
        <v>106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2">
        <f>-(C108+2*SUM(D108:N108)+O108)/24</f>
        <v>0</v>
      </c>
      <c r="Q108" s="12">
        <f t="shared" si="31"/>
        <v>0</v>
      </c>
      <c r="R108" s="13"/>
      <c r="W108" s="12">
        <f t="shared" si="32"/>
        <v>0</v>
      </c>
      <c r="X108" s="10"/>
      <c r="Y108" s="10"/>
      <c r="Z108" s="10"/>
      <c r="AA108" s="10"/>
      <c r="AB108" s="10">
        <f t="shared" si="23"/>
        <v>0</v>
      </c>
    </row>
    <row r="109" spans="1:28" s="6" customFormat="1">
      <c r="A109" s="6">
        <f t="shared" si="21"/>
        <v>100</v>
      </c>
      <c r="B109" s="9" t="s">
        <v>107</v>
      </c>
      <c r="C109" s="11">
        <v>41284559.600000001</v>
      </c>
      <c r="D109" s="11">
        <v>41284559.600000001</v>
      </c>
      <c r="E109" s="11">
        <v>41284559.600000001</v>
      </c>
      <c r="F109" s="11">
        <v>41284559.600000001</v>
      </c>
      <c r="G109" s="11">
        <v>41284559.600000001</v>
      </c>
      <c r="H109" s="11">
        <v>41284559.600000001</v>
      </c>
      <c r="I109" s="11">
        <v>41284559.600000001</v>
      </c>
      <c r="J109" s="11">
        <v>41284559.600000001</v>
      </c>
      <c r="K109" s="11">
        <v>41284559.600000001</v>
      </c>
      <c r="L109" s="11">
        <v>41284559.600000001</v>
      </c>
      <c r="M109" s="11">
        <v>41284559.600000001</v>
      </c>
      <c r="N109" s="11">
        <v>41284559.600000001</v>
      </c>
      <c r="O109" s="11">
        <v>41284559.600000001</v>
      </c>
      <c r="P109" s="12">
        <f>-(C109+2*SUM(D109:N109)+O109)/24</f>
        <v>-41284559.600000009</v>
      </c>
      <c r="Q109" s="12">
        <f t="shared" si="31"/>
        <v>41284559.600000009</v>
      </c>
      <c r="R109" s="13">
        <f>+Q109/P109-1</f>
        <v>-2</v>
      </c>
      <c r="W109" s="12">
        <f t="shared" si="32"/>
        <v>-41284559.600000009</v>
      </c>
      <c r="X109" s="10"/>
      <c r="Y109" s="10"/>
      <c r="Z109" s="10"/>
      <c r="AA109" s="10"/>
      <c r="AB109" s="10">
        <f t="shared" si="23"/>
        <v>0</v>
      </c>
    </row>
    <row r="110" spans="1:28" s="6" customFormat="1">
      <c r="A110" s="6">
        <f t="shared" si="21"/>
        <v>101</v>
      </c>
      <c r="B110" s="9" t="s">
        <v>108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2">
        <f>(C110+2*SUM(D110:N110)+O110)/24</f>
        <v>0</v>
      </c>
      <c r="Q110" s="12" t="e">
        <f t="shared" si="31"/>
        <v>#DIV/0!</v>
      </c>
      <c r="R110" s="13"/>
      <c r="W110" s="12">
        <f t="shared" si="32"/>
        <v>0</v>
      </c>
      <c r="X110" s="10"/>
      <c r="Y110" s="10"/>
      <c r="Z110" s="10"/>
      <c r="AA110" s="10"/>
      <c r="AB110" s="10">
        <f t="shared" si="23"/>
        <v>0</v>
      </c>
    </row>
    <row r="111" spans="1:28" s="6" customFormat="1">
      <c r="A111" s="6">
        <f t="shared" si="21"/>
        <v>102</v>
      </c>
      <c r="B111" s="9" t="s">
        <v>109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2">
        <f>(C111+2*SUM(D111:N111)+O111)/24</f>
        <v>0</v>
      </c>
      <c r="Q111" s="12" t="e">
        <f t="shared" si="31"/>
        <v>#DIV/0!</v>
      </c>
      <c r="R111" s="13"/>
      <c r="W111" s="12">
        <f t="shared" si="32"/>
        <v>0</v>
      </c>
      <c r="X111" s="10"/>
      <c r="Y111" s="10"/>
      <c r="Z111" s="10"/>
      <c r="AA111" s="10"/>
      <c r="AB111" s="10">
        <f t="shared" si="23"/>
        <v>0</v>
      </c>
    </row>
    <row r="112" spans="1:28" s="6" customFormat="1">
      <c r="A112" s="6">
        <f t="shared" si="21"/>
        <v>103</v>
      </c>
      <c r="B112" s="9" t="s">
        <v>110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2">
        <f>(C112+2*SUM(D112:N112)+O112)/24</f>
        <v>0</v>
      </c>
      <c r="Q112" s="12" t="e">
        <f t="shared" si="31"/>
        <v>#DIV/0!</v>
      </c>
      <c r="R112" s="13"/>
      <c r="W112" s="12">
        <f t="shared" si="32"/>
        <v>0</v>
      </c>
      <c r="X112" s="10"/>
      <c r="Y112" s="10"/>
      <c r="Z112" s="10"/>
      <c r="AA112" s="10"/>
      <c r="AB112" s="10">
        <f t="shared" si="23"/>
        <v>0</v>
      </c>
    </row>
    <row r="113" spans="1:28" s="6" customFormat="1">
      <c r="A113" s="6">
        <f t="shared" si="21"/>
        <v>104</v>
      </c>
      <c r="B113" s="9" t="s">
        <v>111</v>
      </c>
      <c r="C113" s="11">
        <f>2497602627.69-131513944</f>
        <v>2366088683.6900001</v>
      </c>
      <c r="D113" s="11">
        <f>2575340250.46-133661343</f>
        <v>2441678907.46</v>
      </c>
      <c r="E113" s="11">
        <f>2625629894.3-135784298</f>
        <v>2489845596.3000002</v>
      </c>
      <c r="F113" s="11">
        <f>2666460213.71-136886360</f>
        <v>2529573853.71</v>
      </c>
      <c r="G113" s="11">
        <f>2710116247.7-141177624</f>
        <v>2568938623.6999998</v>
      </c>
      <c r="H113" s="11">
        <f>2751351275.69-146641306</f>
        <v>2604709969.6900001</v>
      </c>
      <c r="I113" s="11">
        <v>2649231265.7000003</v>
      </c>
      <c r="J113" s="11">
        <v>2655174175.4799995</v>
      </c>
      <c r="K113" s="11">
        <v>2697122608.4599996</v>
      </c>
      <c r="L113" s="11">
        <v>2742817321.8299999</v>
      </c>
      <c r="M113" s="11">
        <v>2773194013.0699997</v>
      </c>
      <c r="N113" s="11">
        <v>2823317007.4200001</v>
      </c>
      <c r="O113" s="11">
        <v>2874133189.3899999</v>
      </c>
      <c r="P113" s="12">
        <f>(C113+2*SUM(D113:N113)+O113)/24</f>
        <v>2632976189.9466667</v>
      </c>
      <c r="Q113" s="12">
        <f t="shared" si="31"/>
        <v>2654144711.0174999</v>
      </c>
      <c r="R113" s="13">
        <f>+Q113/P113-1</f>
        <v>8.0397692738960469E-3</v>
      </c>
      <c r="W113" s="12">
        <f t="shared" si="32"/>
        <v>2632976189.9466667</v>
      </c>
      <c r="X113" s="10"/>
      <c r="Y113" s="10"/>
      <c r="Z113" s="10"/>
      <c r="AA113" s="10"/>
      <c r="AB113" s="10">
        <f t="shared" si="23"/>
        <v>0</v>
      </c>
    </row>
    <row r="114" spans="1:28" s="6" customFormat="1">
      <c r="A114" s="6">
        <f t="shared" si="21"/>
        <v>105</v>
      </c>
      <c r="B114" s="9" t="s">
        <v>112</v>
      </c>
      <c r="C114" s="11">
        <f>6021120.21+131513944</f>
        <v>137535064.21000001</v>
      </c>
      <c r="D114" s="11">
        <f>5972439.04+133661343</f>
        <v>139633782.03999999</v>
      </c>
      <c r="E114" s="11">
        <f>5926727.96+135784298</f>
        <v>141711025.96000001</v>
      </c>
      <c r="F114" s="11">
        <f>5863788.39+136886360</f>
        <v>142750148.38999999</v>
      </c>
      <c r="G114" s="11">
        <f>5815453.78+141177624</f>
        <v>146993077.78</v>
      </c>
      <c r="H114" s="11">
        <f>5768388.13+146641306</f>
        <v>152409694.13</v>
      </c>
      <c r="I114" s="11">
        <v>151915641.18000001</v>
      </c>
      <c r="J114" s="11">
        <v>153120440.46000001</v>
      </c>
      <c r="K114" s="11">
        <v>156357865.37</v>
      </c>
      <c r="L114" s="11">
        <v>158352609.31</v>
      </c>
      <c r="M114" s="11">
        <v>157830848.56</v>
      </c>
      <c r="N114" s="11">
        <v>157173071.19999999</v>
      </c>
      <c r="O114" s="11">
        <v>156873370.63999999</v>
      </c>
      <c r="P114" s="12">
        <f>(C114+2*SUM(D114:N114)+O114)/24</f>
        <v>150454368.48374999</v>
      </c>
      <c r="Q114" s="12">
        <f t="shared" si="31"/>
        <v>151260131.25166667</v>
      </c>
      <c r="R114" s="13">
        <f>+Q114/P114-1</f>
        <v>5.3555292281439737E-3</v>
      </c>
      <c r="W114" s="12">
        <f t="shared" si="32"/>
        <v>150454368.48374999</v>
      </c>
      <c r="X114" s="10"/>
      <c r="Y114" s="10"/>
      <c r="Z114" s="10"/>
      <c r="AA114" s="10"/>
      <c r="AB114" s="10">
        <f t="shared" si="23"/>
        <v>0</v>
      </c>
    </row>
    <row r="115" spans="1:28" s="6" customFormat="1">
      <c r="A115" s="6">
        <f t="shared" si="21"/>
        <v>106</v>
      </c>
      <c r="B115" s="9" t="s">
        <v>113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2">
        <f>-(C115+2*SUM(D115:N115)+O115)/24</f>
        <v>0</v>
      </c>
      <c r="Q115" s="12">
        <f t="shared" si="31"/>
        <v>0</v>
      </c>
      <c r="R115" s="13"/>
      <c r="W115" s="12">
        <f t="shared" si="32"/>
        <v>0</v>
      </c>
      <c r="X115" s="10"/>
      <c r="Y115" s="10"/>
      <c r="Z115" s="10"/>
      <c r="AA115" s="10"/>
      <c r="AB115" s="10">
        <f t="shared" si="23"/>
        <v>0</v>
      </c>
    </row>
    <row r="116" spans="1:28" s="6" customFormat="1">
      <c r="A116" s="6">
        <f t="shared" si="21"/>
        <v>107</v>
      </c>
      <c r="B116" s="9" t="s">
        <v>114</v>
      </c>
      <c r="C116" s="11">
        <v>-6854242.9800000004</v>
      </c>
      <c r="D116" s="11">
        <v>-6825326.3099999996</v>
      </c>
      <c r="E116" s="11">
        <v>-6796410.6399999997</v>
      </c>
      <c r="F116" s="11">
        <v>-6800415.9699999997</v>
      </c>
      <c r="G116" s="11">
        <v>-6771499.2999999998</v>
      </c>
      <c r="H116" s="11">
        <v>-6742582.6299999999</v>
      </c>
      <c r="I116" s="11">
        <v>-9055432</v>
      </c>
      <c r="J116" s="11">
        <v>-9012848.6600000001</v>
      </c>
      <c r="K116" s="11">
        <v>-8970265.3200000003</v>
      </c>
      <c r="L116" s="11">
        <v>-8976163.9800000004</v>
      </c>
      <c r="M116" s="11">
        <v>-8933580.6400000006</v>
      </c>
      <c r="N116" s="11">
        <v>-8890997.3000000007</v>
      </c>
      <c r="O116" s="11">
        <v>-8896896.9600000009</v>
      </c>
      <c r="P116" s="12">
        <f>(C116+2*SUM(D116:N116)+O116)/24</f>
        <v>-7970924.3933333335</v>
      </c>
      <c r="Q116" s="12">
        <f t="shared" si="31"/>
        <v>-8056034.975833334</v>
      </c>
      <c r="R116" s="13">
        <f>+Q116/P116-1</f>
        <v>1.0677630134239502E-2</v>
      </c>
      <c r="T116" s="12"/>
      <c r="W116" s="12">
        <f t="shared" si="32"/>
        <v>-7970924.3933333335</v>
      </c>
      <c r="X116" s="10"/>
      <c r="Y116" s="10"/>
      <c r="Z116" s="10"/>
      <c r="AA116" s="10"/>
      <c r="AB116" s="10">
        <f t="shared" si="23"/>
        <v>0</v>
      </c>
    </row>
    <row r="117" spans="1:28" s="6" customFormat="1">
      <c r="A117" s="6">
        <f t="shared" si="21"/>
        <v>108</v>
      </c>
      <c r="B117" s="9" t="s">
        <v>115</v>
      </c>
      <c r="C117" s="11">
        <f>SUM(C101:C107,C113:C114,C116)-SUM(C108,C109,C115)</f>
        <v>7016393922.79</v>
      </c>
      <c r="D117" s="11">
        <f t="shared" ref="D117:O117" si="33">SUM(D101:D107,D113:D114,D116)-SUM(D108,D109,D115)</f>
        <v>7094111781.0599985</v>
      </c>
      <c r="E117" s="11">
        <f t="shared" si="33"/>
        <v>7144384629.4899988</v>
      </c>
      <c r="F117" s="11">
        <f t="shared" si="33"/>
        <v>7185148003.999999</v>
      </c>
      <c r="G117" s="11">
        <f t="shared" si="33"/>
        <v>7228784620.0499983</v>
      </c>
      <c r="H117" s="11">
        <f t="shared" si="33"/>
        <v>7270001499.0599995</v>
      </c>
      <c r="I117" s="11">
        <f t="shared" si="33"/>
        <v>7311715892.75</v>
      </c>
      <c r="J117" s="11">
        <f t="shared" si="33"/>
        <v>7318906185.1499987</v>
      </c>
      <c r="K117" s="11">
        <f t="shared" si="33"/>
        <v>7364134626.3799982</v>
      </c>
      <c r="L117" s="11">
        <f t="shared" si="33"/>
        <v>7411818185.0299997</v>
      </c>
      <c r="M117" s="11">
        <f t="shared" si="33"/>
        <v>7441715698.8599987</v>
      </c>
      <c r="N117" s="11">
        <f t="shared" si="33"/>
        <v>7491223499.1899986</v>
      </c>
      <c r="O117" s="11">
        <f t="shared" si="33"/>
        <v>7541734080.9399986</v>
      </c>
      <c r="P117" s="14">
        <f>SUBTOTAL(9,P101:P116)</f>
        <v>7295084051.9070826</v>
      </c>
      <c r="Q117" s="12">
        <f t="shared" si="31"/>
        <v>7316973225.1633329</v>
      </c>
      <c r="R117" s="13">
        <f>+Q117/P117-1</f>
        <v>3.0005374990200728E-3</v>
      </c>
      <c r="T117"/>
      <c r="U117"/>
      <c r="V117"/>
      <c r="W117"/>
      <c r="X117"/>
      <c r="Y117"/>
      <c r="Z117"/>
      <c r="AA117"/>
      <c r="AB117" s="10">
        <f t="shared" si="23"/>
        <v>0</v>
      </c>
    </row>
    <row r="118" spans="1:28" s="6" customFormat="1">
      <c r="A118" s="6">
        <f t="shared" si="21"/>
        <v>109</v>
      </c>
      <c r="B118" s="9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8"/>
      <c r="Q118" s="12"/>
      <c r="R118" s="13"/>
      <c r="W118" s="18"/>
      <c r="X118" s="10"/>
      <c r="Y118" s="10"/>
      <c r="Z118" s="10"/>
      <c r="AA118" s="10"/>
      <c r="AB118" s="10">
        <f t="shared" si="23"/>
        <v>0</v>
      </c>
    </row>
    <row r="119" spans="1:28" s="6" customFormat="1">
      <c r="A119" s="6">
        <f t="shared" si="21"/>
        <v>110</v>
      </c>
      <c r="B119" s="9" t="s">
        <v>116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12"/>
      <c r="Q119" s="12"/>
      <c r="R119" s="13"/>
      <c r="X119" s="10"/>
      <c r="Y119" s="10"/>
      <c r="Z119" s="10"/>
      <c r="AA119" s="10"/>
      <c r="AB119" s="10">
        <f t="shared" si="23"/>
        <v>0</v>
      </c>
    </row>
    <row r="120" spans="1:28" s="6" customFormat="1">
      <c r="A120" s="6">
        <f t="shared" si="21"/>
        <v>111</v>
      </c>
      <c r="B120" s="9" t="s">
        <v>117</v>
      </c>
      <c r="C120" s="11">
        <v>6757741000</v>
      </c>
      <c r="D120" s="11">
        <v>6757741000</v>
      </c>
      <c r="E120" s="11">
        <v>6749741000</v>
      </c>
      <c r="F120" s="11">
        <v>6684741000</v>
      </c>
      <c r="G120" s="11">
        <v>6674055000</v>
      </c>
      <c r="H120" s="11">
        <v>6174055000</v>
      </c>
      <c r="I120" s="11">
        <v>6171055000</v>
      </c>
      <c r="J120" s="11">
        <v>6818055000</v>
      </c>
      <c r="K120" s="11">
        <v>6815055000</v>
      </c>
      <c r="L120" s="11">
        <v>6831180000</v>
      </c>
      <c r="M120" s="11">
        <v>6831180000</v>
      </c>
      <c r="N120" s="11">
        <v>6831180000</v>
      </c>
      <c r="O120" s="11">
        <v>6831180000</v>
      </c>
      <c r="P120" s="12">
        <f>(C120+2*SUM(D120:N120)+O120)/24</f>
        <v>6677708208.333333</v>
      </c>
      <c r="Q120" s="12">
        <f t="shared" ref="Q120:Q126" si="34">AVERAGE(D120:O120)</f>
        <v>6680768166.666667</v>
      </c>
      <c r="R120" s="13">
        <f>+Q120/P120-1</f>
        <v>4.5823480719264786E-4</v>
      </c>
      <c r="W120" s="12">
        <f t="shared" ref="W120:W125" si="35">+P120</f>
        <v>6677708208.333333</v>
      </c>
      <c r="X120" s="10"/>
      <c r="Y120" s="10"/>
      <c r="Z120" s="10"/>
      <c r="AA120" s="10"/>
      <c r="AB120" s="10">
        <f t="shared" si="23"/>
        <v>0</v>
      </c>
    </row>
    <row r="121" spans="1:28" s="6" customFormat="1">
      <c r="A121" s="6">
        <f t="shared" si="21"/>
        <v>112</v>
      </c>
      <c r="B121" s="9" t="s">
        <v>118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2">
        <f>(C121+2*SUM(D121:N121)+O121)/24</f>
        <v>0</v>
      </c>
      <c r="Q121" s="12">
        <f t="shared" si="34"/>
        <v>0</v>
      </c>
      <c r="R121" s="13"/>
      <c r="W121" s="12">
        <f t="shared" si="35"/>
        <v>0</v>
      </c>
      <c r="X121" s="10"/>
      <c r="Y121" s="10"/>
      <c r="Z121" s="10"/>
      <c r="AA121" s="10"/>
      <c r="AB121" s="10">
        <f t="shared" si="23"/>
        <v>0</v>
      </c>
    </row>
    <row r="122" spans="1:28" s="6" customFormat="1">
      <c r="A122" s="6">
        <f t="shared" si="21"/>
        <v>113</v>
      </c>
      <c r="B122" s="9" t="s">
        <v>119</v>
      </c>
      <c r="C122" s="11">
        <v>0</v>
      </c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2">
        <f>(C122+2*SUM(D122:N122)+O122)/24</f>
        <v>0</v>
      </c>
      <c r="Q122" s="12">
        <f t="shared" si="34"/>
        <v>0</v>
      </c>
      <c r="R122" s="13"/>
      <c r="W122" s="12">
        <f t="shared" si="35"/>
        <v>0</v>
      </c>
      <c r="X122" s="10"/>
      <c r="Y122" s="10"/>
      <c r="Z122" s="10"/>
      <c r="AA122" s="10"/>
      <c r="AB122" s="10">
        <f t="shared" si="23"/>
        <v>0</v>
      </c>
    </row>
    <row r="123" spans="1:28" s="6" customFormat="1">
      <c r="A123" s="6">
        <f t="shared" si="21"/>
        <v>114</v>
      </c>
      <c r="B123" s="9" t="s">
        <v>120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2">
        <f>(C123+2*SUM(D123:N123)+O123)/24</f>
        <v>0</v>
      </c>
      <c r="Q123" s="12">
        <f t="shared" si="34"/>
        <v>0</v>
      </c>
      <c r="R123" s="13"/>
      <c r="W123" s="12">
        <f t="shared" si="35"/>
        <v>0</v>
      </c>
      <c r="X123" s="10"/>
      <c r="Y123" s="10"/>
      <c r="Z123" s="10"/>
      <c r="AA123" s="10"/>
      <c r="AB123" s="10">
        <f t="shared" si="23"/>
        <v>0</v>
      </c>
    </row>
    <row r="124" spans="1:28" s="6" customFormat="1">
      <c r="A124" s="6">
        <f t="shared" si="21"/>
        <v>115</v>
      </c>
      <c r="B124" s="9" t="s">
        <v>121</v>
      </c>
      <c r="C124" s="11">
        <v>31485.58</v>
      </c>
      <c r="D124" s="11">
        <v>31259.07</v>
      </c>
      <c r="E124" s="11">
        <v>31032.55</v>
      </c>
      <c r="F124" s="11">
        <v>30806.04</v>
      </c>
      <c r="G124" s="11">
        <v>30579.52</v>
      </c>
      <c r="H124" s="11">
        <v>30353.01</v>
      </c>
      <c r="I124" s="11">
        <v>30126.49</v>
      </c>
      <c r="J124" s="11">
        <v>29899.98</v>
      </c>
      <c r="K124" s="11">
        <v>29673.46</v>
      </c>
      <c r="L124" s="11">
        <v>110446.95</v>
      </c>
      <c r="M124" s="11">
        <v>109528.12</v>
      </c>
      <c r="N124" s="11">
        <v>108609.3</v>
      </c>
      <c r="O124" s="11">
        <v>107690.47</v>
      </c>
      <c r="P124" s="12">
        <f>(C124+2*SUM(D124:N124)+O124)/24</f>
        <v>53491.876250000001</v>
      </c>
      <c r="Q124" s="12">
        <f t="shared" si="34"/>
        <v>56667.079999999994</v>
      </c>
      <c r="R124" s="13">
        <f>+Q124/P124-1</f>
        <v>5.9358616159963073E-2</v>
      </c>
      <c r="W124" s="12">
        <f t="shared" si="35"/>
        <v>53491.876250000001</v>
      </c>
      <c r="X124" s="10"/>
      <c r="Y124" s="10"/>
      <c r="Z124" s="10"/>
      <c r="AA124" s="10"/>
      <c r="AB124" s="10">
        <f t="shared" si="23"/>
        <v>0</v>
      </c>
    </row>
    <row r="125" spans="1:28" s="6" customFormat="1">
      <c r="A125" s="6">
        <f t="shared" si="21"/>
        <v>116</v>
      </c>
      <c r="B125" s="9" t="s">
        <v>122</v>
      </c>
      <c r="C125" s="11">
        <v>14596709.640000001</v>
      </c>
      <c r="D125" s="11">
        <v>14504488.890000001</v>
      </c>
      <c r="E125" s="11">
        <v>14412268.15</v>
      </c>
      <c r="F125" s="11">
        <v>14320047.4</v>
      </c>
      <c r="G125" s="11">
        <v>14227826.66</v>
      </c>
      <c r="H125" s="11">
        <v>14150064.25</v>
      </c>
      <c r="I125" s="11">
        <v>14072301.85</v>
      </c>
      <c r="J125" s="11">
        <v>15284231.09</v>
      </c>
      <c r="K125" s="11">
        <v>15201160.35</v>
      </c>
      <c r="L125" s="11">
        <v>14802705.6</v>
      </c>
      <c r="M125" s="11">
        <v>14721746.73</v>
      </c>
      <c r="N125" s="11">
        <v>14640787.869999999</v>
      </c>
      <c r="O125" s="11">
        <v>14559829</v>
      </c>
      <c r="P125" s="12">
        <f>-(C125+2*SUM(D125:N125)+O125)/24</f>
        <v>-14576324.846666664</v>
      </c>
      <c r="Q125" s="12">
        <f t="shared" si="34"/>
        <v>14574788.153333331</v>
      </c>
      <c r="R125" s="13">
        <f>+Q125/P125-1</f>
        <v>-1.9998945760780238</v>
      </c>
      <c r="W125" s="12">
        <f t="shared" si="35"/>
        <v>-14576324.846666664</v>
      </c>
      <c r="X125" s="10"/>
      <c r="Y125" s="10"/>
      <c r="Z125" s="10"/>
      <c r="AA125" s="10"/>
      <c r="AB125" s="10">
        <f t="shared" si="23"/>
        <v>0</v>
      </c>
    </row>
    <row r="126" spans="1:28" s="6" customFormat="1">
      <c r="A126" s="6">
        <f t="shared" si="21"/>
        <v>117</v>
      </c>
      <c r="B126" s="9" t="s">
        <v>123</v>
      </c>
      <c r="C126" s="11">
        <f t="shared" ref="C126:O126" si="36">SUM(C120,C122:C124)-SUM(C121,C125)</f>
        <v>6743175775.9399996</v>
      </c>
      <c r="D126" s="11">
        <f t="shared" si="36"/>
        <v>6743267770.1799994</v>
      </c>
      <c r="E126" s="11">
        <f t="shared" si="36"/>
        <v>6735359764.4000006</v>
      </c>
      <c r="F126" s="11">
        <f t="shared" si="36"/>
        <v>6670451758.6400003</v>
      </c>
      <c r="G126" s="11">
        <f t="shared" si="36"/>
        <v>6659857752.8600006</v>
      </c>
      <c r="H126" s="11">
        <f t="shared" si="36"/>
        <v>6159935288.7600002</v>
      </c>
      <c r="I126" s="11">
        <f t="shared" si="36"/>
        <v>6157012824.6399994</v>
      </c>
      <c r="J126" s="11">
        <f t="shared" si="36"/>
        <v>6802800668.8899994</v>
      </c>
      <c r="K126" s="11">
        <f t="shared" si="36"/>
        <v>6799883513.1099997</v>
      </c>
      <c r="L126" s="11">
        <f t="shared" si="36"/>
        <v>6816487741.3499994</v>
      </c>
      <c r="M126" s="11">
        <f t="shared" si="36"/>
        <v>6816567781.3900003</v>
      </c>
      <c r="N126" s="11">
        <f t="shared" si="36"/>
        <v>6816647821.4300003</v>
      </c>
      <c r="O126" s="11">
        <f t="shared" si="36"/>
        <v>6816727861.4700003</v>
      </c>
      <c r="P126" s="14">
        <f>SUBTOTAL(9,P120:P125)</f>
        <v>6663185375.3629169</v>
      </c>
      <c r="Q126" s="12">
        <f t="shared" si="34"/>
        <v>6666250045.5933332</v>
      </c>
      <c r="R126" s="13">
        <f>+Q126/P126-1</f>
        <v>4.5994071270305525E-4</v>
      </c>
      <c r="T126"/>
      <c r="U126"/>
      <c r="V126"/>
      <c r="W126"/>
      <c r="X126"/>
      <c r="Y126"/>
      <c r="Z126"/>
      <c r="AA126"/>
      <c r="AB126" s="10">
        <f t="shared" si="23"/>
        <v>0</v>
      </c>
    </row>
    <row r="127" spans="1:28" s="6" customFormat="1">
      <c r="A127" s="6">
        <f t="shared" si="21"/>
        <v>118</v>
      </c>
      <c r="B127" s="9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8"/>
      <c r="Q127" s="12"/>
      <c r="R127" s="13"/>
      <c r="W127" s="18"/>
      <c r="X127" s="10"/>
      <c r="Y127" s="10"/>
      <c r="Z127" s="10"/>
      <c r="AA127" s="10"/>
      <c r="AB127" s="10">
        <f t="shared" si="23"/>
        <v>0</v>
      </c>
    </row>
    <row r="128" spans="1:28" s="6" customFormat="1">
      <c r="A128" s="6">
        <f t="shared" si="21"/>
        <v>119</v>
      </c>
      <c r="B128" s="9" t="s">
        <v>124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12"/>
      <c r="Q128" s="12"/>
      <c r="R128" s="13"/>
      <c r="X128" s="10"/>
      <c r="Y128" s="10"/>
      <c r="Z128" s="10"/>
      <c r="AA128" s="10"/>
      <c r="AB128" s="10">
        <f t="shared" si="23"/>
        <v>0</v>
      </c>
    </row>
    <row r="129" spans="1:28" s="6" customFormat="1">
      <c r="A129" s="6">
        <f t="shared" si="21"/>
        <v>120</v>
      </c>
      <c r="B129" s="9" t="s">
        <v>125</v>
      </c>
      <c r="C129" s="11">
        <v>55279101.810000002</v>
      </c>
      <c r="D129" s="11">
        <v>55224369.43</v>
      </c>
      <c r="E129" s="11">
        <v>55168825.109999999</v>
      </c>
      <c r="F129" s="11">
        <v>54941005.439999998</v>
      </c>
      <c r="G129" s="11">
        <v>54036338.119999997</v>
      </c>
      <c r="H129" s="11">
        <v>53970518.43</v>
      </c>
      <c r="I129" s="11">
        <v>53732331.350000001</v>
      </c>
      <c r="J129" s="11">
        <v>53663077.649999999</v>
      </c>
      <c r="K129" s="11">
        <v>53167526.93</v>
      </c>
      <c r="L129" s="11">
        <v>52495953.149999999</v>
      </c>
      <c r="M129" s="11">
        <v>52200262</v>
      </c>
      <c r="N129" s="11">
        <v>51761525.850000001</v>
      </c>
      <c r="O129" s="11">
        <v>51147667.280000001</v>
      </c>
      <c r="P129" s="12">
        <f t="shared" ref="P129:P137" si="37">(C129+2*SUM(D129:N129)+O129)/24</f>
        <v>53631259.833749987</v>
      </c>
      <c r="Q129" s="12">
        <f t="shared" ref="Q129:Q138" si="38">AVERAGE(D129:O129)</f>
        <v>53459116.728333324</v>
      </c>
      <c r="R129" s="13">
        <f>+Q129/P129-1</f>
        <v>-3.2097531542291113E-3</v>
      </c>
      <c r="V129" s="12"/>
      <c r="W129" s="12">
        <f>+P129</f>
        <v>53631259.833749987</v>
      </c>
      <c r="X129" s="10"/>
      <c r="Y129" s="10"/>
      <c r="Z129" s="10"/>
      <c r="AA129" s="10"/>
      <c r="AB129" s="10">
        <f t="shared" si="23"/>
        <v>0</v>
      </c>
    </row>
    <row r="130" spans="1:28" s="6" customFormat="1">
      <c r="A130" s="6">
        <f t="shared" si="21"/>
        <v>121</v>
      </c>
      <c r="B130" s="9" t="s">
        <v>126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2">
        <f t="shared" si="37"/>
        <v>0</v>
      </c>
      <c r="Q130" s="12">
        <f t="shared" si="38"/>
        <v>0</v>
      </c>
      <c r="R130" s="13"/>
      <c r="V130" s="12">
        <f>-P130</f>
        <v>0</v>
      </c>
      <c r="W130" s="12"/>
      <c r="X130" s="10"/>
      <c r="Y130" s="10"/>
      <c r="Z130" s="10"/>
      <c r="AA130" s="10"/>
      <c r="AB130" s="10">
        <f t="shared" si="23"/>
        <v>0</v>
      </c>
    </row>
    <row r="131" spans="1:28" s="6" customFormat="1">
      <c r="A131" s="6">
        <f t="shared" si="21"/>
        <v>122</v>
      </c>
      <c r="B131" s="9" t="s">
        <v>127</v>
      </c>
      <c r="C131" s="11">
        <v>6485000</v>
      </c>
      <c r="D131" s="11">
        <v>7832000</v>
      </c>
      <c r="E131" s="11">
        <v>7790500</v>
      </c>
      <c r="F131" s="11">
        <v>7098500</v>
      </c>
      <c r="G131" s="11">
        <v>7137500</v>
      </c>
      <c r="H131" s="11">
        <v>6238000</v>
      </c>
      <c r="I131" s="11">
        <v>5468000</v>
      </c>
      <c r="J131" s="11">
        <v>4928000</v>
      </c>
      <c r="K131" s="11">
        <v>4787000</v>
      </c>
      <c r="L131" s="11">
        <v>6382000</v>
      </c>
      <c r="M131" s="11">
        <v>6311500</v>
      </c>
      <c r="N131" s="11">
        <v>6306500</v>
      </c>
      <c r="O131" s="11">
        <v>12639000</v>
      </c>
      <c r="P131" s="12">
        <f t="shared" si="37"/>
        <v>6653458.333333333</v>
      </c>
      <c r="Q131" s="12">
        <f t="shared" si="38"/>
        <v>6909875</v>
      </c>
      <c r="R131" s="13">
        <f>+Q131/P131-1</f>
        <v>3.8538855106680092E-2</v>
      </c>
      <c r="T131" s="12"/>
      <c r="U131" s="12"/>
      <c r="V131" s="12">
        <f>-P131</f>
        <v>-6653458.333333333</v>
      </c>
      <c r="W131" s="12"/>
      <c r="X131" s="10">
        <v>-455561.04037006554</v>
      </c>
      <c r="Y131" s="10">
        <v>-6197897.2929632645</v>
      </c>
      <c r="Z131" s="10">
        <f>-P131-X131-Y131</f>
        <v>0</v>
      </c>
      <c r="AA131" s="10">
        <f>+Z131+Y131+X131</f>
        <v>-6653458.3333333302</v>
      </c>
      <c r="AB131" s="10">
        <f t="shared" si="23"/>
        <v>0</v>
      </c>
    </row>
    <row r="132" spans="1:28" s="6" customFormat="1">
      <c r="A132" s="6">
        <f t="shared" si="21"/>
        <v>123</v>
      </c>
      <c r="B132" s="9" t="s">
        <v>128</v>
      </c>
      <c r="C132" s="11">
        <f>440039605.66-8605654</f>
        <v>431433951.66000003</v>
      </c>
      <c r="D132" s="11">
        <f>432808214.33-8605606</f>
        <v>424202608.32999998</v>
      </c>
      <c r="E132" s="11">
        <f>424350299.21-8605606</f>
        <v>415744693.20999998</v>
      </c>
      <c r="F132" s="11">
        <f>417673627.48-8109069</f>
        <v>409564558.48000002</v>
      </c>
      <c r="G132" s="11">
        <f>418031960.61-8109069</f>
        <v>409922891.61000001</v>
      </c>
      <c r="H132" s="11">
        <v>412947643.81999999</v>
      </c>
      <c r="I132" s="11">
        <v>580877622.84000003</v>
      </c>
      <c r="J132" s="11">
        <v>580774842.45000005</v>
      </c>
      <c r="K132" s="11">
        <v>575824860.84000003</v>
      </c>
      <c r="L132" s="11">
        <v>567777957.41999996</v>
      </c>
      <c r="M132" s="11">
        <v>561561403.12</v>
      </c>
      <c r="N132" s="11">
        <v>554743819.07000005</v>
      </c>
      <c r="O132" s="11">
        <v>545632591.19000006</v>
      </c>
      <c r="P132" s="12">
        <f t="shared" si="37"/>
        <v>498539681.05124998</v>
      </c>
      <c r="Q132" s="12">
        <f t="shared" si="38"/>
        <v>503297957.69833326</v>
      </c>
      <c r="R132" s="13">
        <f>+Q132/P132-1</f>
        <v>9.5444291155515337E-3</v>
      </c>
      <c r="U132" s="42">
        <v>412957520.69708329</v>
      </c>
      <c r="V132" s="12">
        <f>-P132+U132</f>
        <v>-85582160.354166687</v>
      </c>
      <c r="W132" s="12"/>
      <c r="X132" s="10">
        <v>-232739.14412963449</v>
      </c>
      <c r="Y132" s="10">
        <v>-3166410.6092036958</v>
      </c>
      <c r="Z132" s="10">
        <f>-P132-X132-Y132+U132</f>
        <v>-82183010.600833356</v>
      </c>
      <c r="AA132" s="10">
        <f>+Z132+X132+Y132</f>
        <v>-85582160.354166687</v>
      </c>
      <c r="AB132" s="10">
        <f t="shared" si="23"/>
        <v>0</v>
      </c>
    </row>
    <row r="133" spans="1:28" s="6" customFormat="1">
      <c r="A133" s="6">
        <f t="shared" si="21"/>
        <v>124</v>
      </c>
      <c r="B133" s="9" t="s">
        <v>129</v>
      </c>
      <c r="C133" s="11">
        <v>38008577.960000001</v>
      </c>
      <c r="D133" s="11">
        <v>38103419.869999997</v>
      </c>
      <c r="E133" s="11">
        <v>37971820.359999999</v>
      </c>
      <c r="F133" s="11">
        <v>37995795.159999996</v>
      </c>
      <c r="G133" s="11">
        <v>38130572.100000001</v>
      </c>
      <c r="H133" s="11">
        <v>38250278.979999997</v>
      </c>
      <c r="I133" s="11">
        <v>38369540.359999999</v>
      </c>
      <c r="J133" s="11">
        <v>37907645.170000002</v>
      </c>
      <c r="K133" s="11">
        <v>38123222.170000002</v>
      </c>
      <c r="L133" s="11">
        <v>38267720.960000001</v>
      </c>
      <c r="M133" s="11">
        <v>38246722.609999999</v>
      </c>
      <c r="N133" s="11">
        <v>38373196.240000002</v>
      </c>
      <c r="O133" s="11">
        <v>38258246.969999999</v>
      </c>
      <c r="P133" s="12">
        <f t="shared" si="37"/>
        <v>38156112.203750007</v>
      </c>
      <c r="Q133" s="12">
        <f t="shared" si="38"/>
        <v>38166515.079166673</v>
      </c>
      <c r="R133" s="13">
        <f>+Q133/P133-1</f>
        <v>2.7263981616143518E-4</v>
      </c>
      <c r="U133" s="12"/>
      <c r="V133" s="12">
        <f>-P133</f>
        <v>-38156112.203750007</v>
      </c>
      <c r="W133" s="12"/>
      <c r="X133" s="10">
        <v>-335802.44440276822</v>
      </c>
      <c r="Y133" s="10">
        <v>-1148309.5097638918</v>
      </c>
      <c r="Z133" s="10">
        <f>-P133-X133-Y133</f>
        <v>-36672000.249583349</v>
      </c>
      <c r="AA133" s="10">
        <f>+Z133+X133+Y133</f>
        <v>-38156112.203750007</v>
      </c>
      <c r="AB133" s="10">
        <f t="shared" si="23"/>
        <v>0</v>
      </c>
    </row>
    <row r="134" spans="1:28" s="6" customFormat="1">
      <c r="A134" s="6">
        <f t="shared" si="21"/>
        <v>125</v>
      </c>
      <c r="B134" s="9" t="s">
        <v>130</v>
      </c>
      <c r="C134" s="11"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295320.40000000002</v>
      </c>
      <c r="K134" s="11">
        <v>603043.47</v>
      </c>
      <c r="L134" s="11">
        <v>1034114.64</v>
      </c>
      <c r="M134" s="11">
        <v>1596285.26</v>
      </c>
      <c r="N134" s="11">
        <v>1514157.85</v>
      </c>
      <c r="O134" s="11">
        <v>2070370.49</v>
      </c>
      <c r="P134" s="12">
        <f t="shared" si="37"/>
        <v>506508.9054166667</v>
      </c>
      <c r="Q134" s="12">
        <f t="shared" si="38"/>
        <v>592774.34250000003</v>
      </c>
      <c r="R134" s="13"/>
      <c r="V134" s="12">
        <f>-P134</f>
        <v>-506508.9054166667</v>
      </c>
      <c r="W134" s="12"/>
      <c r="X134" s="10"/>
      <c r="Y134" s="10"/>
      <c r="Z134" s="10">
        <f>-P134-X134-Y134</f>
        <v>-506508.9054166667</v>
      </c>
      <c r="AA134" s="10">
        <f>+Z134+X134+Y134</f>
        <v>-506508.9054166667</v>
      </c>
      <c r="AB134" s="10">
        <f t="shared" si="23"/>
        <v>0</v>
      </c>
    </row>
    <row r="135" spans="1:28" s="6" customFormat="1">
      <c r="A135" s="6">
        <f t="shared" si="21"/>
        <v>126</v>
      </c>
      <c r="B135" s="9" t="s">
        <v>131</v>
      </c>
      <c r="C135" s="11">
        <v>304885084.47000003</v>
      </c>
      <c r="D135" s="11">
        <v>305572526.47000003</v>
      </c>
      <c r="E135" s="11">
        <v>276732229.47000003</v>
      </c>
      <c r="F135" s="11">
        <v>265989975</v>
      </c>
      <c r="G135" s="11">
        <v>234844947</v>
      </c>
      <c r="H135" s="11">
        <v>231435370</v>
      </c>
      <c r="I135" s="11">
        <v>66449954</v>
      </c>
      <c r="J135" s="11">
        <v>66104295</v>
      </c>
      <c r="K135" s="11">
        <v>56996587.560000002</v>
      </c>
      <c r="L135" s="11">
        <v>97761532.900000006</v>
      </c>
      <c r="M135" s="11">
        <v>46504412.530000001</v>
      </c>
      <c r="N135" s="11">
        <v>53823002.57</v>
      </c>
      <c r="O135" s="11">
        <v>48165171.43</v>
      </c>
      <c r="P135" s="12">
        <f t="shared" si="37"/>
        <v>156561663.37083334</v>
      </c>
      <c r="Q135" s="12">
        <f t="shared" si="38"/>
        <v>145865000.32750002</v>
      </c>
      <c r="R135" s="13">
        <f>+Q135/P135-1</f>
        <v>-6.832236457527352E-2</v>
      </c>
      <c r="U135" s="12"/>
      <c r="V135" s="43">
        <f>-P135</f>
        <v>-156561663.37083334</v>
      </c>
      <c r="W135" s="12"/>
      <c r="X135" s="10"/>
      <c r="Y135" s="10"/>
      <c r="Z135" s="43">
        <f t="shared" ref="Z135" si="39">+V135</f>
        <v>-156561663.37083334</v>
      </c>
      <c r="AA135" s="10">
        <f>+Z135</f>
        <v>-156561663.37083334</v>
      </c>
      <c r="AB135" s="10">
        <f t="shared" si="23"/>
        <v>0</v>
      </c>
    </row>
    <row r="136" spans="1:28" s="6" customFormat="1">
      <c r="A136" s="6">
        <f t="shared" si="21"/>
        <v>127</v>
      </c>
      <c r="B136" s="9" t="s">
        <v>132</v>
      </c>
      <c r="C136" s="11">
        <v>0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2">
        <f t="shared" si="37"/>
        <v>0</v>
      </c>
      <c r="Q136" s="12">
        <f t="shared" si="38"/>
        <v>0</v>
      </c>
      <c r="R136" s="13"/>
      <c r="W136" s="12"/>
      <c r="X136" s="10"/>
      <c r="Y136" s="10"/>
      <c r="Z136" s="10"/>
      <c r="AA136" s="10"/>
      <c r="AB136" s="10">
        <f t="shared" si="23"/>
        <v>0</v>
      </c>
    </row>
    <row r="137" spans="1:28" s="6" customFormat="1">
      <c r="A137" s="6">
        <f t="shared" si="21"/>
        <v>128</v>
      </c>
      <c r="B137" s="9" t="s">
        <v>133</v>
      </c>
      <c r="C137" s="11">
        <v>131612876.81</v>
      </c>
      <c r="D137" s="11">
        <v>131645398.25</v>
      </c>
      <c r="E137" s="11">
        <v>131645193.11</v>
      </c>
      <c r="F137" s="11">
        <v>125852740.73999999</v>
      </c>
      <c r="G137" s="11">
        <v>125832556.42</v>
      </c>
      <c r="H137" s="11">
        <v>125803113.87</v>
      </c>
      <c r="I137" s="11">
        <v>123312478.81999999</v>
      </c>
      <c r="J137" s="11">
        <v>123287773.90000001</v>
      </c>
      <c r="K137" s="11">
        <v>123278086.69</v>
      </c>
      <c r="L137" s="11">
        <v>133651626.56999999</v>
      </c>
      <c r="M137" s="11">
        <v>133616731.84</v>
      </c>
      <c r="N137" s="11">
        <v>133621788.91</v>
      </c>
      <c r="O137" s="11">
        <v>127837665</v>
      </c>
      <c r="P137" s="12">
        <f t="shared" si="37"/>
        <v>128439396.66874999</v>
      </c>
      <c r="Q137" s="12">
        <f t="shared" si="38"/>
        <v>128282096.17666666</v>
      </c>
      <c r="R137" s="13">
        <f>+Q137/P137-1</f>
        <v>-1.2247059404133509E-3</v>
      </c>
      <c r="V137" s="12">
        <f>-P137</f>
        <v>-128439396.66874999</v>
      </c>
      <c r="W137" s="12"/>
      <c r="X137" s="10">
        <v>0</v>
      </c>
      <c r="Y137" s="10">
        <v>-2849851.2324999939</v>
      </c>
      <c r="Z137" s="10">
        <f>-P137-X137-Y137</f>
        <v>-125589545.43625</v>
      </c>
      <c r="AA137" s="10">
        <f>+Z137+X137+Y137</f>
        <v>-128439396.66874999</v>
      </c>
      <c r="AB137" s="10">
        <f t="shared" si="23"/>
        <v>0</v>
      </c>
    </row>
    <row r="138" spans="1:28" s="6" customFormat="1">
      <c r="A138" s="6">
        <f t="shared" si="21"/>
        <v>129</v>
      </c>
      <c r="B138" s="9" t="s">
        <v>134</v>
      </c>
      <c r="C138" s="11">
        <f t="shared" ref="C138:O138" si="40">SUM(C129:C137)</f>
        <v>967704592.71000004</v>
      </c>
      <c r="D138" s="11">
        <f t="shared" si="40"/>
        <v>962580322.35000002</v>
      </c>
      <c r="E138" s="11">
        <f t="shared" si="40"/>
        <v>925053261.26000011</v>
      </c>
      <c r="F138" s="11">
        <f t="shared" si="40"/>
        <v>901442574.82000005</v>
      </c>
      <c r="G138" s="11">
        <f t="shared" si="40"/>
        <v>869904805.25</v>
      </c>
      <c r="H138" s="11">
        <f t="shared" si="40"/>
        <v>868644925.10000002</v>
      </c>
      <c r="I138" s="11">
        <f t="shared" si="40"/>
        <v>868209927.37000012</v>
      </c>
      <c r="J138" s="11">
        <f t="shared" si="40"/>
        <v>866960954.56999993</v>
      </c>
      <c r="K138" s="11">
        <f t="shared" si="40"/>
        <v>852780327.66000009</v>
      </c>
      <c r="L138" s="11">
        <f t="shared" si="40"/>
        <v>897370905.63999987</v>
      </c>
      <c r="M138" s="11">
        <f t="shared" si="40"/>
        <v>840037317.36000001</v>
      </c>
      <c r="N138" s="11">
        <f t="shared" si="40"/>
        <v>840143990.49000013</v>
      </c>
      <c r="O138" s="11">
        <f t="shared" si="40"/>
        <v>825750712.36000001</v>
      </c>
      <c r="P138" s="14">
        <f>SUBTOTAL(9,P129:P137)</f>
        <v>882488080.36708331</v>
      </c>
      <c r="Q138" s="12">
        <f t="shared" si="38"/>
        <v>876573335.35250008</v>
      </c>
      <c r="R138" s="13">
        <f>+Q138/P138-1</f>
        <v>-6.7023511661742363E-3</v>
      </c>
      <c r="S138" s="1"/>
      <c r="T138"/>
      <c r="U138"/>
      <c r="V138"/>
      <c r="W138"/>
      <c r="X138"/>
      <c r="Y138"/>
      <c r="Z138"/>
      <c r="AA138"/>
      <c r="AB138" s="10">
        <f t="shared" si="23"/>
        <v>0</v>
      </c>
    </row>
    <row r="139" spans="1:28" s="6" customFormat="1">
      <c r="A139" s="6">
        <f t="shared" ref="A139:A185" si="41">+A138+1</f>
        <v>130</v>
      </c>
      <c r="B139" s="9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8"/>
      <c r="Q139" s="12"/>
      <c r="R139" s="13"/>
      <c r="S139" s="1"/>
      <c r="U139" s="18"/>
      <c r="V139" s="18"/>
      <c r="W139" s="18"/>
      <c r="X139" s="18"/>
      <c r="Y139" s="18"/>
      <c r="Z139" s="18"/>
      <c r="AA139" s="10"/>
      <c r="AB139" s="10">
        <f t="shared" si="23"/>
        <v>0</v>
      </c>
    </row>
    <row r="140" spans="1:28" s="6" customFormat="1">
      <c r="A140" s="6">
        <f t="shared" si="41"/>
        <v>131</v>
      </c>
      <c r="B140" s="9" t="s">
        <v>135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12"/>
      <c r="Q140" s="12"/>
      <c r="R140" s="13"/>
      <c r="X140" s="10"/>
      <c r="Y140" s="10"/>
      <c r="Z140" s="10"/>
      <c r="AA140" s="10"/>
      <c r="AB140" s="10">
        <f t="shared" si="23"/>
        <v>0</v>
      </c>
    </row>
    <row r="141" spans="1:28" s="6" customFormat="1">
      <c r="A141" s="6">
        <f t="shared" si="41"/>
        <v>132</v>
      </c>
      <c r="B141" s="9" t="s">
        <v>136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v>490450000</v>
      </c>
      <c r="I141" s="11">
        <v>688527000</v>
      </c>
      <c r="J141" s="11">
        <v>127000000</v>
      </c>
      <c r="K141" s="11">
        <v>147000000</v>
      </c>
      <c r="L141" s="11">
        <v>0</v>
      </c>
      <c r="M141" s="11">
        <v>0</v>
      </c>
      <c r="N141" s="11">
        <v>0</v>
      </c>
      <c r="O141" s="11">
        <v>0</v>
      </c>
      <c r="P141" s="12">
        <f t="shared" ref="P141:P154" si="42">(C141+2*SUM(D141:N141)+O141)/24</f>
        <v>121081416.66666667</v>
      </c>
      <c r="Q141" s="12">
        <f t="shared" ref="Q141:Q158" si="43">AVERAGE(D141:O141)</f>
        <v>121081416.66666667</v>
      </c>
      <c r="R141" s="13">
        <f>+Q141/P141-1</f>
        <v>0</v>
      </c>
      <c r="U141" s="12"/>
      <c r="W141" s="12">
        <f>+P141</f>
        <v>121081416.66666667</v>
      </c>
      <c r="X141" s="10"/>
      <c r="Y141" s="10"/>
      <c r="Z141" s="10"/>
      <c r="AA141" s="10"/>
      <c r="AB141" s="10">
        <f t="shared" ref="AB141:AB170" si="44">+AA141-V141</f>
        <v>0</v>
      </c>
    </row>
    <row r="142" spans="1:28" s="6" customFormat="1">
      <c r="A142" s="6">
        <f t="shared" si="41"/>
        <v>133</v>
      </c>
      <c r="B142" s="9" t="s">
        <v>137</v>
      </c>
      <c r="C142" s="11">
        <f>516820593.08-34956156</f>
        <v>481864437.07999998</v>
      </c>
      <c r="D142" s="11">
        <f>500876986.23-15019830</f>
        <v>485857156.23000002</v>
      </c>
      <c r="E142" s="11">
        <f>518593801.99-14319405</f>
        <v>504274396.99000001</v>
      </c>
      <c r="F142" s="11">
        <f>507407718.77-14742985</f>
        <v>492664733.76999998</v>
      </c>
      <c r="G142" s="11">
        <f>541431841.24-13901260</f>
        <v>527530581.24000001</v>
      </c>
      <c r="H142" s="11">
        <f>608528911.49-15154474</f>
        <v>593374437.49000001</v>
      </c>
      <c r="I142" s="11">
        <v>536085456.56</v>
      </c>
      <c r="J142" s="11">
        <v>467119435.20999998</v>
      </c>
      <c r="K142" s="11">
        <v>455641723.52999997</v>
      </c>
      <c r="L142" s="11">
        <v>459333800.83999997</v>
      </c>
      <c r="M142" s="11">
        <v>485257067.61000001</v>
      </c>
      <c r="N142" s="11">
        <v>467790961.01999998</v>
      </c>
      <c r="O142" s="11">
        <v>496365317.94999999</v>
      </c>
      <c r="P142" s="12">
        <f t="shared" si="42"/>
        <v>497003719.0004167</v>
      </c>
      <c r="Q142" s="12">
        <f t="shared" si="43"/>
        <v>497607922.36999995</v>
      </c>
      <c r="R142" s="13">
        <f>+Q142/P142-1</f>
        <v>1.2156918479371281E-3</v>
      </c>
      <c r="U142" s="12">
        <f>P142</f>
        <v>497003719.0004167</v>
      </c>
      <c r="X142" s="10"/>
      <c r="Y142" s="10"/>
      <c r="Z142" s="10"/>
      <c r="AA142" s="10"/>
      <c r="AB142" s="10">
        <f t="shared" si="44"/>
        <v>0</v>
      </c>
    </row>
    <row r="143" spans="1:28" s="6" customFormat="1">
      <c r="A143" s="6">
        <f t="shared" si="41"/>
        <v>134</v>
      </c>
      <c r="B143" s="9" t="s">
        <v>138</v>
      </c>
      <c r="C143" s="11">
        <f>0+474</f>
        <v>474</v>
      </c>
      <c r="D143" s="11">
        <v>608611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2824601.92</v>
      </c>
      <c r="M143" s="11">
        <v>6230941.1299999999</v>
      </c>
      <c r="N143" s="11">
        <v>60.57</v>
      </c>
      <c r="O143" s="11">
        <v>0</v>
      </c>
      <c r="P143" s="12">
        <f t="shared" si="42"/>
        <v>805370.96833333338</v>
      </c>
      <c r="Q143" s="12">
        <f t="shared" si="43"/>
        <v>805351.21833333338</v>
      </c>
      <c r="R143" s="13"/>
      <c r="U143" s="12">
        <f>P143</f>
        <v>805370.96833333338</v>
      </c>
      <c r="X143" s="10"/>
      <c r="Y143" s="10"/>
      <c r="Z143" s="10"/>
      <c r="AA143" s="10"/>
      <c r="AB143" s="10">
        <f t="shared" si="44"/>
        <v>0</v>
      </c>
    </row>
    <row r="144" spans="1:28" s="6" customFormat="1">
      <c r="A144" s="6">
        <f t="shared" si="41"/>
        <v>135</v>
      </c>
      <c r="B144" s="9" t="s">
        <v>139</v>
      </c>
      <c r="C144" s="11">
        <f>11642508.35+17665924</f>
        <v>29308432.350000001</v>
      </c>
      <c r="D144" s="11">
        <f>11550566.73+17522120</f>
        <v>29072686.73</v>
      </c>
      <c r="E144" s="11">
        <f>14471844.85+18698375</f>
        <v>33170219.850000001</v>
      </c>
      <c r="F144" s="11">
        <f>16068646.08+18179512</f>
        <v>34248158.079999998</v>
      </c>
      <c r="G144" s="11">
        <f>17124910.22+16195543</f>
        <v>33320453.219999999</v>
      </c>
      <c r="H144" s="11">
        <f>28795237.47+9026064</f>
        <v>37821301.469999999</v>
      </c>
      <c r="I144" s="11">
        <v>56292853.049999997</v>
      </c>
      <c r="J144" s="11">
        <v>43188298.380000003</v>
      </c>
      <c r="K144" s="11">
        <v>47694991.780000001</v>
      </c>
      <c r="L144" s="11">
        <v>43035774.039999999</v>
      </c>
      <c r="M144" s="11">
        <v>34011947.329999998</v>
      </c>
      <c r="N144" s="11">
        <v>41588128.890000001</v>
      </c>
      <c r="O144" s="11">
        <v>42418384.43</v>
      </c>
      <c r="P144" s="12">
        <f t="shared" si="42"/>
        <v>39109018.434166662</v>
      </c>
      <c r="Q144" s="12">
        <f t="shared" si="43"/>
        <v>39655266.437499993</v>
      </c>
      <c r="R144" s="13">
        <f>+Q144/P144-1</f>
        <v>1.396731560146014E-2</v>
      </c>
      <c r="U144" s="12">
        <f>P144</f>
        <v>39109018.434166662</v>
      </c>
      <c r="X144" s="10"/>
      <c r="Y144" s="10"/>
      <c r="Z144" s="10"/>
      <c r="AA144" s="10"/>
      <c r="AB144" s="10">
        <f t="shared" si="44"/>
        <v>0</v>
      </c>
    </row>
    <row r="145" spans="1:29" s="6" customFormat="1">
      <c r="A145" s="6">
        <f t="shared" si="41"/>
        <v>136</v>
      </c>
      <c r="B145" s="9" t="s">
        <v>140</v>
      </c>
      <c r="C145" s="11">
        <v>39824509.030000001</v>
      </c>
      <c r="D145" s="11">
        <v>39582160.539999999</v>
      </c>
      <c r="E145" s="11">
        <v>33199883.780000001</v>
      </c>
      <c r="F145" s="11">
        <v>34065611.759999998</v>
      </c>
      <c r="G145" s="11">
        <v>34487124.149999999</v>
      </c>
      <c r="H145" s="11">
        <v>35532162.280000001</v>
      </c>
      <c r="I145" s="11">
        <v>36226196.130000003</v>
      </c>
      <c r="J145" s="11">
        <v>35766162.469999999</v>
      </c>
      <c r="K145" s="11">
        <v>40437477.060000002</v>
      </c>
      <c r="L145" s="11">
        <v>40369835.450000003</v>
      </c>
      <c r="M145" s="11">
        <v>40493663.700000003</v>
      </c>
      <c r="N145" s="11">
        <v>38801054.170000002</v>
      </c>
      <c r="O145" s="11">
        <v>38942057.060000002</v>
      </c>
      <c r="P145" s="12">
        <f t="shared" si="42"/>
        <v>37362051.21125</v>
      </c>
      <c r="Q145" s="12">
        <f t="shared" si="43"/>
        <v>37325282.379166663</v>
      </c>
      <c r="R145" s="13">
        <f>+Q145/P145-1</f>
        <v>-9.8412241542733536E-4</v>
      </c>
      <c r="U145" s="12"/>
      <c r="V145" s="12">
        <f>-P145</f>
        <v>-37362051.21125</v>
      </c>
      <c r="X145" s="10">
        <v>0</v>
      </c>
      <c r="Y145" s="10">
        <f>+V145-X145</f>
        <v>-37362051.21125</v>
      </c>
      <c r="Z145" s="10"/>
      <c r="AA145" s="10">
        <f>+Z145+X145+Y145</f>
        <v>-37362051.21125</v>
      </c>
      <c r="AB145" s="10">
        <f t="shared" si="44"/>
        <v>0</v>
      </c>
    </row>
    <row r="146" spans="1:29" s="6" customFormat="1">
      <c r="A146" s="6">
        <f t="shared" si="41"/>
        <v>137</v>
      </c>
      <c r="B146" s="9" t="s">
        <v>141</v>
      </c>
      <c r="C146" s="11">
        <f>81617797.54-369471</f>
        <v>81248326.540000007</v>
      </c>
      <c r="D146" s="11">
        <f>91234409.65-296325</f>
        <v>90938084.650000006</v>
      </c>
      <c r="E146" s="11">
        <f>95401692.29-231295</f>
        <v>95170397.290000007</v>
      </c>
      <c r="F146" s="11">
        <f>105082128.32-203838</f>
        <v>104878290.31999999</v>
      </c>
      <c r="G146" s="11">
        <f>119120255.66-284474</f>
        <v>118835781.66</v>
      </c>
      <c r="H146" s="11">
        <f>70722676.45-289853</f>
        <v>70432823.450000003</v>
      </c>
      <c r="I146" s="11">
        <v>52714616.009999998</v>
      </c>
      <c r="J146" s="11">
        <v>63058908.640000001</v>
      </c>
      <c r="K146" s="11">
        <v>71691134.200000003</v>
      </c>
      <c r="L146" s="11">
        <v>82362258.150000006</v>
      </c>
      <c r="M146" s="11">
        <v>138745483.88999999</v>
      </c>
      <c r="N146" s="11">
        <v>153964516.59999999</v>
      </c>
      <c r="O146" s="11">
        <v>132284949.61</v>
      </c>
      <c r="P146" s="12">
        <f t="shared" si="42"/>
        <v>95796577.744583353</v>
      </c>
      <c r="Q146" s="12">
        <f t="shared" si="43"/>
        <v>97923103.705833331</v>
      </c>
      <c r="R146" s="13">
        <f>+Q146/P146-1</f>
        <v>2.2198349996591871E-2</v>
      </c>
      <c r="U146" s="12">
        <f t="shared" ref="U146:U151" si="45">P146</f>
        <v>95796577.744583353</v>
      </c>
      <c r="X146" s="10"/>
      <c r="Y146" s="10"/>
      <c r="Z146" s="10"/>
      <c r="AA146" s="10"/>
      <c r="AB146" s="10">
        <f t="shared" si="44"/>
        <v>0</v>
      </c>
    </row>
    <row r="147" spans="1:29" s="6" customFormat="1">
      <c r="A147" s="6">
        <f t="shared" si="41"/>
        <v>138</v>
      </c>
      <c r="B147" s="9" t="s">
        <v>142</v>
      </c>
      <c r="C147" s="11">
        <v>119203634.2</v>
      </c>
      <c r="D147" s="11">
        <v>94126392.680000007</v>
      </c>
      <c r="E147" s="11">
        <v>103156320.31</v>
      </c>
      <c r="F147" s="11">
        <v>117321691.42</v>
      </c>
      <c r="G147" s="11">
        <v>104544853.05</v>
      </c>
      <c r="H147" s="11">
        <v>102756355.98999999</v>
      </c>
      <c r="I147" s="11">
        <v>110248092.42</v>
      </c>
      <c r="J147" s="11">
        <v>82811952.469999999</v>
      </c>
      <c r="K147" s="11">
        <v>91261280.459999993</v>
      </c>
      <c r="L147" s="11">
        <v>99700928.230000004</v>
      </c>
      <c r="M147" s="11">
        <v>85762718.159999996</v>
      </c>
      <c r="N147" s="11">
        <v>103195492.08</v>
      </c>
      <c r="O147" s="11">
        <v>118683899.73999999</v>
      </c>
      <c r="P147" s="12">
        <f t="shared" si="42"/>
        <v>101152487.01999998</v>
      </c>
      <c r="Q147" s="12">
        <f t="shared" si="43"/>
        <v>101130831.4175</v>
      </c>
      <c r="R147" s="13">
        <f>+Q147/P147-1</f>
        <v>-2.1408868074290766E-4</v>
      </c>
      <c r="U147" s="12">
        <f t="shared" si="45"/>
        <v>101152487.01999998</v>
      </c>
      <c r="X147" s="10"/>
      <c r="Y147" s="10"/>
      <c r="Z147" s="10"/>
      <c r="AA147" s="10"/>
      <c r="AB147" s="10">
        <f t="shared" si="44"/>
        <v>0</v>
      </c>
    </row>
    <row r="148" spans="1:29" s="6" customFormat="1">
      <c r="A148" s="6">
        <f t="shared" si="41"/>
        <v>139</v>
      </c>
      <c r="B148" s="9" t="s">
        <v>143</v>
      </c>
      <c r="C148" s="11">
        <v>512461.71</v>
      </c>
      <c r="D148" s="11">
        <v>512461.71</v>
      </c>
      <c r="E148" s="11">
        <v>0</v>
      </c>
      <c r="F148" s="11">
        <v>512461.71</v>
      </c>
      <c r="G148" s="11">
        <v>512461.71</v>
      </c>
      <c r="H148" s="11">
        <v>0</v>
      </c>
      <c r="I148" s="11">
        <v>512461.71</v>
      </c>
      <c r="J148" s="11">
        <v>50512461.710000001</v>
      </c>
      <c r="K148" s="11">
        <v>0</v>
      </c>
      <c r="L148" s="11">
        <v>512461.71</v>
      </c>
      <c r="M148" s="11">
        <v>512461.71</v>
      </c>
      <c r="N148" s="11">
        <v>0</v>
      </c>
      <c r="O148" s="11">
        <v>512461.71</v>
      </c>
      <c r="P148" s="12">
        <f t="shared" si="42"/>
        <v>4508307.8066666666</v>
      </c>
      <c r="Q148" s="12">
        <f t="shared" si="43"/>
        <v>4508307.8066666676</v>
      </c>
      <c r="R148" s="13">
        <f>+Q148/P148-1</f>
        <v>0</v>
      </c>
      <c r="U148" s="12">
        <f t="shared" si="45"/>
        <v>4508307.8066666666</v>
      </c>
      <c r="X148" s="10"/>
      <c r="Y148" s="10"/>
      <c r="Z148" s="10"/>
      <c r="AA148" s="10"/>
      <c r="AB148" s="10">
        <f t="shared" si="44"/>
        <v>0</v>
      </c>
    </row>
    <row r="149" spans="1:29" s="6" customFormat="1">
      <c r="A149" s="6">
        <f t="shared" si="41"/>
        <v>140</v>
      </c>
      <c r="B149" s="9" t="s">
        <v>144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2">
        <f t="shared" si="42"/>
        <v>0</v>
      </c>
      <c r="Q149" s="12">
        <f t="shared" si="43"/>
        <v>0</v>
      </c>
      <c r="R149" s="13"/>
      <c r="U149" s="12">
        <f t="shared" si="45"/>
        <v>0</v>
      </c>
      <c r="X149" s="10"/>
      <c r="Y149" s="10"/>
      <c r="Z149" s="10"/>
      <c r="AA149" s="10"/>
      <c r="AB149" s="10">
        <f t="shared" si="44"/>
        <v>0</v>
      </c>
    </row>
    <row r="150" spans="1:29" s="6" customFormat="1">
      <c r="A150" s="6">
        <f t="shared" si="41"/>
        <v>141</v>
      </c>
      <c r="B150" s="9" t="s">
        <v>145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2">
        <f t="shared" si="42"/>
        <v>0</v>
      </c>
      <c r="Q150" s="12">
        <f t="shared" si="43"/>
        <v>0</v>
      </c>
      <c r="R150" s="13"/>
      <c r="U150" s="12">
        <f t="shared" si="45"/>
        <v>0</v>
      </c>
      <c r="X150" s="10"/>
      <c r="Y150" s="10"/>
      <c r="Z150" s="10"/>
      <c r="AA150" s="10"/>
      <c r="AB150" s="10">
        <f t="shared" si="44"/>
        <v>0</v>
      </c>
    </row>
    <row r="151" spans="1:29" s="6" customFormat="1">
      <c r="A151" s="6">
        <f t="shared" si="41"/>
        <v>142</v>
      </c>
      <c r="B151" s="9" t="s">
        <v>146</v>
      </c>
      <c r="C151" s="11">
        <f>14719750.47-108245</f>
        <v>14611505.470000001</v>
      </c>
      <c r="D151" s="11">
        <f>21845441.69-71312</f>
        <v>21774129.690000001</v>
      </c>
      <c r="E151" s="11">
        <f>18420743.08-121540</f>
        <v>18299203.079999998</v>
      </c>
      <c r="F151" s="11">
        <f>19135579.83-110195</f>
        <v>19025384.829999998</v>
      </c>
      <c r="G151" s="11">
        <f>14610277.28-75121</f>
        <v>14535156.279999999</v>
      </c>
      <c r="H151" s="11">
        <f>14421153.4-92031</f>
        <v>14329122.4</v>
      </c>
      <c r="I151" s="11">
        <v>17536762.48</v>
      </c>
      <c r="J151" s="11">
        <v>16042329.640000001</v>
      </c>
      <c r="K151" s="11">
        <v>15050204.59</v>
      </c>
      <c r="L151" s="11">
        <v>15035674.880000001</v>
      </c>
      <c r="M151" s="11">
        <v>13871574.300000001</v>
      </c>
      <c r="N151" s="11">
        <v>14088392.65</v>
      </c>
      <c r="O151" s="11">
        <v>16723760.449999999</v>
      </c>
      <c r="P151" s="12">
        <f t="shared" si="42"/>
        <v>16271297.315000003</v>
      </c>
      <c r="Q151" s="12">
        <f t="shared" si="43"/>
        <v>16359307.939166667</v>
      </c>
      <c r="R151" s="13">
        <f t="shared" ref="R151:R156" si="46">+Q151/P151-1</f>
        <v>5.4089494195113108E-3</v>
      </c>
      <c r="U151" s="12">
        <f t="shared" si="45"/>
        <v>16271297.315000003</v>
      </c>
      <c r="X151" s="10"/>
      <c r="Y151" s="10"/>
      <c r="Z151" s="10"/>
      <c r="AA151" s="10"/>
      <c r="AB151" s="10">
        <f t="shared" si="44"/>
        <v>0</v>
      </c>
    </row>
    <row r="152" spans="1:29" s="6" customFormat="1">
      <c r="A152" s="6">
        <f t="shared" si="41"/>
        <v>143</v>
      </c>
      <c r="B152" s="9" t="s">
        <v>147</v>
      </c>
      <c r="C152" s="11">
        <f>67710908.53-2496995</f>
        <v>65213913.530000001</v>
      </c>
      <c r="D152" s="11">
        <f>67284894.85-2506883</f>
        <v>64778011.849999994</v>
      </c>
      <c r="E152" s="11">
        <f>63488041.36-2370634</f>
        <v>61117407.359999999</v>
      </c>
      <c r="F152" s="11">
        <f>58095716.95-2358707</f>
        <v>55737009.950000003</v>
      </c>
      <c r="G152" s="11">
        <f>54773437.49-2359626</f>
        <v>52413811.490000002</v>
      </c>
      <c r="H152" s="11">
        <f>54403006.25-2370091</f>
        <v>52032915.25</v>
      </c>
      <c r="I152" s="11">
        <v>78951245.810000002</v>
      </c>
      <c r="J152" s="11">
        <v>81538322.709999993</v>
      </c>
      <c r="K152" s="11">
        <v>69562469.989999995</v>
      </c>
      <c r="L152" s="11">
        <v>68741350.620000005</v>
      </c>
      <c r="M152" s="11">
        <v>68543556.959999993</v>
      </c>
      <c r="N152" s="11">
        <v>67958094.010000005</v>
      </c>
      <c r="O152" s="11">
        <v>67616791.670000002</v>
      </c>
      <c r="P152" s="12">
        <f t="shared" si="42"/>
        <v>65649129.050000004</v>
      </c>
      <c r="Q152" s="12">
        <f t="shared" si="43"/>
        <v>65749248.972499996</v>
      </c>
      <c r="R152" s="13">
        <f t="shared" si="46"/>
        <v>1.5250761731162576E-3</v>
      </c>
      <c r="U152" s="12">
        <f>P152+V152</f>
        <v>53957856.050000004</v>
      </c>
      <c r="V152" s="43">
        <v>-11691273</v>
      </c>
      <c r="X152" s="10"/>
      <c r="Y152" s="10"/>
      <c r="Z152" s="43">
        <f t="shared" ref="Z152:Z155" si="47">+V152</f>
        <v>-11691273</v>
      </c>
      <c r="AA152" s="10">
        <f>+Z152</f>
        <v>-11691273</v>
      </c>
      <c r="AB152" s="10">
        <f t="shared" si="44"/>
        <v>0</v>
      </c>
    </row>
    <row r="153" spans="1:29" s="6" customFormat="1">
      <c r="A153" s="6">
        <f t="shared" si="41"/>
        <v>144</v>
      </c>
      <c r="B153" s="9" t="s">
        <v>148</v>
      </c>
      <c r="C153" s="11">
        <v>1286632.18</v>
      </c>
      <c r="D153" s="11">
        <v>1278648.73</v>
      </c>
      <c r="E153" s="11">
        <v>1270611.5</v>
      </c>
      <c r="F153" s="11">
        <v>1262520.1599999999</v>
      </c>
      <c r="G153" s="11">
        <v>2100248.34</v>
      </c>
      <c r="H153" s="11">
        <v>2128082.85</v>
      </c>
      <c r="I153" s="11">
        <v>2156200.56</v>
      </c>
      <c r="J153" s="11">
        <v>2184604.35</v>
      </c>
      <c r="K153" s="11">
        <v>2638642.0099999998</v>
      </c>
      <c r="L153" s="11">
        <v>3096577.72</v>
      </c>
      <c r="M153" s="11">
        <v>3347809.02</v>
      </c>
      <c r="N153" s="11">
        <v>3741380.42</v>
      </c>
      <c r="O153" s="11">
        <v>4131434.35</v>
      </c>
      <c r="P153" s="12">
        <f t="shared" si="42"/>
        <v>2326196.5770833329</v>
      </c>
      <c r="Q153" s="12">
        <f t="shared" si="43"/>
        <v>2444730.000833333</v>
      </c>
      <c r="R153" s="13">
        <f t="shared" si="46"/>
        <v>5.0955892944620107E-2</v>
      </c>
      <c r="U153" s="12"/>
      <c r="V153" s="12"/>
      <c r="W153" s="12">
        <f>+P153</f>
        <v>2326196.5770833329</v>
      </c>
      <c r="X153" s="10"/>
      <c r="Y153" s="10"/>
      <c r="Z153" s="12"/>
      <c r="AA153" s="10"/>
      <c r="AB153" s="10">
        <f t="shared" si="44"/>
        <v>0</v>
      </c>
    </row>
    <row r="154" spans="1:29" s="6" customFormat="1">
      <c r="A154" s="6">
        <f t="shared" si="41"/>
        <v>145</v>
      </c>
      <c r="B154" s="9" t="s">
        <v>149</v>
      </c>
      <c r="C154" s="11">
        <v>378700189.68000001</v>
      </c>
      <c r="D154" s="11">
        <v>388552876.14999998</v>
      </c>
      <c r="E154" s="11">
        <v>360089284.14999998</v>
      </c>
      <c r="F154" s="11">
        <v>378131040</v>
      </c>
      <c r="G154" s="11">
        <v>345158767</v>
      </c>
      <c r="H154" s="11">
        <v>341809031</v>
      </c>
      <c r="I154" s="11">
        <v>156054864</v>
      </c>
      <c r="J154" s="11">
        <v>158391844</v>
      </c>
      <c r="K154" s="11">
        <v>143858301.63999999</v>
      </c>
      <c r="L154" s="11">
        <v>265947143.75999999</v>
      </c>
      <c r="M154" s="11">
        <v>142686546.13</v>
      </c>
      <c r="N154" s="11">
        <v>132338151.11</v>
      </c>
      <c r="O154" s="11">
        <v>119811148.5</v>
      </c>
      <c r="P154" s="12">
        <f t="shared" si="42"/>
        <v>255189459.83583334</v>
      </c>
      <c r="Q154" s="12">
        <f t="shared" si="43"/>
        <v>244402416.45333335</v>
      </c>
      <c r="R154" s="13">
        <f t="shared" si="46"/>
        <v>-4.2270724619423716E-2</v>
      </c>
      <c r="U154" s="12"/>
      <c r="V154" s="43">
        <f>-P154</f>
        <v>-255189459.83583334</v>
      </c>
      <c r="W154" s="12"/>
      <c r="X154" s="10"/>
      <c r="Y154" s="10"/>
      <c r="Z154" s="43">
        <f t="shared" si="47"/>
        <v>-255189459.83583334</v>
      </c>
      <c r="AA154" s="10">
        <f t="shared" ref="AA154:AA155" si="48">+Z154</f>
        <v>-255189459.83583334</v>
      </c>
      <c r="AB154" s="10">
        <f t="shared" si="44"/>
        <v>0</v>
      </c>
    </row>
    <row r="155" spans="1:29" s="6" customFormat="1">
      <c r="A155" s="6">
        <f t="shared" si="41"/>
        <v>146</v>
      </c>
      <c r="B155" s="9" t="s">
        <v>150</v>
      </c>
      <c r="C155" s="11">
        <v>304885084.47000003</v>
      </c>
      <c r="D155" s="11">
        <v>305572526.47000003</v>
      </c>
      <c r="E155" s="11">
        <v>276732229.47000003</v>
      </c>
      <c r="F155" s="11">
        <v>265989975</v>
      </c>
      <c r="G155" s="11">
        <v>234844947</v>
      </c>
      <c r="H155" s="11">
        <v>231435370</v>
      </c>
      <c r="I155" s="11">
        <v>66449954</v>
      </c>
      <c r="J155" s="11">
        <v>66104295</v>
      </c>
      <c r="K155" s="11">
        <v>56996587.560000002</v>
      </c>
      <c r="L155" s="11">
        <v>97761532.900000006</v>
      </c>
      <c r="M155" s="11">
        <v>46504412.530000001</v>
      </c>
      <c r="N155" s="11">
        <v>53823002.57</v>
      </c>
      <c r="O155" s="11">
        <v>48165171.43</v>
      </c>
      <c r="P155" s="12">
        <f>-(C155+2*SUM(D155:N155)+O155)/24</f>
        <v>-156561663.37083334</v>
      </c>
      <c r="Q155" s="12">
        <f t="shared" si="43"/>
        <v>145865000.32750002</v>
      </c>
      <c r="R155" s="13">
        <f t="shared" si="46"/>
        <v>-1.9316776354247265</v>
      </c>
      <c r="U155" s="12"/>
      <c r="V155" s="43">
        <f>-P155</f>
        <v>156561663.37083334</v>
      </c>
      <c r="W155" s="12"/>
      <c r="X155" s="10"/>
      <c r="Y155" s="10"/>
      <c r="Z155" s="43">
        <f t="shared" si="47"/>
        <v>156561663.37083334</v>
      </c>
      <c r="AA155" s="10">
        <f t="shared" si="48"/>
        <v>156561663.37083334</v>
      </c>
      <c r="AB155" s="10">
        <f t="shared" si="44"/>
        <v>0</v>
      </c>
    </row>
    <row r="156" spans="1:29" s="6" customFormat="1">
      <c r="A156" s="6">
        <f t="shared" si="41"/>
        <v>147</v>
      </c>
      <c r="B156" s="9" t="s">
        <v>151</v>
      </c>
      <c r="C156" s="11">
        <v>0</v>
      </c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2">
        <f>(C156+2*SUM(D156:N156)+O156)/24</f>
        <v>0</v>
      </c>
      <c r="Q156" s="12">
        <f t="shared" si="43"/>
        <v>0</v>
      </c>
      <c r="R156" s="13" t="e">
        <f t="shared" si="46"/>
        <v>#DIV/0!</v>
      </c>
      <c r="U156" s="12">
        <f>P156</f>
        <v>0</v>
      </c>
      <c r="W156" s="12"/>
      <c r="X156" s="10"/>
      <c r="Y156" s="10"/>
      <c r="Z156" s="10"/>
      <c r="AA156" s="10"/>
      <c r="AB156" s="10">
        <f t="shared" si="44"/>
        <v>0</v>
      </c>
    </row>
    <row r="157" spans="1:29" s="6" customFormat="1">
      <c r="A157" s="6">
        <f t="shared" si="41"/>
        <v>148</v>
      </c>
      <c r="B157" s="9" t="s">
        <v>152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2">
        <f>-(C157+2*SUM(D157:N157)+O157)/24</f>
        <v>0</v>
      </c>
      <c r="Q157" s="12">
        <f t="shared" si="43"/>
        <v>0</v>
      </c>
      <c r="R157" s="13"/>
      <c r="U157" s="12">
        <f>P157</f>
        <v>0</v>
      </c>
      <c r="X157" s="10"/>
      <c r="Y157" s="10"/>
      <c r="Z157" s="10"/>
      <c r="AA157" s="10"/>
      <c r="AB157" s="10">
        <f t="shared" si="44"/>
        <v>0</v>
      </c>
    </row>
    <row r="158" spans="1:29" s="6" customFormat="1">
      <c r="A158" s="6">
        <f t="shared" si="41"/>
        <v>149</v>
      </c>
      <c r="B158" s="9" t="s">
        <v>153</v>
      </c>
      <c r="C158" s="11">
        <f t="shared" ref="C158:O158" si="49">SUM(C141:C154,C156)-SUM(C155,C157)</f>
        <v>906889431.29999995</v>
      </c>
      <c r="D158" s="11">
        <f t="shared" si="49"/>
        <v>911508693.49000001</v>
      </c>
      <c r="E158" s="11">
        <f t="shared" si="49"/>
        <v>933015494.83999991</v>
      </c>
      <c r="F158" s="11">
        <f t="shared" si="49"/>
        <v>971856927</v>
      </c>
      <c r="G158" s="11">
        <f t="shared" si="49"/>
        <v>998594291.13999987</v>
      </c>
      <c r="H158" s="11">
        <f t="shared" si="49"/>
        <v>1509230862.1800001</v>
      </c>
      <c r="I158" s="11">
        <f t="shared" si="49"/>
        <v>1668855794.73</v>
      </c>
      <c r="J158" s="11">
        <f t="shared" si="49"/>
        <v>1061510024.5800002</v>
      </c>
      <c r="K158" s="11">
        <f t="shared" si="49"/>
        <v>1027839637.7</v>
      </c>
      <c r="L158" s="11">
        <f t="shared" si="49"/>
        <v>983198874.4200002</v>
      </c>
      <c r="M158" s="11">
        <f t="shared" si="49"/>
        <v>972959357.40999997</v>
      </c>
      <c r="N158" s="11">
        <f t="shared" si="49"/>
        <v>969643228.94999993</v>
      </c>
      <c r="O158" s="11">
        <f t="shared" si="49"/>
        <v>989325034.0400002</v>
      </c>
      <c r="P158" s="28">
        <f>SUBTOTAL(9,P141:P157)</f>
        <v>1079693368.2591667</v>
      </c>
      <c r="Q158" s="12">
        <f t="shared" si="43"/>
        <v>1083128185.0400002</v>
      </c>
      <c r="R158" s="13">
        <f>+Q158/P158-1</f>
        <v>3.1812891343137029E-3</v>
      </c>
      <c r="T158"/>
      <c r="U158"/>
      <c r="V158"/>
      <c r="W158"/>
      <c r="X158"/>
      <c r="Y158"/>
      <c r="Z158"/>
      <c r="AA158"/>
      <c r="AB158" s="10">
        <f t="shared" si="44"/>
        <v>0</v>
      </c>
      <c r="AC158"/>
    </row>
    <row r="159" spans="1:29" s="6" customFormat="1">
      <c r="A159" s="6">
        <f t="shared" si="41"/>
        <v>150</v>
      </c>
      <c r="B159" s="9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29"/>
      <c r="Q159" s="12"/>
      <c r="R159" s="13"/>
      <c r="U159" s="29"/>
      <c r="X159" s="10"/>
      <c r="Y159" s="10"/>
      <c r="Z159" s="10"/>
      <c r="AA159" s="10"/>
      <c r="AB159" s="10">
        <f t="shared" si="44"/>
        <v>0</v>
      </c>
    </row>
    <row r="160" spans="1:29" s="6" customFormat="1">
      <c r="A160" s="6">
        <f t="shared" si="41"/>
        <v>151</v>
      </c>
      <c r="B160" s="9" t="s">
        <v>154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12"/>
      <c r="Q160" s="12"/>
      <c r="R160" s="13"/>
      <c r="X160" s="10"/>
      <c r="Y160" s="10"/>
      <c r="Z160" s="10"/>
      <c r="AA160" s="10"/>
      <c r="AB160" s="10">
        <f t="shared" si="44"/>
        <v>0</v>
      </c>
    </row>
    <row r="161" spans="1:30" s="6" customFormat="1">
      <c r="A161" s="6">
        <f t="shared" si="41"/>
        <v>152</v>
      </c>
      <c r="B161" s="9" t="s">
        <v>155</v>
      </c>
      <c r="C161" s="11">
        <v>27809966.640000001</v>
      </c>
      <c r="D161" s="11">
        <v>27958733.100000001</v>
      </c>
      <c r="E161" s="11">
        <v>26515703.879999999</v>
      </c>
      <c r="F161" s="11">
        <v>27050674.66</v>
      </c>
      <c r="G161" s="11">
        <v>25924628.559999999</v>
      </c>
      <c r="H161" s="11">
        <v>26187271.789999999</v>
      </c>
      <c r="I161" s="11">
        <v>25692158.239999998</v>
      </c>
      <c r="J161" s="11">
        <v>25402299.73</v>
      </c>
      <c r="K161" s="11">
        <v>20186739.16</v>
      </c>
      <c r="L161" s="11">
        <v>20855939.579999998</v>
      </c>
      <c r="M161" s="11">
        <v>22512172.539999999</v>
      </c>
      <c r="N161" s="11">
        <v>22239003.18</v>
      </c>
      <c r="O161" s="11">
        <v>22818857.190000001</v>
      </c>
      <c r="P161" s="12">
        <f t="shared" ref="P161:P169" si="50">(C161+2*SUM(D161:N161)+O161)/24</f>
        <v>24653311.361249998</v>
      </c>
      <c r="Q161" s="12">
        <f t="shared" ref="Q161:Q170" si="51">AVERAGE(D161:O161)</f>
        <v>24445348.467499997</v>
      </c>
      <c r="R161" s="13">
        <f>+Q161/P161-1</f>
        <v>-8.4354953662280074E-3</v>
      </c>
      <c r="V161" s="12">
        <f>-P161</f>
        <v>-24653311.361249998</v>
      </c>
      <c r="W161" s="12"/>
      <c r="X161" s="10">
        <v>15641.902326607649</v>
      </c>
      <c r="Y161" s="10">
        <v>-24686014.456909936</v>
      </c>
      <c r="Z161" s="10">
        <f>-P161-X161-Y161</f>
        <v>17061.193333331496</v>
      </c>
      <c r="AA161" s="10">
        <f>+Z161+X161+Y161</f>
        <v>-24653311.361249998</v>
      </c>
      <c r="AB161" s="10">
        <f t="shared" si="44"/>
        <v>0</v>
      </c>
    </row>
    <row r="162" spans="1:30" s="6" customFormat="1">
      <c r="A162" s="6">
        <f t="shared" si="41"/>
        <v>153</v>
      </c>
      <c r="B162" s="9" t="s">
        <v>156</v>
      </c>
      <c r="C162" s="11">
        <v>39979696</v>
      </c>
      <c r="D162" s="11">
        <v>39979696</v>
      </c>
      <c r="E162" s="11">
        <v>39979696</v>
      </c>
      <c r="F162" s="11">
        <v>38994830</v>
      </c>
      <c r="G162" s="11">
        <v>38994830</v>
      </c>
      <c r="H162" s="11">
        <v>38994830</v>
      </c>
      <c r="I162" s="11">
        <v>38010268</v>
      </c>
      <c r="J162" s="11">
        <v>38010268</v>
      </c>
      <c r="K162" s="11">
        <v>38010268</v>
      </c>
      <c r="L162" s="11">
        <v>36937789</v>
      </c>
      <c r="M162" s="11">
        <v>36937789</v>
      </c>
      <c r="N162" s="11">
        <v>36937789</v>
      </c>
      <c r="O162" s="11">
        <v>36068837</v>
      </c>
      <c r="P162" s="12">
        <f t="shared" si="50"/>
        <v>38317693.291666664</v>
      </c>
      <c r="Q162" s="12">
        <f t="shared" si="51"/>
        <v>38154740.833333336</v>
      </c>
      <c r="R162" s="13">
        <f>+Q162/P162-1</f>
        <v>-4.2526687891404347E-3</v>
      </c>
      <c r="V162" s="12">
        <f>-P162</f>
        <v>-38317693.291666664</v>
      </c>
      <c r="W162" s="12"/>
      <c r="X162" s="10">
        <v>-546502.70866400003</v>
      </c>
      <c r="Y162" s="10">
        <v>-3634189.791336</v>
      </c>
      <c r="Z162" s="10">
        <f>-P162-X162-Y162</f>
        <v>-34137000.791666664</v>
      </c>
      <c r="AA162" s="10">
        <f>+Z162+X162+Y162</f>
        <v>-38317693.291666664</v>
      </c>
      <c r="AB162" s="10">
        <f t="shared" si="44"/>
        <v>0</v>
      </c>
    </row>
    <row r="163" spans="1:30" s="6" customFormat="1">
      <c r="A163" s="6">
        <f t="shared" si="41"/>
        <v>154</v>
      </c>
      <c r="B163" s="9" t="s">
        <v>157</v>
      </c>
      <c r="C163" s="11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2">
        <f t="shared" si="50"/>
        <v>0</v>
      </c>
      <c r="Q163" s="12">
        <f t="shared" si="51"/>
        <v>0</v>
      </c>
      <c r="R163" s="13"/>
      <c r="V163" s="12">
        <f>-P163</f>
        <v>0</v>
      </c>
      <c r="W163" s="12"/>
      <c r="X163" s="10"/>
      <c r="Y163" s="10"/>
      <c r="Z163" s="10"/>
      <c r="AA163" s="10">
        <f>+Z163+X163+Y163</f>
        <v>0</v>
      </c>
      <c r="AB163" s="10">
        <f t="shared" si="44"/>
        <v>0</v>
      </c>
    </row>
    <row r="164" spans="1:30" s="6" customFormat="1">
      <c r="A164" s="6">
        <f t="shared" si="41"/>
        <v>155</v>
      </c>
      <c r="B164" s="9" t="s">
        <v>158</v>
      </c>
      <c r="C164" s="11">
        <f>72664189.67-5006303</f>
        <v>67657886.670000002</v>
      </c>
      <c r="D164" s="11">
        <f>74774765.4-5006303</f>
        <v>69768462.400000006</v>
      </c>
      <c r="E164" s="11">
        <f>72847484.07-5006303</f>
        <v>67841181.069999993</v>
      </c>
      <c r="F164" s="11">
        <f>71994378.32-5006303</f>
        <v>66988075.319999993</v>
      </c>
      <c r="G164" s="11">
        <f>72885966.49-5006303</f>
        <v>67879663.489999995</v>
      </c>
      <c r="H164" s="11">
        <f>71837293.65-5006303</f>
        <v>66830990.650000006</v>
      </c>
      <c r="I164" s="11">
        <v>220954062.56999999</v>
      </c>
      <c r="J164" s="11">
        <v>220206361.68000001</v>
      </c>
      <c r="K164" s="11">
        <v>226114133.40000001</v>
      </c>
      <c r="L164" s="11">
        <v>234018261.81999999</v>
      </c>
      <c r="M164" s="11">
        <v>232765734.09</v>
      </c>
      <c r="N164" s="11">
        <v>231762825.25</v>
      </c>
      <c r="O164" s="11">
        <v>250531478.09</v>
      </c>
      <c r="P164" s="12">
        <f t="shared" si="50"/>
        <v>155352036.17666668</v>
      </c>
      <c r="Q164" s="12">
        <f t="shared" si="51"/>
        <v>162971769.1525</v>
      </c>
      <c r="R164" s="13">
        <f>+Q164/P164-1</f>
        <v>4.9048169327939428E-2</v>
      </c>
      <c r="V164" s="12">
        <f>-P164</f>
        <v>-155352036.17666668</v>
      </c>
      <c r="W164" s="12"/>
      <c r="X164" s="10">
        <v>-1162664.7540042615</v>
      </c>
      <c r="Y164" s="10">
        <v>-18760144.037662402</v>
      </c>
      <c r="Z164" s="10">
        <f>-P164-X164-Y164</f>
        <v>-135429227.38499999</v>
      </c>
      <c r="AA164" s="10">
        <f>+Z164+X164+Y164</f>
        <v>-155352036.17666668</v>
      </c>
      <c r="AB164" s="10">
        <f t="shared" si="44"/>
        <v>0</v>
      </c>
    </row>
    <row r="165" spans="1:30" s="6" customFormat="1">
      <c r="A165" s="6">
        <f t="shared" si="41"/>
        <v>156</v>
      </c>
      <c r="B165" s="9" t="s">
        <v>159</v>
      </c>
      <c r="C165" s="11">
        <v>65701126.619999997</v>
      </c>
      <c r="D165" s="11">
        <v>108751573.45</v>
      </c>
      <c r="E165" s="11">
        <v>106841696.05</v>
      </c>
      <c r="F165" s="11">
        <v>113687503.95</v>
      </c>
      <c r="G165" s="11">
        <v>113609585.25</v>
      </c>
      <c r="H165" s="11">
        <v>109967135.13</v>
      </c>
      <c r="I165" s="11">
        <v>111258518.58</v>
      </c>
      <c r="J165" s="11">
        <v>108772531.28</v>
      </c>
      <c r="K165" s="11">
        <v>109497473.36</v>
      </c>
      <c r="L165" s="11">
        <v>104231679.76000001</v>
      </c>
      <c r="M165" s="11">
        <v>102056008.28</v>
      </c>
      <c r="N165" s="11">
        <v>99070840</v>
      </c>
      <c r="O165" s="11">
        <v>95416723.430000007</v>
      </c>
      <c r="P165" s="12">
        <f t="shared" si="50"/>
        <v>105691955.84291665</v>
      </c>
      <c r="Q165" s="12">
        <f t="shared" si="51"/>
        <v>106930105.70999999</v>
      </c>
      <c r="R165" s="13">
        <f>+Q165/P165-1</f>
        <v>1.1714702951694189E-2</v>
      </c>
      <c r="V165" s="12">
        <f>-P165</f>
        <v>-105691955.84291665</v>
      </c>
      <c r="W165" s="12"/>
      <c r="X165" s="10">
        <v>-758778.88105654984</v>
      </c>
      <c r="Y165" s="10">
        <v>-46007483.901026793</v>
      </c>
      <c r="Z165" s="10">
        <f>-P165-X165-Y165</f>
        <v>-58925693.060833313</v>
      </c>
      <c r="AA165" s="10">
        <f>+Z165+X165+Y165</f>
        <v>-105691955.84291665</v>
      </c>
      <c r="AB165" s="10">
        <f t="shared" si="44"/>
        <v>0</v>
      </c>
    </row>
    <row r="166" spans="1:30" s="6" customFormat="1">
      <c r="A166" s="6">
        <f t="shared" si="41"/>
        <v>157</v>
      </c>
      <c r="B166" s="9" t="s">
        <v>160</v>
      </c>
      <c r="C166" s="11">
        <v>0</v>
      </c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2">
        <f t="shared" si="50"/>
        <v>0</v>
      </c>
      <c r="Q166" s="12">
        <f t="shared" si="51"/>
        <v>0</v>
      </c>
      <c r="R166" s="13"/>
      <c r="W166" s="12">
        <f>+P166</f>
        <v>0</v>
      </c>
      <c r="X166" s="10"/>
      <c r="Y166" s="10"/>
      <c r="Z166" s="10"/>
      <c r="AA166" s="10"/>
      <c r="AB166" s="10">
        <f t="shared" si="44"/>
        <v>0</v>
      </c>
    </row>
    <row r="167" spans="1:30" s="6" customFormat="1">
      <c r="A167" s="6">
        <f t="shared" si="41"/>
        <v>158</v>
      </c>
      <c r="B167" s="9" t="s">
        <v>161</v>
      </c>
      <c r="C167" s="11">
        <v>121387549</v>
      </c>
      <c r="D167" s="11">
        <v>121387549</v>
      </c>
      <c r="E167" s="11">
        <v>121387549</v>
      </c>
      <c r="F167" s="11">
        <v>124263793</v>
      </c>
      <c r="G167" s="11">
        <v>124263793</v>
      </c>
      <c r="H167" s="11">
        <v>124263793</v>
      </c>
      <c r="I167" s="11">
        <v>164676925</v>
      </c>
      <c r="J167" s="11">
        <v>164676925</v>
      </c>
      <c r="K167" s="11">
        <v>164676925</v>
      </c>
      <c r="L167" s="11">
        <v>176915013</v>
      </c>
      <c r="M167" s="11">
        <v>176915013</v>
      </c>
      <c r="N167" s="11">
        <v>176915013</v>
      </c>
      <c r="O167" s="11">
        <v>178288826</v>
      </c>
      <c r="P167" s="12">
        <f t="shared" si="50"/>
        <v>149181706.54166666</v>
      </c>
      <c r="Q167" s="12">
        <f t="shared" si="51"/>
        <v>151552593.08333334</v>
      </c>
      <c r="R167" s="13"/>
      <c r="V167" s="12">
        <f>-P167</f>
        <v>-149181706.54166666</v>
      </c>
      <c r="W167" s="12"/>
      <c r="X167" s="10">
        <v>-11999275.622084361</v>
      </c>
      <c r="Y167" s="10">
        <v>-137182430.91958165</v>
      </c>
      <c r="Z167" s="10">
        <f>-P167-X167-Y167</f>
        <v>-6.5565109252929688E-7</v>
      </c>
      <c r="AA167" s="10">
        <f>+Z167+X167+Y167</f>
        <v>-149181706.54166666</v>
      </c>
      <c r="AB167" s="10">
        <f t="shared" si="44"/>
        <v>0</v>
      </c>
    </row>
    <row r="168" spans="1:30" s="6" customFormat="1">
      <c r="A168" s="6">
        <f t="shared" si="41"/>
        <v>159</v>
      </c>
      <c r="B168" s="9" t="s">
        <v>162</v>
      </c>
      <c r="C168" s="11">
        <v>3320044435</v>
      </c>
      <c r="D168" s="11">
        <v>3320044435</v>
      </c>
      <c r="E168" s="11">
        <v>3320044435</v>
      </c>
      <c r="F168" s="11">
        <v>3459215369</v>
      </c>
      <c r="G168" s="11">
        <v>3459215369</v>
      </c>
      <c r="H168" s="11">
        <v>3459215369</v>
      </c>
      <c r="I168" s="11">
        <v>3505053651</v>
      </c>
      <c r="J168" s="11">
        <v>3505053651</v>
      </c>
      <c r="K168" s="11">
        <v>3505053651</v>
      </c>
      <c r="L168" s="11">
        <v>3569466508</v>
      </c>
      <c r="M168" s="11">
        <v>3569466508</v>
      </c>
      <c r="N168" s="11">
        <v>3569466508</v>
      </c>
      <c r="O168" s="11">
        <v>3656020881</v>
      </c>
      <c r="P168" s="12">
        <f t="shared" si="50"/>
        <v>3477444009.3333335</v>
      </c>
      <c r="Q168" s="12">
        <f t="shared" si="51"/>
        <v>3491443027.9166665</v>
      </c>
      <c r="R168" s="13">
        <f>+Q168/P168-1</f>
        <v>4.0256632589223962E-3</v>
      </c>
      <c r="V168" s="12">
        <f>-P168</f>
        <v>-3477444009.3333335</v>
      </c>
      <c r="W168" s="12"/>
      <c r="X168" s="10">
        <v>-195201077.47738743</v>
      </c>
      <c r="Y168" s="10">
        <v>-2977434322.3142791</v>
      </c>
      <c r="Z168" s="10">
        <f>-P168-X168-Y168</f>
        <v>-304808609.54166698</v>
      </c>
      <c r="AA168" s="10">
        <f>+Z168+X168+Y168</f>
        <v>-3477444009.3333335</v>
      </c>
      <c r="AB168" s="10">
        <f t="shared" si="44"/>
        <v>0</v>
      </c>
    </row>
    <row r="169" spans="1:30" s="6" customFormat="1">
      <c r="A169" s="6">
        <f t="shared" si="41"/>
        <v>160</v>
      </c>
      <c r="B169" s="9" t="s">
        <v>163</v>
      </c>
      <c r="C169" s="11">
        <v>676562701.94000006</v>
      </c>
      <c r="D169" s="11">
        <v>676562701.94000006</v>
      </c>
      <c r="E169" s="11">
        <v>676562701.94000006</v>
      </c>
      <c r="F169" s="11">
        <v>676503404.94000006</v>
      </c>
      <c r="G169" s="11">
        <v>676503404.94000006</v>
      </c>
      <c r="H169" s="11">
        <v>676503404.94000006</v>
      </c>
      <c r="I169" s="11">
        <v>746721739.78999996</v>
      </c>
      <c r="J169" s="11">
        <v>746721739.78999996</v>
      </c>
      <c r="K169" s="11">
        <v>746721739.78999996</v>
      </c>
      <c r="L169" s="11">
        <v>753949565.78999996</v>
      </c>
      <c r="M169" s="11">
        <v>753949565.78999996</v>
      </c>
      <c r="N169" s="11">
        <v>753949565.78999996</v>
      </c>
      <c r="O169" s="11">
        <v>728380439.78999996</v>
      </c>
      <c r="P169" s="12">
        <f t="shared" si="50"/>
        <v>715593425.52541673</v>
      </c>
      <c r="Q169" s="12">
        <f t="shared" si="51"/>
        <v>717752497.93583333</v>
      </c>
      <c r="R169" s="13">
        <f>+Q169/P169-1</f>
        <v>3.0171775388116995E-3</v>
      </c>
      <c r="U169" s="42">
        <v>253329896.83333337</v>
      </c>
      <c r="V169" s="12">
        <f>-P169+U169</f>
        <v>-462263528.69208336</v>
      </c>
      <c r="W169" s="12"/>
      <c r="X169" s="10">
        <v>-7603672.7816935303</v>
      </c>
      <c r="Y169" s="10">
        <v>-95547325.74372305</v>
      </c>
      <c r="Z169" s="10">
        <f>-P169-X169-Y169+U169</f>
        <v>-359112530.16666675</v>
      </c>
      <c r="AA169" s="10">
        <f>+Z169+X169+Y169</f>
        <v>-462263528.6920833</v>
      </c>
      <c r="AB169" s="10">
        <f t="shared" si="44"/>
        <v>0</v>
      </c>
    </row>
    <row r="170" spans="1:30" s="6" customFormat="1">
      <c r="A170" s="6">
        <f t="shared" si="41"/>
        <v>161</v>
      </c>
      <c r="B170" s="9" t="s">
        <v>164</v>
      </c>
      <c r="C170" s="11">
        <f t="shared" ref="C170:O170" si="52">SUM(C161:C169)</f>
        <v>4319143361.8699999</v>
      </c>
      <c r="D170" s="11">
        <f t="shared" si="52"/>
        <v>4364453150.8899994</v>
      </c>
      <c r="E170" s="11">
        <f t="shared" si="52"/>
        <v>4359172962.9400005</v>
      </c>
      <c r="F170" s="11">
        <f t="shared" si="52"/>
        <v>4506703650.8699999</v>
      </c>
      <c r="G170" s="11">
        <f t="shared" si="52"/>
        <v>4506391274.2399998</v>
      </c>
      <c r="H170" s="11">
        <f t="shared" si="52"/>
        <v>4501962794.5100002</v>
      </c>
      <c r="I170" s="11">
        <f t="shared" si="52"/>
        <v>4812367323.1800003</v>
      </c>
      <c r="J170" s="11">
        <f t="shared" si="52"/>
        <v>4808843776.4799995</v>
      </c>
      <c r="K170" s="11">
        <f t="shared" si="52"/>
        <v>4810260929.71</v>
      </c>
      <c r="L170" s="11">
        <f t="shared" si="52"/>
        <v>4896374756.9499998</v>
      </c>
      <c r="M170" s="11">
        <f t="shared" si="52"/>
        <v>4894602790.6999998</v>
      </c>
      <c r="N170" s="11">
        <f t="shared" si="52"/>
        <v>4890341544.2200003</v>
      </c>
      <c r="O170" s="11">
        <f t="shared" si="52"/>
        <v>4967526042.5</v>
      </c>
      <c r="P170" s="14">
        <f>SUBTOTAL(9,P161:P169)</f>
        <v>4666234138.072917</v>
      </c>
      <c r="Q170" s="12">
        <f t="shared" si="51"/>
        <v>4693250083.0991669</v>
      </c>
      <c r="R170" s="13">
        <f>+Q170/P170-1</f>
        <v>5.7896676906588063E-3</v>
      </c>
      <c r="T170"/>
      <c r="U170"/>
      <c r="V170"/>
      <c r="W170"/>
      <c r="X170"/>
      <c r="Y170"/>
      <c r="Z170"/>
      <c r="AA170"/>
      <c r="AB170" s="10">
        <f t="shared" si="44"/>
        <v>0</v>
      </c>
      <c r="AC170"/>
      <c r="AD170"/>
    </row>
    <row r="171" spans="1:30" s="6" customFormat="1">
      <c r="A171" s="6">
        <f t="shared" si="41"/>
        <v>162</v>
      </c>
      <c r="B171" s="9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8"/>
      <c r="Q171" s="12"/>
      <c r="R171" s="13"/>
      <c r="V171" s="18"/>
      <c r="W171" s="12"/>
      <c r="X171" s="10"/>
      <c r="Y171" s="10"/>
      <c r="Z171" s="10"/>
      <c r="AA171" s="10"/>
      <c r="AB171" s="10"/>
    </row>
    <row r="172" spans="1:30" s="6" customFormat="1" ht="16.5" thickBot="1">
      <c r="A172" s="6">
        <f t="shared" si="41"/>
        <v>163</v>
      </c>
      <c r="B172" s="21" t="s">
        <v>165</v>
      </c>
      <c r="C172" s="22">
        <f>SUM(C170,C158,C138,C126,C117)</f>
        <v>19953307084.610001</v>
      </c>
      <c r="D172" s="22">
        <f t="shared" ref="D172:O172" si="53">SUM(D170,D158,D138,D126,D117)</f>
        <v>20075921717.969997</v>
      </c>
      <c r="E172" s="22">
        <f t="shared" si="53"/>
        <v>20096986112.93</v>
      </c>
      <c r="F172" s="22">
        <f t="shared" si="53"/>
        <v>20235602915.329998</v>
      </c>
      <c r="G172" s="22">
        <f t="shared" si="53"/>
        <v>20263532743.539997</v>
      </c>
      <c r="H172" s="22">
        <f t="shared" si="53"/>
        <v>20309775369.610001</v>
      </c>
      <c r="I172" s="22">
        <f t="shared" si="53"/>
        <v>20818161762.669998</v>
      </c>
      <c r="J172" s="22">
        <f t="shared" si="53"/>
        <v>20859021609.669998</v>
      </c>
      <c r="K172" s="22">
        <f t="shared" si="53"/>
        <v>20854899034.559998</v>
      </c>
      <c r="L172" s="22">
        <f t="shared" si="53"/>
        <v>21005250463.389999</v>
      </c>
      <c r="M172" s="22">
        <f t="shared" si="53"/>
        <v>20965882945.720001</v>
      </c>
      <c r="N172" s="22">
        <f t="shared" si="53"/>
        <v>21008000084.279999</v>
      </c>
      <c r="O172" s="22">
        <f t="shared" si="53"/>
        <v>21141063731.309998</v>
      </c>
      <c r="P172" s="30">
        <f>SUBTOTAL(9,P101:P170)</f>
        <v>20586685013.969166</v>
      </c>
      <c r="Q172" s="23">
        <f>AVERAGE(D172:O172)</f>
        <v>20636174874.248333</v>
      </c>
      <c r="R172" s="13">
        <f>+Q172/P172-1</f>
        <v>2.4039742311880996E-3</v>
      </c>
      <c r="T172" s="30">
        <f t="shared" ref="T172:Z172" si="54">SUBTOTAL(9,T101:T170)</f>
        <v>0</v>
      </c>
      <c r="U172" s="30">
        <f t="shared" si="54"/>
        <v>1474892051.8695836</v>
      </c>
      <c r="V172" s="30">
        <f t="shared" si="54"/>
        <v>-4976484661.7520838</v>
      </c>
      <c r="W172" s="30">
        <f t="shared" si="54"/>
        <v>14135308300.347498</v>
      </c>
      <c r="X172" s="30">
        <f t="shared" si="54"/>
        <v>-218280432.95146596</v>
      </c>
      <c r="Y172" s="30">
        <f t="shared" si="54"/>
        <v>-3353976431.0201998</v>
      </c>
      <c r="Z172" s="30">
        <f t="shared" si="54"/>
        <v>-1404227797.7804177</v>
      </c>
      <c r="AA172" s="10"/>
      <c r="AB172" s="10"/>
    </row>
    <row r="173" spans="1:30" s="6" customFormat="1">
      <c r="A173" s="6">
        <f t="shared" si="41"/>
        <v>164</v>
      </c>
      <c r="B173" s="31" t="s">
        <v>166</v>
      </c>
      <c r="C173" s="26" t="s">
        <v>167</v>
      </c>
      <c r="D173" s="26" t="s">
        <v>167</v>
      </c>
      <c r="E173" s="26" t="s">
        <v>167</v>
      </c>
      <c r="F173" s="26" t="s">
        <v>167</v>
      </c>
      <c r="G173" s="26" t="s">
        <v>167</v>
      </c>
      <c r="H173" s="26" t="s">
        <v>167</v>
      </c>
      <c r="I173" s="26" t="s">
        <v>167</v>
      </c>
      <c r="J173" s="26" t="s">
        <v>167</v>
      </c>
      <c r="K173" s="26" t="s">
        <v>167</v>
      </c>
      <c r="L173" s="26" t="s">
        <v>167</v>
      </c>
      <c r="M173" s="26" t="s">
        <v>167</v>
      </c>
      <c r="N173" s="26" t="s">
        <v>167</v>
      </c>
      <c r="O173" s="26" t="s">
        <v>167</v>
      </c>
      <c r="P173" s="27">
        <f>+W172+U172-V172-T172</f>
        <v>20586685013.969166</v>
      </c>
      <c r="Q173" s="12">
        <f>+Q96-Q172</f>
        <v>0</v>
      </c>
      <c r="X173" s="10"/>
      <c r="Y173" s="10"/>
      <c r="Z173" s="10"/>
      <c r="AA173" s="10"/>
      <c r="AB173" s="10"/>
    </row>
    <row r="174" spans="1:30" s="6" customFormat="1">
      <c r="A174" s="6">
        <f t="shared" si="41"/>
        <v>165</v>
      </c>
      <c r="B174" s="32" t="s">
        <v>168</v>
      </c>
      <c r="C174" s="26">
        <f>C96-C172</f>
        <v>0</v>
      </c>
      <c r="D174" s="26">
        <f t="shared" ref="D174:O174" si="55">D96-D172</f>
        <v>0</v>
      </c>
      <c r="E174" s="26">
        <f t="shared" si="55"/>
        <v>0</v>
      </c>
      <c r="F174" s="26">
        <f t="shared" si="55"/>
        <v>0</v>
      </c>
      <c r="G174" s="26">
        <f t="shared" si="55"/>
        <v>0</v>
      </c>
      <c r="H174" s="26">
        <f t="shared" si="55"/>
        <v>0</v>
      </c>
      <c r="I174" s="26">
        <f t="shared" si="55"/>
        <v>0</v>
      </c>
      <c r="J174" s="26">
        <f t="shared" si="55"/>
        <v>0</v>
      </c>
      <c r="K174" s="26">
        <f t="shared" si="55"/>
        <v>0</v>
      </c>
      <c r="L174" s="26">
        <f t="shared" si="55"/>
        <v>0</v>
      </c>
      <c r="M174" s="26">
        <f t="shared" si="55"/>
        <v>0</v>
      </c>
      <c r="N174" s="26">
        <f t="shared" si="55"/>
        <v>0</v>
      </c>
      <c r="O174" s="26">
        <f t="shared" si="55"/>
        <v>0</v>
      </c>
      <c r="P174" s="12">
        <f>-P173+P97</f>
        <v>0</v>
      </c>
      <c r="Q174" s="12"/>
      <c r="X174" s="10"/>
      <c r="Y174" s="10"/>
      <c r="Z174" s="10"/>
      <c r="AA174" s="10"/>
      <c r="AB174" s="10"/>
    </row>
    <row r="175" spans="1:30" s="6" customFormat="1">
      <c r="A175" s="6">
        <f t="shared" si="41"/>
        <v>166</v>
      </c>
      <c r="B175" s="21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12"/>
      <c r="Q175" s="12"/>
      <c r="X175" s="10"/>
      <c r="Y175" s="10"/>
      <c r="Z175" s="10"/>
      <c r="AA175" s="10"/>
      <c r="AB175" s="10"/>
    </row>
    <row r="176" spans="1:30" s="6" customFormat="1">
      <c r="A176" s="6">
        <f t="shared" si="41"/>
        <v>167</v>
      </c>
      <c r="B176" s="9" t="s">
        <v>169</v>
      </c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33"/>
      <c r="Q176" s="12"/>
      <c r="T176" s="10">
        <f>SUBTOTAL(9,T10:T172)</f>
        <v>1968261911.6447227</v>
      </c>
      <c r="U176" s="10">
        <f>SUBTOTAL(9,U10:U172)</f>
        <v>1474892051.8695836</v>
      </c>
      <c r="AB176" s="10"/>
    </row>
    <row r="177" spans="1:28" s="6" customFormat="1">
      <c r="A177" s="6">
        <f t="shared" si="41"/>
        <v>168</v>
      </c>
      <c r="P177" s="33"/>
      <c r="T177" s="10"/>
      <c r="AB177" s="10"/>
    </row>
    <row r="178" spans="1:28" s="6" customFormat="1">
      <c r="A178" s="6">
        <f t="shared" si="41"/>
        <v>169</v>
      </c>
      <c r="B178" s="34" t="s">
        <v>170</v>
      </c>
      <c r="T178" s="10"/>
      <c r="V178" s="35">
        <f>SUBTOTAL(9,V10:V172)</f>
        <v>13596452785.374008</v>
      </c>
      <c r="W178" s="35">
        <f>SUBTOTAL(9,W10:W172)</f>
        <v>14089822645.149166</v>
      </c>
      <c r="X178" s="10">
        <f>SUBTOTAL(9,X10:X172)</f>
        <v>785246255.23172605</v>
      </c>
      <c r="Y178" s="10">
        <f>SUBTOTAL(9,Y10:Y172)</f>
        <v>11385291216.386621</v>
      </c>
      <c r="Z178" s="10">
        <f>SUBTOTAL(9,Z10:Z172)</f>
        <v>1425915313.7556775</v>
      </c>
      <c r="AA178" s="10">
        <f>+Z178+Y178+X178</f>
        <v>13596452785.374025</v>
      </c>
      <c r="AB178" s="10"/>
    </row>
    <row r="179" spans="1:28" s="6" customFormat="1">
      <c r="A179" s="6">
        <f t="shared" si="41"/>
        <v>170</v>
      </c>
      <c r="B179" s="34" t="s">
        <v>171</v>
      </c>
      <c r="T179" s="10"/>
      <c r="V179" s="10"/>
      <c r="W179" s="27">
        <f>+W178-V178</f>
        <v>493369859.77515793</v>
      </c>
      <c r="X179" s="10"/>
      <c r="Y179" s="10"/>
      <c r="Z179" s="10"/>
      <c r="AA179" s="10"/>
      <c r="AB179" s="10"/>
    </row>
    <row r="180" spans="1:28" s="6" customFormat="1">
      <c r="A180" s="6">
        <f t="shared" si="41"/>
        <v>171</v>
      </c>
      <c r="B180" s="6" t="s">
        <v>172</v>
      </c>
      <c r="V180" s="31" t="s">
        <v>173</v>
      </c>
      <c r="W180" s="36"/>
      <c r="X180" s="13">
        <f>+X178/$AA$178</f>
        <v>5.7753758838954748E-2</v>
      </c>
      <c r="Y180" s="13">
        <f>+Y178/$AA$178</f>
        <v>0.83737217317696311</v>
      </c>
      <c r="Z180" s="13">
        <f>+Z178/$AA$178</f>
        <v>0.10487406798408207</v>
      </c>
      <c r="AA180" s="10"/>
      <c r="AB180" s="10"/>
    </row>
    <row r="181" spans="1:28" s="6" customFormat="1">
      <c r="A181" s="6">
        <f t="shared" si="41"/>
        <v>172</v>
      </c>
      <c r="B181" s="6" t="s">
        <v>174</v>
      </c>
      <c r="V181" s="25" t="s">
        <v>175</v>
      </c>
      <c r="X181" s="10">
        <f>+W179*X180</f>
        <v>28493963.899863392</v>
      </c>
      <c r="Y181" s="10">
        <f>+Y180*W179</f>
        <v>413134191.65993756</v>
      </c>
      <c r="Z181" s="10">
        <f>+Z180*W179</f>
        <v>51741704.215356946</v>
      </c>
      <c r="AA181" s="10">
        <f>+Z181+Y181+X181</f>
        <v>493369859.77515793</v>
      </c>
      <c r="AB181" s="10"/>
    </row>
    <row r="182" spans="1:28" s="6" customFormat="1">
      <c r="A182" s="6">
        <f t="shared" si="41"/>
        <v>173</v>
      </c>
      <c r="AB182" s="10"/>
    </row>
    <row r="183" spans="1:28" s="6" customFormat="1">
      <c r="A183" s="6">
        <f t="shared" si="41"/>
        <v>174</v>
      </c>
      <c r="W183" s="6" t="s">
        <v>176</v>
      </c>
      <c r="X183" s="10">
        <f>+X178</f>
        <v>785246255.23172605</v>
      </c>
      <c r="Y183" s="10">
        <f>+Y178</f>
        <v>11385291216.386621</v>
      </c>
      <c r="Z183" s="10">
        <f>+Z178</f>
        <v>1425915313.7556775</v>
      </c>
      <c r="AA183" s="10">
        <f>SUM(X183:Z183)</f>
        <v>13596452785.374025</v>
      </c>
      <c r="AB183" s="10"/>
    </row>
    <row r="184" spans="1:28" s="6" customFormat="1" ht="16.5" thickBot="1">
      <c r="A184" s="6">
        <f t="shared" si="41"/>
        <v>175</v>
      </c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V184" s="1"/>
      <c r="W184" s="6" t="s">
        <v>177</v>
      </c>
      <c r="X184" s="10">
        <f>+X180*W178</f>
        <v>813740219.13158846</v>
      </c>
      <c r="Y184" s="10">
        <f>+Y180*W178</f>
        <v>11798425408.046543</v>
      </c>
      <c r="Z184" s="10">
        <f>+Z180*W178</f>
        <v>1477657017.9710326</v>
      </c>
      <c r="AA184" s="10">
        <f>SUM(X184:Z184)</f>
        <v>14089822645.149164</v>
      </c>
      <c r="AB184" s="10"/>
    </row>
    <row r="185" spans="1:28" s="6" customFormat="1" ht="16.5" thickBot="1">
      <c r="A185" s="6">
        <f t="shared" si="41"/>
        <v>176</v>
      </c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2" t="e">
        <f t="shared" ref="Q185:Q248" si="56">AVERAGE(D185:O185)</f>
        <v>#DIV/0!</v>
      </c>
      <c r="V185" s="1"/>
      <c r="W185" s="39" t="s">
        <v>178</v>
      </c>
      <c r="X185" s="40">
        <f>+X184-X183</f>
        <v>28493963.899862409</v>
      </c>
      <c r="Y185" s="10">
        <f>+Y184-Y183</f>
        <v>413134191.65992165</v>
      </c>
      <c r="Z185" s="10">
        <f>+Z184-Z183</f>
        <v>51741704.215355158</v>
      </c>
      <c r="AA185" s="10">
        <f>SUM(X185:Z185)</f>
        <v>493369859.77513921</v>
      </c>
      <c r="AB185" s="10"/>
    </row>
    <row r="186" spans="1:28" s="6" customFormat="1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2" t="e">
        <f t="shared" si="56"/>
        <v>#DIV/0!</v>
      </c>
      <c r="AB186" s="10"/>
    </row>
    <row r="187" spans="1:28" s="6" customFormat="1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2" t="e">
        <f t="shared" si="56"/>
        <v>#DIV/0!</v>
      </c>
      <c r="X187" s="37"/>
      <c r="AB187" s="10"/>
    </row>
    <row r="188" spans="1:28" s="6" customFormat="1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2" t="e">
        <f t="shared" si="56"/>
        <v>#DIV/0!</v>
      </c>
      <c r="V188" s="1"/>
      <c r="W188" s="1"/>
      <c r="X188" s="1"/>
      <c r="Y188" s="10"/>
      <c r="Z188" s="10"/>
      <c r="AA188" s="10"/>
      <c r="AB188" s="10"/>
    </row>
    <row r="189" spans="1:28" s="6" customFormat="1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2" t="e">
        <f t="shared" si="56"/>
        <v>#DIV/0!</v>
      </c>
      <c r="X189" s="10"/>
      <c r="Y189" s="10"/>
      <c r="Z189" s="10"/>
      <c r="AA189" s="10"/>
      <c r="AB189" s="10"/>
    </row>
    <row r="190" spans="1:28" s="6" customFormat="1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2" t="e">
        <f t="shared" si="56"/>
        <v>#DIV/0!</v>
      </c>
      <c r="X190" s="10"/>
      <c r="Y190" s="10"/>
      <c r="Z190" s="10"/>
      <c r="AA190" s="10"/>
      <c r="AB190" s="10"/>
    </row>
    <row r="191" spans="1:28" s="6" customFormat="1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2" t="e">
        <f t="shared" si="56"/>
        <v>#DIV/0!</v>
      </c>
      <c r="X191" s="10"/>
      <c r="Y191" s="10"/>
      <c r="Z191" s="10"/>
      <c r="AA191" s="10"/>
      <c r="AB191" s="10"/>
    </row>
    <row r="192" spans="1:28" s="6" customFormat="1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2" t="e">
        <f t="shared" si="56"/>
        <v>#DIV/0!</v>
      </c>
      <c r="AB192" s="10"/>
    </row>
    <row r="193" spans="2:28" s="6" customFormat="1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2" t="e">
        <f t="shared" si="56"/>
        <v>#DIV/0!</v>
      </c>
      <c r="AB193" s="10"/>
    </row>
    <row r="194" spans="2:28" s="6" customFormat="1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2" t="e">
        <f t="shared" si="56"/>
        <v>#DIV/0!</v>
      </c>
      <c r="AB194" s="10"/>
    </row>
    <row r="195" spans="2:28" s="6" customFormat="1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2" t="e">
        <f t="shared" si="56"/>
        <v>#DIV/0!</v>
      </c>
      <c r="X195" s="15"/>
      <c r="Y195" s="15"/>
      <c r="Z195" s="10"/>
      <c r="AA195" s="10"/>
      <c r="AB195" s="10"/>
    </row>
    <row r="196" spans="2:28" s="6" customFormat="1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2" t="e">
        <f t="shared" si="56"/>
        <v>#DIV/0!</v>
      </c>
      <c r="X196" s="10"/>
      <c r="Y196" s="10"/>
      <c r="Z196" s="10"/>
      <c r="AA196" s="10"/>
      <c r="AB196" s="10"/>
    </row>
    <row r="197" spans="2:28" s="6" customFormat="1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2" t="e">
        <f t="shared" si="56"/>
        <v>#DIV/0!</v>
      </c>
      <c r="X197" s="10"/>
      <c r="Y197" s="10"/>
      <c r="Z197" s="10"/>
      <c r="AA197" s="10"/>
      <c r="AB197" s="10"/>
    </row>
    <row r="198" spans="2:28" s="6" customFormat="1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2" t="e">
        <f t="shared" si="56"/>
        <v>#DIV/0!</v>
      </c>
      <c r="X198" s="10"/>
      <c r="Y198" s="10"/>
      <c r="Z198" s="10"/>
      <c r="AA198" s="10"/>
      <c r="AB198" s="10"/>
    </row>
    <row r="199" spans="2:28" s="6" customFormat="1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2" t="e">
        <f t="shared" si="56"/>
        <v>#DIV/0!</v>
      </c>
      <c r="X199" s="10"/>
      <c r="Y199" s="10"/>
      <c r="Z199" s="10"/>
      <c r="AA199" s="10"/>
      <c r="AB199" s="10"/>
    </row>
    <row r="200" spans="2:28" s="6" customFormat="1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2" t="e">
        <f t="shared" si="56"/>
        <v>#DIV/0!</v>
      </c>
      <c r="X200" s="10"/>
      <c r="Y200" s="10"/>
      <c r="Z200" s="10"/>
      <c r="AA200" s="10"/>
      <c r="AB200" s="10"/>
    </row>
    <row r="201" spans="2:28" s="6" customFormat="1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2" t="e">
        <f t="shared" si="56"/>
        <v>#DIV/0!</v>
      </c>
      <c r="X201" s="10"/>
      <c r="Y201" s="10"/>
      <c r="Z201" s="10"/>
      <c r="AA201" s="10"/>
      <c r="AB201" s="10"/>
    </row>
    <row r="202" spans="2:28" s="6" customFormat="1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2" t="e">
        <f t="shared" si="56"/>
        <v>#DIV/0!</v>
      </c>
      <c r="X202" s="10"/>
      <c r="Y202" s="10"/>
      <c r="Z202" s="10"/>
      <c r="AA202" s="10"/>
      <c r="AB202" s="10"/>
    </row>
    <row r="203" spans="2:28" s="6" customFormat="1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2" t="e">
        <f t="shared" si="56"/>
        <v>#DIV/0!</v>
      </c>
      <c r="X203" s="10"/>
      <c r="Y203" s="10"/>
      <c r="Z203" s="10"/>
      <c r="AA203" s="10"/>
      <c r="AB203" s="10"/>
    </row>
    <row r="204" spans="2:28" s="6" customFormat="1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2" t="e">
        <f t="shared" si="56"/>
        <v>#DIV/0!</v>
      </c>
      <c r="X204" s="10"/>
      <c r="Y204" s="10"/>
      <c r="Z204" s="10"/>
      <c r="AA204" s="10"/>
      <c r="AB204" s="10"/>
    </row>
    <row r="205" spans="2:28" s="6" customFormat="1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2" t="e">
        <f t="shared" si="56"/>
        <v>#DIV/0!</v>
      </c>
      <c r="X205" s="10"/>
      <c r="Y205" s="10"/>
      <c r="Z205" s="10"/>
      <c r="AA205" s="10"/>
      <c r="AB205" s="10"/>
    </row>
    <row r="206" spans="2:28" s="6" customFormat="1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2" t="e">
        <f t="shared" si="56"/>
        <v>#DIV/0!</v>
      </c>
      <c r="X206" s="10"/>
      <c r="Y206" s="10"/>
      <c r="Z206" s="10"/>
      <c r="AA206" s="10"/>
      <c r="AB206" s="10"/>
    </row>
    <row r="207" spans="2:28" s="6" customFormat="1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2" t="e">
        <f t="shared" si="56"/>
        <v>#DIV/0!</v>
      </c>
      <c r="X207" s="10"/>
      <c r="Y207" s="10"/>
      <c r="Z207" s="10"/>
      <c r="AA207" s="10"/>
      <c r="AB207" s="10"/>
    </row>
    <row r="208" spans="2:28" s="6" customFormat="1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2" t="e">
        <f t="shared" si="56"/>
        <v>#DIV/0!</v>
      </c>
      <c r="X208" s="10"/>
      <c r="Y208" s="10"/>
      <c r="Z208" s="10"/>
      <c r="AA208" s="10"/>
      <c r="AB208" s="10"/>
    </row>
    <row r="209" spans="2:28" s="6" customFormat="1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2" t="e">
        <f t="shared" si="56"/>
        <v>#DIV/0!</v>
      </c>
      <c r="X209" s="10"/>
      <c r="Y209" s="10"/>
      <c r="Z209" s="10"/>
      <c r="AA209" s="10"/>
      <c r="AB209" s="10"/>
    </row>
    <row r="210" spans="2:28" s="6" customFormat="1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2" t="e">
        <f t="shared" si="56"/>
        <v>#DIV/0!</v>
      </c>
      <c r="X210" s="10"/>
      <c r="Y210" s="10"/>
      <c r="Z210" s="10"/>
      <c r="AA210" s="10"/>
      <c r="AB210" s="10"/>
    </row>
    <row r="211" spans="2:28" s="6" customFormat="1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2" t="e">
        <f t="shared" si="56"/>
        <v>#DIV/0!</v>
      </c>
      <c r="X211" s="10"/>
      <c r="Y211" s="10"/>
      <c r="Z211" s="10"/>
      <c r="AA211" s="10"/>
      <c r="AB211" s="10"/>
    </row>
    <row r="212" spans="2:28" s="6" customFormat="1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2" t="e">
        <f t="shared" si="56"/>
        <v>#DIV/0!</v>
      </c>
      <c r="X212" s="10"/>
      <c r="Y212" s="10"/>
      <c r="Z212" s="10"/>
      <c r="AA212" s="10"/>
      <c r="AB212" s="10"/>
    </row>
    <row r="213" spans="2:28" s="6" customFormat="1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2" t="e">
        <f t="shared" si="56"/>
        <v>#DIV/0!</v>
      </c>
      <c r="X213" s="10"/>
      <c r="Y213" s="10"/>
      <c r="Z213" s="10"/>
      <c r="AA213" s="10"/>
      <c r="AB213" s="10"/>
    </row>
    <row r="214" spans="2:28" s="6" customFormat="1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2" t="e">
        <f t="shared" si="56"/>
        <v>#DIV/0!</v>
      </c>
      <c r="X214" s="10"/>
      <c r="Y214" s="10"/>
      <c r="Z214" s="10"/>
      <c r="AA214" s="10"/>
      <c r="AB214" s="10"/>
    </row>
    <row r="215" spans="2:28" s="6" customFormat="1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2" t="e">
        <f t="shared" si="56"/>
        <v>#DIV/0!</v>
      </c>
      <c r="X215" s="10"/>
      <c r="Y215" s="10"/>
      <c r="Z215" s="10"/>
      <c r="AA215" s="10"/>
      <c r="AB215" s="10"/>
    </row>
    <row r="216" spans="2:28" s="6" customFormat="1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2" t="e">
        <f t="shared" si="56"/>
        <v>#DIV/0!</v>
      </c>
      <c r="X216" s="10"/>
      <c r="Y216" s="10"/>
      <c r="Z216" s="10"/>
      <c r="AA216" s="10"/>
      <c r="AB216" s="10"/>
    </row>
    <row r="217" spans="2:28" s="6" customFormat="1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2" t="e">
        <f t="shared" si="56"/>
        <v>#DIV/0!</v>
      </c>
      <c r="X217" s="10"/>
      <c r="Y217" s="10"/>
      <c r="Z217" s="10"/>
      <c r="AA217" s="10"/>
      <c r="AB217" s="10"/>
    </row>
    <row r="218" spans="2:28" s="6" customFormat="1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2" t="e">
        <f t="shared" si="56"/>
        <v>#DIV/0!</v>
      </c>
      <c r="X218" s="10"/>
      <c r="Y218" s="10"/>
      <c r="Z218" s="10"/>
      <c r="AA218" s="10"/>
      <c r="AB218" s="10"/>
    </row>
    <row r="219" spans="2:28" s="6" customFormat="1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2" t="e">
        <f t="shared" si="56"/>
        <v>#DIV/0!</v>
      </c>
      <c r="X219" s="10"/>
      <c r="Y219" s="10"/>
      <c r="Z219" s="10"/>
      <c r="AA219" s="10"/>
      <c r="AB219" s="10"/>
    </row>
    <row r="220" spans="2:28" s="6" customFormat="1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2" t="e">
        <f t="shared" si="56"/>
        <v>#DIV/0!</v>
      </c>
      <c r="X220" s="10"/>
      <c r="Y220" s="10"/>
      <c r="Z220" s="10"/>
      <c r="AA220" s="10"/>
      <c r="AB220" s="10"/>
    </row>
    <row r="221" spans="2:28" s="6" customFormat="1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2" t="e">
        <f t="shared" si="56"/>
        <v>#DIV/0!</v>
      </c>
      <c r="X221" s="10"/>
      <c r="Y221" s="10"/>
      <c r="Z221" s="10"/>
      <c r="AA221" s="10"/>
      <c r="AB221" s="10"/>
    </row>
    <row r="222" spans="2:28" s="6" customFormat="1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2" t="e">
        <f t="shared" si="56"/>
        <v>#DIV/0!</v>
      </c>
      <c r="X222" s="10"/>
      <c r="Y222" s="10"/>
      <c r="Z222" s="10"/>
      <c r="AA222" s="10"/>
      <c r="AB222" s="10"/>
    </row>
    <row r="223" spans="2:28" s="6" customFormat="1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2" t="e">
        <f t="shared" si="56"/>
        <v>#DIV/0!</v>
      </c>
      <c r="X223" s="10"/>
      <c r="Y223" s="10"/>
      <c r="Z223" s="10"/>
      <c r="AA223" s="10"/>
      <c r="AB223" s="10"/>
    </row>
    <row r="224" spans="2:28" s="6" customFormat="1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2" t="e">
        <f t="shared" si="56"/>
        <v>#DIV/0!</v>
      </c>
      <c r="X224" s="10"/>
      <c r="Y224" s="10"/>
      <c r="Z224" s="10"/>
      <c r="AA224" s="10"/>
      <c r="AB224" s="10"/>
    </row>
    <row r="225" spans="2:28" s="6" customFormat="1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2" t="e">
        <f t="shared" si="56"/>
        <v>#DIV/0!</v>
      </c>
      <c r="X225" s="10"/>
      <c r="Y225" s="10"/>
      <c r="Z225" s="10"/>
      <c r="AA225" s="10"/>
      <c r="AB225" s="10"/>
    </row>
    <row r="226" spans="2:28" s="6" customFormat="1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2" t="e">
        <f t="shared" si="56"/>
        <v>#DIV/0!</v>
      </c>
      <c r="X226" s="10"/>
      <c r="Y226" s="10"/>
      <c r="Z226" s="10"/>
      <c r="AA226" s="10"/>
      <c r="AB226" s="10"/>
    </row>
    <row r="227" spans="2:28" s="6" customFormat="1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2" t="e">
        <f t="shared" si="56"/>
        <v>#DIV/0!</v>
      </c>
      <c r="X227" s="10"/>
      <c r="Y227" s="10"/>
      <c r="Z227" s="10"/>
      <c r="AA227" s="10"/>
      <c r="AB227" s="10"/>
    </row>
    <row r="228" spans="2:28" s="6" customFormat="1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2" t="e">
        <f t="shared" si="56"/>
        <v>#DIV/0!</v>
      </c>
      <c r="X228" s="10"/>
      <c r="Y228" s="10"/>
      <c r="Z228" s="10"/>
      <c r="AA228" s="10"/>
      <c r="AB228" s="10"/>
    </row>
    <row r="229" spans="2:28" s="6" customFormat="1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2" t="e">
        <f t="shared" si="56"/>
        <v>#DIV/0!</v>
      </c>
      <c r="X229" s="10"/>
      <c r="Y229" s="10"/>
      <c r="Z229" s="10"/>
      <c r="AA229" s="10"/>
      <c r="AB229" s="10"/>
    </row>
    <row r="230" spans="2:28" s="6" customFormat="1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2" t="e">
        <f t="shared" si="56"/>
        <v>#DIV/0!</v>
      </c>
      <c r="X230" s="10"/>
      <c r="Y230" s="10"/>
      <c r="Z230" s="10"/>
      <c r="AA230" s="10"/>
      <c r="AB230" s="10"/>
    </row>
    <row r="231" spans="2:28" s="6" customFormat="1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2" t="e">
        <f t="shared" si="56"/>
        <v>#DIV/0!</v>
      </c>
      <c r="X231" s="10"/>
      <c r="Y231" s="10"/>
      <c r="Z231" s="10"/>
      <c r="AA231" s="10"/>
      <c r="AB231" s="10"/>
    </row>
    <row r="232" spans="2:28" s="6" customFormat="1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2" t="e">
        <f t="shared" si="56"/>
        <v>#DIV/0!</v>
      </c>
      <c r="X232" s="10"/>
      <c r="Y232" s="10"/>
      <c r="Z232" s="10"/>
      <c r="AA232" s="10"/>
      <c r="AB232" s="10"/>
    </row>
    <row r="233" spans="2:28" s="6" customFormat="1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2" t="e">
        <f t="shared" si="56"/>
        <v>#DIV/0!</v>
      </c>
      <c r="X233" s="10"/>
      <c r="Y233" s="10"/>
      <c r="Z233" s="10"/>
      <c r="AA233" s="10"/>
      <c r="AB233" s="10"/>
    </row>
    <row r="234" spans="2:28" s="6" customFormat="1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2" t="e">
        <f t="shared" si="56"/>
        <v>#DIV/0!</v>
      </c>
      <c r="X234" s="10"/>
      <c r="Y234" s="10"/>
      <c r="Z234" s="10"/>
      <c r="AA234" s="10"/>
      <c r="AB234" s="10"/>
    </row>
    <row r="235" spans="2:28" s="6" customFormat="1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2" t="e">
        <f t="shared" si="56"/>
        <v>#DIV/0!</v>
      </c>
      <c r="X235" s="10"/>
      <c r="Y235" s="10"/>
      <c r="Z235" s="10"/>
      <c r="AA235" s="10"/>
      <c r="AB235" s="10"/>
    </row>
    <row r="236" spans="2:28" s="6" customFormat="1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2" t="e">
        <f t="shared" si="56"/>
        <v>#DIV/0!</v>
      </c>
      <c r="X236" s="10"/>
      <c r="Y236" s="10"/>
      <c r="Z236" s="10"/>
      <c r="AA236" s="10"/>
      <c r="AB236" s="10"/>
    </row>
    <row r="237" spans="2:28" s="6" customFormat="1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2" t="e">
        <f t="shared" si="56"/>
        <v>#DIV/0!</v>
      </c>
      <c r="X237" s="10"/>
      <c r="Y237" s="10"/>
      <c r="Z237" s="10"/>
      <c r="AA237" s="10"/>
      <c r="AB237" s="10"/>
    </row>
    <row r="238" spans="2:28" s="6" customFormat="1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2" t="e">
        <f t="shared" si="56"/>
        <v>#DIV/0!</v>
      </c>
      <c r="X238" s="10"/>
      <c r="Y238" s="10"/>
      <c r="Z238" s="10"/>
      <c r="AA238" s="10"/>
      <c r="AB238" s="10"/>
    </row>
    <row r="239" spans="2:28" s="6" customFormat="1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2" t="e">
        <f t="shared" si="56"/>
        <v>#DIV/0!</v>
      </c>
      <c r="X239" s="10"/>
      <c r="Y239" s="10"/>
      <c r="Z239" s="10"/>
      <c r="AA239" s="10"/>
      <c r="AB239" s="10"/>
    </row>
    <row r="240" spans="2:28" s="6" customFormat="1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2" t="e">
        <f t="shared" si="56"/>
        <v>#DIV/0!</v>
      </c>
      <c r="X240" s="10"/>
      <c r="Y240" s="10"/>
      <c r="Z240" s="10"/>
      <c r="AA240" s="10"/>
      <c r="AB240" s="10"/>
    </row>
    <row r="241" spans="2:28" s="6" customFormat="1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2" t="e">
        <f t="shared" si="56"/>
        <v>#DIV/0!</v>
      </c>
      <c r="X241" s="10"/>
      <c r="Y241" s="10"/>
      <c r="Z241" s="10"/>
      <c r="AA241" s="10"/>
      <c r="AB241" s="10"/>
    </row>
    <row r="242" spans="2:28" s="6" customFormat="1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2" t="e">
        <f t="shared" si="56"/>
        <v>#DIV/0!</v>
      </c>
      <c r="X242" s="10"/>
      <c r="Y242" s="10"/>
      <c r="Z242" s="10"/>
      <c r="AA242" s="10"/>
      <c r="AB242" s="10"/>
    </row>
    <row r="243" spans="2:28" s="6" customFormat="1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2" t="e">
        <f t="shared" si="56"/>
        <v>#DIV/0!</v>
      </c>
      <c r="X243" s="10"/>
      <c r="Y243" s="10"/>
      <c r="Z243" s="10"/>
      <c r="AA243" s="10"/>
      <c r="AB243" s="10"/>
    </row>
    <row r="244" spans="2:28" s="6" customFormat="1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2" t="e">
        <f t="shared" si="56"/>
        <v>#DIV/0!</v>
      </c>
      <c r="X244" s="10"/>
      <c r="Y244" s="10"/>
      <c r="Z244" s="10"/>
      <c r="AA244" s="10"/>
      <c r="AB244" s="10"/>
    </row>
    <row r="245" spans="2:28" s="6" customFormat="1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2" t="e">
        <f t="shared" si="56"/>
        <v>#DIV/0!</v>
      </c>
      <c r="X245" s="10"/>
      <c r="Y245" s="10"/>
      <c r="Z245" s="10"/>
      <c r="AA245" s="10"/>
      <c r="AB245" s="10"/>
    </row>
    <row r="246" spans="2:28" s="6" customFormat="1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2" t="e">
        <f t="shared" si="56"/>
        <v>#DIV/0!</v>
      </c>
      <c r="X246" s="10"/>
      <c r="Y246" s="10"/>
      <c r="Z246" s="10"/>
      <c r="AA246" s="10"/>
      <c r="AB246" s="10"/>
    </row>
    <row r="247" spans="2:28" s="6" customFormat="1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2" t="e">
        <f t="shared" si="56"/>
        <v>#DIV/0!</v>
      </c>
      <c r="X247" s="10"/>
      <c r="Y247" s="10"/>
      <c r="Z247" s="10"/>
      <c r="AA247" s="10"/>
      <c r="AB247" s="10"/>
    </row>
    <row r="248" spans="2:28" s="6" customFormat="1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2" t="e">
        <f t="shared" si="56"/>
        <v>#DIV/0!</v>
      </c>
      <c r="X248" s="10"/>
      <c r="Y248" s="10"/>
      <c r="Z248" s="10"/>
      <c r="AA248" s="10"/>
      <c r="AB248" s="10"/>
    </row>
    <row r="249" spans="2:28" s="6" customFormat="1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2" t="e">
        <f t="shared" ref="Q249:Q262" si="57">AVERAGE(D249:O249)</f>
        <v>#DIV/0!</v>
      </c>
      <c r="X249" s="10"/>
      <c r="Y249" s="10"/>
      <c r="Z249" s="10"/>
      <c r="AA249" s="10"/>
      <c r="AB249" s="10"/>
    </row>
    <row r="250" spans="2:28" s="6" customFormat="1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2" t="e">
        <f t="shared" si="57"/>
        <v>#DIV/0!</v>
      </c>
      <c r="X250" s="10"/>
      <c r="Y250" s="10"/>
      <c r="Z250" s="10"/>
      <c r="AA250" s="10"/>
      <c r="AB250" s="10"/>
    </row>
    <row r="251" spans="2:28" s="6" customFormat="1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2" t="e">
        <f t="shared" si="57"/>
        <v>#DIV/0!</v>
      </c>
      <c r="X251" s="10"/>
      <c r="Y251" s="10"/>
      <c r="Z251" s="10"/>
      <c r="AA251" s="10"/>
      <c r="AB251" s="10"/>
    </row>
    <row r="252" spans="2:28" s="6" customFormat="1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2" t="e">
        <f t="shared" si="57"/>
        <v>#DIV/0!</v>
      </c>
      <c r="X252" s="10"/>
      <c r="Y252" s="10"/>
      <c r="Z252" s="10"/>
      <c r="AA252" s="10"/>
      <c r="AB252" s="10"/>
    </row>
    <row r="253" spans="2:28" s="6" customFormat="1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2" t="e">
        <f t="shared" si="57"/>
        <v>#DIV/0!</v>
      </c>
      <c r="X253" s="10"/>
      <c r="Y253" s="10"/>
      <c r="Z253" s="10"/>
      <c r="AA253" s="10"/>
      <c r="AB253" s="10"/>
    </row>
    <row r="254" spans="2:28" s="6" customFormat="1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2" t="e">
        <f t="shared" si="57"/>
        <v>#DIV/0!</v>
      </c>
      <c r="X254" s="10"/>
      <c r="Y254" s="10"/>
      <c r="Z254" s="10"/>
      <c r="AA254" s="10"/>
      <c r="AB254" s="10"/>
    </row>
    <row r="255" spans="2:28" s="6" customFormat="1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2" t="e">
        <f t="shared" si="57"/>
        <v>#DIV/0!</v>
      </c>
      <c r="X255" s="10"/>
      <c r="Y255" s="10"/>
      <c r="Z255" s="10"/>
      <c r="AA255" s="10"/>
      <c r="AB255" s="10"/>
    </row>
    <row r="256" spans="2:28" s="6" customFormat="1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2" t="e">
        <f t="shared" si="57"/>
        <v>#DIV/0!</v>
      </c>
      <c r="X256" s="10"/>
      <c r="Y256" s="10"/>
      <c r="Z256" s="10"/>
      <c r="AA256" s="10"/>
      <c r="AB256" s="10"/>
    </row>
    <row r="257" spans="2:28" s="6" customFormat="1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2" t="e">
        <f t="shared" si="57"/>
        <v>#DIV/0!</v>
      </c>
      <c r="X257" s="10"/>
      <c r="Y257" s="10"/>
      <c r="Z257" s="10"/>
      <c r="AA257" s="10"/>
      <c r="AB257" s="10"/>
    </row>
    <row r="258" spans="2:28" s="6" customFormat="1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2" t="e">
        <f t="shared" si="57"/>
        <v>#DIV/0!</v>
      </c>
      <c r="X258" s="10"/>
      <c r="Y258" s="10"/>
      <c r="Z258" s="10"/>
      <c r="AA258" s="10"/>
      <c r="AB258" s="10"/>
    </row>
    <row r="259" spans="2:28">
      <c r="Q259" s="12" t="e">
        <f t="shared" si="57"/>
        <v>#DIV/0!</v>
      </c>
      <c r="R259" s="6"/>
      <c r="S259" s="6"/>
      <c r="X259" s="38"/>
      <c r="Y259" s="38"/>
      <c r="Z259" s="38"/>
      <c r="AA259" s="38"/>
      <c r="AB259" s="38"/>
    </row>
    <row r="260" spans="2:28">
      <c r="Q260" s="12" t="e">
        <f t="shared" si="57"/>
        <v>#DIV/0!</v>
      </c>
      <c r="R260" s="6"/>
      <c r="S260" s="6"/>
      <c r="X260" s="38"/>
      <c r="Y260" s="38"/>
      <c r="Z260" s="38"/>
      <c r="AA260" s="38"/>
      <c r="AB260" s="38"/>
    </row>
    <row r="261" spans="2:28">
      <c r="Q261" s="12" t="e">
        <f t="shared" si="57"/>
        <v>#DIV/0!</v>
      </c>
      <c r="R261" s="6"/>
      <c r="S261" s="6"/>
      <c r="X261" s="38"/>
      <c r="Y261" s="38"/>
      <c r="Z261" s="38"/>
      <c r="AA261" s="38"/>
      <c r="AB261" s="38"/>
    </row>
    <row r="262" spans="2:28">
      <c r="Q262" s="12" t="e">
        <f t="shared" si="57"/>
        <v>#DIV/0!</v>
      </c>
      <c r="R262" s="6"/>
      <c r="S262" s="6"/>
      <c r="X262" s="38"/>
      <c r="Y262" s="38"/>
      <c r="Z262" s="38"/>
      <c r="AA262" s="38"/>
      <c r="AB262" s="38"/>
    </row>
    <row r="263" spans="2:28">
      <c r="Q263" s="12"/>
      <c r="R263" s="6"/>
      <c r="S263" s="6"/>
      <c r="X263" s="38"/>
      <c r="Y263" s="38"/>
      <c r="Z263" s="38"/>
      <c r="AA263" s="38"/>
      <c r="AB263" s="38"/>
    </row>
    <row r="264" spans="2:28">
      <c r="Q264" s="12"/>
      <c r="R264" s="6"/>
      <c r="S264" s="6"/>
      <c r="X264" s="38"/>
      <c r="Y264" s="38"/>
      <c r="Z264" s="38"/>
      <c r="AA264" s="38"/>
      <c r="AB264" s="38"/>
    </row>
    <row r="265" spans="2:28">
      <c r="X265" s="38"/>
      <c r="Y265" s="38"/>
      <c r="Z265" s="38"/>
      <c r="AA265" s="38"/>
      <c r="AB265" s="38"/>
    </row>
    <row r="266" spans="2:28">
      <c r="X266" s="38"/>
      <c r="Y266" s="38"/>
      <c r="Z266" s="38"/>
      <c r="AA266" s="38"/>
      <c r="AB266" s="38"/>
    </row>
    <row r="267" spans="2:28">
      <c r="X267" s="38"/>
      <c r="Y267" s="38"/>
      <c r="Z267" s="38"/>
      <c r="AA267" s="38"/>
      <c r="AB267" s="38"/>
    </row>
    <row r="268" spans="2:28">
      <c r="X268" s="38"/>
      <c r="Y268" s="38"/>
      <c r="Z268" s="38"/>
      <c r="AA268" s="38"/>
      <c r="AB268" s="38"/>
    </row>
    <row r="269" spans="2:28">
      <c r="X269" s="38"/>
      <c r="Y269" s="38"/>
      <c r="Z269" s="38"/>
      <c r="AA269" s="38"/>
      <c r="AB269" s="38"/>
    </row>
    <row r="270" spans="2:28">
      <c r="X270" s="38"/>
      <c r="Y270" s="38"/>
      <c r="Z270" s="38"/>
      <c r="AA270" s="38"/>
      <c r="AB270" s="38"/>
    </row>
    <row r="271" spans="2:28">
      <c r="X271" s="38"/>
      <c r="Y271" s="38"/>
      <c r="Z271" s="38"/>
      <c r="AA271" s="38"/>
      <c r="AB271" s="38"/>
    </row>
    <row r="272" spans="2:28">
      <c r="X272" s="38"/>
      <c r="Y272" s="38"/>
      <c r="Z272" s="38"/>
      <c r="AA272" s="38"/>
      <c r="AB272" s="38"/>
    </row>
    <row r="273" spans="24:28">
      <c r="X273" s="38"/>
      <c r="Y273" s="38"/>
      <c r="Z273" s="38"/>
      <c r="AA273" s="38"/>
      <c r="AB273" s="38"/>
    </row>
    <row r="274" spans="24:28">
      <c r="X274" s="38"/>
      <c r="Y274" s="38"/>
      <c r="Z274" s="38"/>
      <c r="AA274" s="38"/>
      <c r="AB274" s="38"/>
    </row>
  </sheetData>
  <mergeCells count="1">
    <mergeCell ref="X8:Z8"/>
  </mergeCells>
  <pageMargins left="0.75" right="0.75" top="1.5" bottom="1" header="0.75" footer="0.5"/>
  <pageSetup scale="54" fitToHeight="0" orientation="landscape" r:id="rId1"/>
  <headerFooter alignWithMargins="0">
    <oddHeader>&amp;L&amp;"Times New Roman,Regular"Investor Supplied Working Capital Calculation Details
AMA for the twelve months ended 6/30/2012&amp;R&amp;"Times New Roman,Regular"Exhibit No. ___ (TWZ-3)
Docket No. UE-130043
June 21, 2013</oddHeader>
    <oddFooter>&amp;L&amp;"-,Regular"&amp;8&amp;F (&amp;A)&amp;R&amp;"Times New Roman,Bold"&amp;P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2013-01-11T08:00:00+00:00</OpenedDate>
    <Date1 xmlns="dc463f71-b30c-4ab2-9473-d307f9d35888">2013-06-21T07:00:00+00:00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5799827-FC43-4E85-8C2F-FF1469DCC9BF}"/>
</file>

<file path=customXml/itemProps2.xml><?xml version="1.0" encoding="utf-8"?>
<ds:datastoreItem xmlns:ds="http://schemas.openxmlformats.org/officeDocument/2006/customXml" ds:itemID="{7ADE950D-869D-49EB-8B07-8A97F7839487}"/>
</file>

<file path=customXml/itemProps3.xml><?xml version="1.0" encoding="utf-8"?>
<ds:datastoreItem xmlns:ds="http://schemas.openxmlformats.org/officeDocument/2006/customXml" ds:itemID="{A9E3831C-E30A-40FC-8A61-FBFC1F518817}"/>
</file>

<file path=customXml/itemProps4.xml><?xml version="1.0" encoding="utf-8"?>
<ds:datastoreItem xmlns:ds="http://schemas.openxmlformats.org/officeDocument/2006/customXml" ds:itemID="{E47C1BDE-7DB2-4B83-A4CC-7E67E98F2B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___(TWZ-3)</vt:lpstr>
      <vt:lpstr>'Exhibit ___(TWZ-3)'!Print_Area</vt:lpstr>
      <vt:lpstr>'Exhibit ___(TWZ-3)'!Print_Titles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Zawislak</dc:creator>
  <cp:lastModifiedBy>Tim Zawislak</cp:lastModifiedBy>
  <cp:lastPrinted>2013-06-04T19:18:17Z</cp:lastPrinted>
  <dcterms:created xsi:type="dcterms:W3CDTF">2013-03-06T18:08:16Z</dcterms:created>
  <dcterms:modified xsi:type="dcterms:W3CDTF">2013-06-11T20:43:37Z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