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wrk\22_pse\3022-64 UE-190529\3022-64 UE-190529\br\"/>
    </mc:Choice>
  </mc:AlternateContent>
  <bookViews>
    <workbookView xWindow="5790" yWindow="7845" windowWidth="19290" windowHeight="9900" tabRatio="775"/>
  </bookViews>
  <sheets>
    <sheet name="Table 1-CA" sheetId="52" r:id="rId1"/>
    <sheet name="Exh. No. BGM-9 (1)" sheetId="57" r:id="rId2"/>
    <sheet name="Exh. No. BGM-9 (1A)" sheetId="58" r:id="rId3"/>
    <sheet name="BGM-9 (2) Detailed Summary" sheetId="44" r:id="rId4"/>
    <sheet name="BGM-9 (4) Electric Adj" sheetId="47" r:id="rId5"/>
    <sheet name="BGM-9 (3) Common Adj" sheetId="46" r:id="rId6"/>
    <sheet name="DR 046" sheetId="55" r:id="rId7"/>
    <sheet name="Impacts" sheetId="51" r:id="rId8"/>
    <sheet name="Rllfwd" sheetId="50" r:id="rId9"/>
    <sheet name="COC, Def, ConvF" sheetId="42" r:id="rId10"/>
    <sheet name="Summary" sheetId="43" r:id="rId11"/>
    <sheet name="COC-Restating" sheetId="45" r:id="rId12"/>
    <sheet name="Power Cost Bridge to A-1" sheetId="49" r:id="rId13"/>
    <sheet name="Named Ranges E" sheetId="4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AMAtoEOP_Depr_E">'BGM-9 (3) Common Adj'!$EO$5:$EV$33</definedName>
    <definedName name="_AMAtoEOP_RB_E">'BGM-9 (3) Common Adj'!$EG$5:$EN$21</definedName>
    <definedName name="_AMI_E">'BGM-9 (3) Common Adj'!$FM$5:$FT$42</definedName>
    <definedName name="_AnnualizeRent_E">'BGM-9 (3) Common Adj'!$FU$5:$GB$33</definedName>
    <definedName name="_BadDebt_E">'BGM-9 (3) Common Adj'!$AW$5:$BD$20</definedName>
    <definedName name="_CreditCardPmt_E">'BGM-9 (3) Common Adj'!$GK$5:$GR$21</definedName>
    <definedName name="_D_And_O_E">'BGM-9 (3) Common Adj'!$BU$5:$CB$22</definedName>
    <definedName name="_DefGain_E">'BGM-9 (3) Common Adj'!$EW$5:$FD$20</definedName>
    <definedName name="_EmplInsurance_E">'BGM-9 (3) Common Adj'!$DY$5:$EF$26</definedName>
    <definedName name="_EnvRemed_E">'BGM-9 (3) Common Adj'!$FE$5:$FL$19</definedName>
    <definedName name="_ExcTax_E">'BGM-9 (3) Common Adj'!$BM$5:$BT$21</definedName>
    <definedName name="_FIT_E">'BGM-9 (3) Common Adj'!$Q$5:$X$17</definedName>
    <definedName name="_GTZ_E">'BGM-9 (3) Common Adj'!$GC$5:$GJ$38</definedName>
    <definedName name="_HRTops">'BGM-9 (3) Common Adj'!$HQ$5:$HX$30</definedName>
    <definedName name="_Incentives_E">'BGM-9 (3) Common Adj'!$BE$5:$BL$30</definedName>
    <definedName name="_InjAndDam_E">'BGM-9 (3) Common Adj'!$AO$5:$AV$22</definedName>
    <definedName name="_IntOnCustDeposits_E">'BGM-9 (3) Common Adj'!$CC$5:$CJ$17</definedName>
    <definedName name="_Investment_E">'BGM-9 (3) Common Adj'!$DQ$5:$DX$34</definedName>
    <definedName name="_Order1">255</definedName>
    <definedName name="_Order2">255</definedName>
    <definedName name="_PassThru_E">'BGM-9 (3) Common Adj'!$AG$5:$AN$52</definedName>
    <definedName name="_Pension_E">'BGM-9 (3) Common Adj'!$CS$5:$CZ$19</definedName>
    <definedName name="_PropAndLiab_E">'BGM-9 (3) Common Adj'!$DA$5:$DH$20</definedName>
    <definedName name="_RateCaseExp_E">'BGM-9 (3) Common Adj'!$CK$5:$CR$24</definedName>
    <definedName name="_Regression_Int">1</definedName>
    <definedName name="_RevAndExp_E">'BGM-9 (3) Common Adj'!$A$5:$H$53</definedName>
    <definedName name="_TBOPI_E">'BGM-9 (3) Common Adj'!$Y$5:$AF$24</definedName>
    <definedName name="_TempNorm_E">'BGM-9 (3) Common Adj'!$I$5:$P$32</definedName>
    <definedName name="_UnprotcdFFIT_E">'BGM-9 (3) Common Adj'!$GS$5:$GZ$23</definedName>
    <definedName name="_WageInc_E">'BGM-9 (3) Common Adj'!$DI$5:$DP$30</definedName>
    <definedName name="AccessDatabase">"I:\COMTREL\FINICLE\TradeSummary.mdb"</definedName>
    <definedName name="AS2DocOpenMode">"AS2DocumentEdit"</definedName>
    <definedName name="BD_E">'BGM-9 (3) Common Adj'!$EI$13</definedName>
    <definedName name="CASE">'[1]Named Ranges'!$C$4</definedName>
    <definedName name="CASE_E" localSheetId="7">'[2]Named Ranges E'!$C$4</definedName>
    <definedName name="CASE_E">'Named Ranges E'!$C$4</definedName>
    <definedName name="CASE_GAS">'[3]Named Ranges G'!$C$4</definedName>
    <definedName name="CBWorkbookPriority">-2060790043</definedName>
    <definedName name="Comp">'[1]Named Ranges'!$C$8</definedName>
    <definedName name="Comp_E" localSheetId="7">'[2]Named Ranges E'!$C$8</definedName>
    <definedName name="Comp_E">'Named Ranges E'!$C$8</definedName>
    <definedName name="Comp_GAS">'[3]Named Ranges G'!$C$8</definedName>
    <definedName name="Conv_Factor_E">'COC, Def, ConvF'!$I$2:$L$22</definedName>
    <definedName name="COST_OF_CAPITAL_E">'COC, Def, ConvF'!$D$2:$H$23</definedName>
    <definedName name="DOCKETNUMBER">'[1]Named Ranges'!$C$6</definedName>
    <definedName name="DOCKETNUMBER_E" localSheetId="7">'[2]Named Ranges E'!$C$6</definedName>
    <definedName name="DOCKETNUMBER_E">'Named Ranges E'!$C$6</definedName>
    <definedName name="DOCKETNUMBER_GAS">'[3]Named Ranges G'!$C$6</definedName>
    <definedName name="EXHIBIT_E">'Named Ranges E'!$C$7</definedName>
    <definedName name="FF_E">'BGM-9 (3) Common Adj'!$EI$14</definedName>
    <definedName name="FIT">'[1]Named Ranges'!$C$3</definedName>
    <definedName name="FIT_E" localSheetId="7">'[2]Named Ranges E'!$C$3</definedName>
    <definedName name="FIT_E">'Named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D_Gas" localSheetId="1">'[4]DEBT CALC'!#REF!</definedName>
    <definedName name="ID_Gas" localSheetId="2">'[4]DEBT CALC'!#REF!</definedName>
    <definedName name="ID_Gas">'[5]DEBT CALC'!#REF!</definedName>
    <definedName name="_xlnm.Print_Area" localSheetId="3">'BGM-9 (2) Detailed Summary'!$A$1:$BQ$64</definedName>
    <definedName name="_xlnm.Print_Area" localSheetId="5">'BGM-9 (3) Common Adj'!$A$5:$IF$54</definedName>
    <definedName name="_xlnm.Print_Area" localSheetId="4">'BGM-9 (4) Electric Adj'!$A$4:$BZ$43</definedName>
    <definedName name="_xlnm.Print_Area" localSheetId="6">'DR 046'!$A$1:$I$10</definedName>
    <definedName name="_xlnm.Print_Area" localSheetId="1">'Exh. No. BGM-9 (1)'!$A$1:$AF$72</definedName>
    <definedName name="_xlnm.Print_Area" localSheetId="2">'Exh. No. BGM-9 (1A)'!$A$1:$AF$72</definedName>
    <definedName name="_xlnm.Print_Area" localSheetId="10">Summary!$A$1:$I$64</definedName>
    <definedName name="Print_for_Checking" localSheetId="1">'[4]ADJ SUMMARY'!#REF!:'[4]ADJ SUMMARY'!#REF!</definedName>
    <definedName name="Print_for_Checking" localSheetId="2">'[4]ADJ SUMMARY'!#REF!:'[4]ADJ SUMMARY'!#REF!</definedName>
    <definedName name="Print_for_Checking">'[5]ADJ SUMMARY'!#REF!:'[5]ADJ SUMMARY'!#REF!</definedName>
    <definedName name="_xlnm.Print_Titles" localSheetId="3">'BGM-9 (2) Detailed Summary'!$A:$B,'BGM-9 (2) Detailed Summary'!$1:$12</definedName>
    <definedName name="_xlnm.Print_Titles" localSheetId="1">'Exh. No. BGM-9 (1)'!$A:$G,'Exh. No. BGM-9 (1)'!$1:$5</definedName>
    <definedName name="_xlnm.Print_Titles" localSheetId="2">'Exh. No. BGM-9 (1A)'!$A:$G,'Exh. No. BGM-9 (1A)'!$1:$5</definedName>
    <definedName name="_xlnm.Print_Titles" localSheetId="10">Summary!$A:$B,Summary!$1:$12</definedName>
    <definedName name="RATE_Increase_E">'COC, Def, ConvF'!$A$2:$C$22</definedName>
    <definedName name="RRC_Adjustment_Print" localSheetId="1">#REF!</definedName>
    <definedName name="RRC_Adjustment_Print" localSheetId="2">#REF!</definedName>
    <definedName name="RRC_Rate_Print" localSheetId="1">#REF!</definedName>
    <definedName name="RRC_Rate_Print" localSheetId="2">#REF!</definedName>
    <definedName name="RY_E">'Named Ranges E'!$C$9</definedName>
    <definedName name="SAPBEXhrIndnt">"Wide"</definedName>
    <definedName name="SAPsysID">"708C5W7SBKP804JT78WJ0JNKI"</definedName>
    <definedName name="SAPwbID">"ARS"</definedName>
    <definedName name="Summary" localSheetId="1">#REF!</definedName>
    <definedName name="Summary" localSheetId="2">#REF!</definedName>
    <definedName name="Summary">#REF!</definedName>
    <definedName name="TableName">"Dummy"</definedName>
    <definedName name="TESTYEAR">'[1]Named Ranges'!$C$5</definedName>
    <definedName name="TESTYEAR_E" localSheetId="7">'[2]Named Ranges E'!$C$5</definedName>
    <definedName name="TESTYEAR_E">'Named Ranges E'!$C$5</definedName>
    <definedName name="TESTYEAR_GAS">'[3]Named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'BGM-9 (3) Common Adj'!$EI$15</definedName>
    <definedName name="WA_Gas" localSheetId="1">'[4]DEBT CALC'!#REF!</definedName>
    <definedName name="WA_Gas" localSheetId="2">'[4]DEBT CALC'!#REF!</definedName>
    <definedName name="WA_Gas">'[5]DEBT CALC'!#REF!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50" l="1"/>
  <c r="M74" i="58"/>
  <c r="M74" i="57" l="1"/>
  <c r="G13" i="42" l="1"/>
  <c r="R70" i="58" l="1"/>
  <c r="P70" i="58"/>
  <c r="Y70" i="58" s="1"/>
  <c r="W70" i="58" s="1"/>
  <c r="F70" i="58"/>
  <c r="R69" i="58"/>
  <c r="AA69" i="58" s="1"/>
  <c r="P69" i="58"/>
  <c r="Y69" i="58" s="1"/>
  <c r="W69" i="58" s="1"/>
  <c r="F69" i="58"/>
  <c r="F68" i="58"/>
  <c r="R67" i="58"/>
  <c r="AA67" i="58" s="1"/>
  <c r="F67" i="58"/>
  <c r="F66" i="58"/>
  <c r="F65" i="58"/>
  <c r="R64" i="58"/>
  <c r="AA64" i="58" s="1"/>
  <c r="F64" i="58"/>
  <c r="R63" i="58"/>
  <c r="AA63" i="58" s="1"/>
  <c r="F63" i="58"/>
  <c r="R62" i="58"/>
  <c r="AA62" i="58" s="1"/>
  <c r="F62" i="58"/>
  <c r="R61" i="58"/>
  <c r="AA61" i="58" s="1"/>
  <c r="P61" i="58"/>
  <c r="Y61" i="58" s="1"/>
  <c r="W61" i="58" s="1"/>
  <c r="F61" i="58"/>
  <c r="R60" i="58"/>
  <c r="AA60" i="58" s="1"/>
  <c r="F60" i="58"/>
  <c r="R59" i="58"/>
  <c r="AA59" i="58" s="1"/>
  <c r="P59" i="58"/>
  <c r="Y59" i="58" s="1"/>
  <c r="W59" i="58" s="1"/>
  <c r="F59" i="58"/>
  <c r="F58" i="58"/>
  <c r="R57" i="58"/>
  <c r="AA57" i="58" s="1"/>
  <c r="F57" i="58"/>
  <c r="R56" i="58"/>
  <c r="AA56" i="58" s="1"/>
  <c r="P56" i="58"/>
  <c r="Y56" i="58" s="1"/>
  <c r="W56" i="58" s="1"/>
  <c r="F56" i="58"/>
  <c r="R55" i="58"/>
  <c r="AA55" i="58" s="1"/>
  <c r="F55" i="58"/>
  <c r="F54" i="58"/>
  <c r="R53" i="58"/>
  <c r="AA53" i="58" s="1"/>
  <c r="F53" i="58"/>
  <c r="R52" i="58"/>
  <c r="AA52" i="58" s="1"/>
  <c r="F52" i="58"/>
  <c r="R51" i="58"/>
  <c r="AA51" i="58" s="1"/>
  <c r="F51" i="58"/>
  <c r="R50" i="58"/>
  <c r="AA50" i="58" s="1"/>
  <c r="F50" i="58"/>
  <c r="R49" i="58"/>
  <c r="AA49" i="58" s="1"/>
  <c r="F49" i="58"/>
  <c r="R48" i="58"/>
  <c r="AA48" i="58" s="1"/>
  <c r="F48" i="58"/>
  <c r="R47" i="58"/>
  <c r="AA47" i="58" s="1"/>
  <c r="F47" i="58"/>
  <c r="R46" i="58"/>
  <c r="AA46" i="58" s="1"/>
  <c r="F46" i="58"/>
  <c r="R45" i="58"/>
  <c r="AA45" i="58" s="1"/>
  <c r="F45" i="58"/>
  <c r="R44" i="58"/>
  <c r="AA44" i="58" s="1"/>
  <c r="F44" i="58"/>
  <c r="R43" i="58"/>
  <c r="AA43" i="58" s="1"/>
  <c r="F43" i="58"/>
  <c r="AI39" i="58"/>
  <c r="AK38" i="58"/>
  <c r="R38" i="58"/>
  <c r="AA38" i="58" s="1"/>
  <c r="P38" i="58"/>
  <c r="Y38" i="58" s="1"/>
  <c r="W38" i="58" s="1"/>
  <c r="AK37" i="58"/>
  <c r="AK39" i="58" s="1"/>
  <c r="R37" i="58"/>
  <c r="AA37" i="58" s="1"/>
  <c r="P37" i="58"/>
  <c r="Y37" i="58" s="1"/>
  <c r="W37" i="58" s="1"/>
  <c r="R36" i="58"/>
  <c r="AA36" i="58" s="1"/>
  <c r="P36" i="58"/>
  <c r="Y36" i="58" s="1"/>
  <c r="W36" i="58" s="1"/>
  <c r="F35" i="58"/>
  <c r="R34" i="58"/>
  <c r="AA34" i="58" s="1"/>
  <c r="F34" i="58"/>
  <c r="R33" i="58"/>
  <c r="AA33" i="58" s="1"/>
  <c r="F33" i="58"/>
  <c r="F32" i="58"/>
  <c r="R31" i="58"/>
  <c r="AA31" i="58" s="1"/>
  <c r="F31" i="58"/>
  <c r="AI30" i="58"/>
  <c r="R30" i="58"/>
  <c r="AA30" i="58" s="1"/>
  <c r="F30" i="58"/>
  <c r="AK29" i="58"/>
  <c r="AK30" i="58" s="1"/>
  <c r="R29" i="58"/>
  <c r="AA29" i="58" s="1"/>
  <c r="F29" i="58"/>
  <c r="AK28" i="58"/>
  <c r="F28" i="58"/>
  <c r="P27" i="58"/>
  <c r="Y27" i="58" s="1"/>
  <c r="W27" i="58" s="1"/>
  <c r="F27" i="58"/>
  <c r="R26" i="58"/>
  <c r="AA26" i="58" s="1"/>
  <c r="F26" i="58"/>
  <c r="R25" i="58"/>
  <c r="AA25" i="58" s="1"/>
  <c r="F25" i="58"/>
  <c r="R24" i="58"/>
  <c r="AA24" i="58" s="1"/>
  <c r="F24" i="58"/>
  <c r="R23" i="58"/>
  <c r="AA23" i="58" s="1"/>
  <c r="F23" i="58"/>
  <c r="R22" i="58"/>
  <c r="AA22" i="58" s="1"/>
  <c r="F22" i="58"/>
  <c r="AK21" i="58"/>
  <c r="AI21" i="58"/>
  <c r="R21" i="58"/>
  <c r="AA21" i="58" s="1"/>
  <c r="F21" i="58"/>
  <c r="AK20" i="58"/>
  <c r="R20" i="58"/>
  <c r="AA20" i="58" s="1"/>
  <c r="F20" i="58"/>
  <c r="AK19" i="58"/>
  <c r="R19" i="58"/>
  <c r="AA19" i="58" s="1"/>
  <c r="F19" i="58"/>
  <c r="R18" i="58"/>
  <c r="AA18" i="58" s="1"/>
  <c r="F18" i="58"/>
  <c r="R17" i="58"/>
  <c r="AA17" i="58" s="1"/>
  <c r="F17" i="58"/>
  <c r="R16" i="58"/>
  <c r="AA16" i="58" s="1"/>
  <c r="F16" i="58"/>
  <c r="R15" i="58"/>
  <c r="AA15" i="58" s="1"/>
  <c r="F15" i="58"/>
  <c r="R14" i="58"/>
  <c r="AA14" i="58" s="1"/>
  <c r="F14" i="58"/>
  <c r="R13" i="58"/>
  <c r="AA13" i="58" s="1"/>
  <c r="F13" i="58"/>
  <c r="AI12" i="58"/>
  <c r="R12" i="58"/>
  <c r="AA12" i="58" s="1"/>
  <c r="F12" i="58"/>
  <c r="AK11" i="58"/>
  <c r="AK12" i="58" s="1"/>
  <c r="R11" i="58"/>
  <c r="AA11" i="58" s="1"/>
  <c r="F11" i="58"/>
  <c r="AK10" i="58"/>
  <c r="R10" i="58"/>
  <c r="AA10" i="58" s="1"/>
  <c r="F10" i="58"/>
  <c r="B10" i="58"/>
  <c r="B11" i="58" s="1"/>
  <c r="AI39" i="57"/>
  <c r="AK38" i="57"/>
  <c r="AK37" i="57"/>
  <c r="AK39" i="57" l="1"/>
  <c r="B12" i="58"/>
  <c r="AA70" i="58"/>
  <c r="GI33" i="46"/>
  <c r="GI25" i="46"/>
  <c r="O20" i="52"/>
  <c r="O24" i="52"/>
  <c r="O25" i="52"/>
  <c r="O26" i="52"/>
  <c r="O27" i="52"/>
  <c r="O28" i="52"/>
  <c r="O29" i="52"/>
  <c r="M30" i="52"/>
  <c r="AI30" i="57"/>
  <c r="AK29" i="57"/>
  <c r="AK30" i="57" s="1"/>
  <c r="AK28" i="57"/>
  <c r="AI21" i="57"/>
  <c r="AK20" i="57"/>
  <c r="AK19" i="57"/>
  <c r="B13" i="58" l="1"/>
  <c r="B14" i="58" s="1"/>
  <c r="B15" i="58" s="1"/>
  <c r="GI19" i="46"/>
  <c r="GI27" i="46" s="1"/>
  <c r="AK21" i="57"/>
  <c r="B16" i="58" l="1"/>
  <c r="H14" i="52"/>
  <c r="B17" i="58" l="1"/>
  <c r="P31" i="46"/>
  <c r="N31" i="46"/>
  <c r="P30" i="46"/>
  <c r="P32" i="46" s="1"/>
  <c r="N30" i="46"/>
  <c r="N32" i="46" s="1"/>
  <c r="K27" i="46"/>
  <c r="O18" i="46"/>
  <c r="O20" i="46" s="1"/>
  <c r="N18" i="46"/>
  <c r="N20" i="46" s="1"/>
  <c r="O16" i="46"/>
  <c r="N16" i="46"/>
  <c r="M16" i="46"/>
  <c r="L16" i="46"/>
  <c r="O14" i="46"/>
  <c r="N14" i="46"/>
  <c r="M14" i="46"/>
  <c r="P14" i="46" s="1"/>
  <c r="L14" i="46"/>
  <c r="L18" i="46" s="1"/>
  <c r="G30" i="47"/>
  <c r="G29" i="47"/>
  <c r="G28" i="47"/>
  <c r="G27" i="47"/>
  <c r="M18" i="46" l="1"/>
  <c r="P16" i="46"/>
  <c r="B18" i="58"/>
  <c r="M20" i="46"/>
  <c r="L20" i="46"/>
  <c r="P18" i="46"/>
  <c r="B19" i="58" l="1"/>
  <c r="B20" i="58" s="1"/>
  <c r="P20" i="46"/>
  <c r="B21" i="58" l="1"/>
  <c r="B22" i="58" s="1"/>
  <c r="B23" i="58" s="1"/>
  <c r="B24" i="58" s="1"/>
  <c r="B25" i="58" s="1"/>
  <c r="B26" i="58" s="1"/>
  <c r="B27" i="58" s="1"/>
  <c r="B28" i="58" s="1"/>
  <c r="B29" i="58" s="1"/>
  <c r="B30" i="58" s="1"/>
  <c r="B31" i="58" s="1"/>
  <c r="B32" i="58" s="1"/>
  <c r="B33" i="58" s="1"/>
  <c r="B34" i="58" s="1"/>
  <c r="B35" i="58" s="1"/>
  <c r="B36" i="58" s="1"/>
  <c r="B37" i="58" s="1"/>
  <c r="B38" i="58" s="1"/>
  <c r="B40" i="58" s="1"/>
  <c r="B43" i="58" s="1"/>
  <c r="B44" i="58" s="1"/>
  <c r="B45" i="58" s="1"/>
  <c r="B46" i="58" s="1"/>
  <c r="B47" i="58" s="1"/>
  <c r="B48" i="58" s="1"/>
  <c r="B49" i="58" s="1"/>
  <c r="B50" i="58" s="1"/>
  <c r="B51" i="58" s="1"/>
  <c r="B52" i="58" s="1"/>
  <c r="B53" i="58" s="1"/>
  <c r="B54" i="58" s="1"/>
  <c r="B55" i="58" s="1"/>
  <c r="B56" i="58" s="1"/>
  <c r="B57" i="58" s="1"/>
  <c r="B58" i="58" s="1"/>
  <c r="B59" i="58" s="1"/>
  <c r="B60" i="58" s="1"/>
  <c r="B61" i="58" s="1"/>
  <c r="B62" i="58" s="1"/>
  <c r="B63" i="58" s="1"/>
  <c r="B64" i="58" s="1"/>
  <c r="B65" i="58" s="1"/>
  <c r="B66" i="58" s="1"/>
  <c r="B67" i="58" s="1"/>
  <c r="B68" i="58" s="1"/>
  <c r="B69" i="58" s="1"/>
  <c r="B70" i="58" s="1"/>
  <c r="B72" i="58" s="1"/>
  <c r="M21" i="46"/>
  <c r="N21" i="46"/>
  <c r="O21" i="46"/>
  <c r="L21" i="46"/>
  <c r="M22" i="46" l="1"/>
  <c r="M23" i="46" s="1"/>
  <c r="M25" i="46" s="1"/>
  <c r="L22" i="46"/>
  <c r="L23" i="46" s="1"/>
  <c r="L25" i="46" s="1"/>
  <c r="L27" i="46" s="1"/>
  <c r="L28" i="46" s="1"/>
  <c r="O22" i="46"/>
  <c r="P22" i="46" s="1"/>
  <c r="N22" i="46"/>
  <c r="P21" i="46"/>
  <c r="P23" i="46" s="1"/>
  <c r="P25" i="46" s="1"/>
  <c r="O23" i="46"/>
  <c r="O25" i="46" s="1"/>
  <c r="N23" i="46"/>
  <c r="N25" i="46" s="1"/>
  <c r="N27" i="46" s="1"/>
  <c r="N28" i="46" s="1"/>
  <c r="M27" i="46" l="1"/>
  <c r="M28" i="46"/>
  <c r="O27" i="46"/>
  <c r="O28" i="46"/>
  <c r="P27" i="46" l="1"/>
  <c r="P28" i="46" s="1"/>
  <c r="G23" i="47"/>
  <c r="G22" i="47"/>
  <c r="G21" i="47"/>
  <c r="G20" i="47"/>
  <c r="G19" i="47"/>
  <c r="G18" i="47"/>
  <c r="G17" i="47"/>
  <c r="G16" i="47"/>
  <c r="E18" i="47"/>
  <c r="R70" i="57" l="1"/>
  <c r="AA70" i="57" s="1"/>
  <c r="P70" i="57"/>
  <c r="Y70" i="57" s="1"/>
  <c r="W70" i="57" s="1"/>
  <c r="F70" i="57"/>
  <c r="P36" i="57"/>
  <c r="Y36" i="57" s="1"/>
  <c r="W36" i="57" s="1"/>
  <c r="R36" i="57"/>
  <c r="P37" i="57"/>
  <c r="Y37" i="57" s="1"/>
  <c r="W37" i="57" s="1"/>
  <c r="R37" i="57"/>
  <c r="P38" i="57"/>
  <c r="Y38" i="57" s="1"/>
  <c r="W38" i="57" s="1"/>
  <c r="R38" i="57"/>
  <c r="BN59" i="44"/>
  <c r="BN48" i="44" s="1"/>
  <c r="BN74" i="44" s="1"/>
  <c r="BN77" i="44" s="1"/>
  <c r="BM59" i="44"/>
  <c r="BM48" i="44" s="1"/>
  <c r="BM74" i="44" s="1"/>
  <c r="BM77" i="44" s="1"/>
  <c r="BN27" i="44"/>
  <c r="BN44" i="44" s="1"/>
  <c r="BN46" i="44" s="1"/>
  <c r="BM27" i="44"/>
  <c r="BM44" i="44" s="1"/>
  <c r="BM46" i="44" s="1"/>
  <c r="BN18" i="44"/>
  <c r="BM18" i="44"/>
  <c r="AF79" i="44"/>
  <c r="AE79" i="44"/>
  <c r="AD79" i="44"/>
  <c r="AF59" i="44"/>
  <c r="AE59" i="44"/>
  <c r="AD59" i="44"/>
  <c r="AD48" i="44" s="1"/>
  <c r="AD74" i="44" s="1"/>
  <c r="AD77" i="44" s="1"/>
  <c r="AF48" i="44"/>
  <c r="AF74" i="44" s="1"/>
  <c r="AF77" i="44" s="1"/>
  <c r="AE48" i="44"/>
  <c r="AE74" i="44" s="1"/>
  <c r="AE77" i="44" s="1"/>
  <c r="AD44" i="44"/>
  <c r="AF27" i="44"/>
  <c r="AF44" i="44" s="1"/>
  <c r="AE27" i="44"/>
  <c r="AE44" i="44" s="1"/>
  <c r="AE46" i="44" s="1"/>
  <c r="AD27" i="44"/>
  <c r="AF18" i="44"/>
  <c r="AE18" i="44"/>
  <c r="AD18" i="44"/>
  <c r="AD46" i="44" s="1"/>
  <c r="BL79" i="44"/>
  <c r="BL59" i="44"/>
  <c r="BL48" i="44" s="1"/>
  <c r="BL74" i="44" s="1"/>
  <c r="BL77" i="44" s="1"/>
  <c r="BL27" i="44"/>
  <c r="BL44" i="44" s="1"/>
  <c r="BL18" i="44"/>
  <c r="AA38" i="57" l="1"/>
  <c r="AA37" i="57"/>
  <c r="AA36" i="57"/>
  <c r="BN73" i="44"/>
  <c r="BN76" i="44" s="1"/>
  <c r="BM73" i="44"/>
  <c r="BM76" i="44" s="1"/>
  <c r="AD73" i="44"/>
  <c r="AD76" i="44" s="1"/>
  <c r="AF46" i="44"/>
  <c r="AE73" i="44"/>
  <c r="AE76" i="44" s="1"/>
  <c r="BL46" i="44"/>
  <c r="BL73" i="44" s="1"/>
  <c r="BL76" i="44" s="1"/>
  <c r="AF73" i="44" l="1"/>
  <c r="AF76" i="44" s="1"/>
  <c r="Q17" i="46" l="1"/>
  <c r="Q18" i="46"/>
  <c r="Q19" i="46"/>
  <c r="Q20" i="46"/>
  <c r="Q21" i="46" s="1"/>
  <c r="Q22" i="46" s="1"/>
  <c r="Q23" i="46" s="1"/>
  <c r="AW23" i="47"/>
  <c r="AW24" i="47" s="1"/>
  <c r="AW25" i="47" s="1"/>
  <c r="AW26" i="47" s="1"/>
  <c r="AW27" i="47" s="1"/>
  <c r="AW28" i="47" s="1"/>
  <c r="AW29" i="47" s="1"/>
  <c r="AW30" i="47" s="1"/>
  <c r="O16" i="52" l="1"/>
  <c r="O15" i="52"/>
  <c r="BD25" i="47"/>
  <c r="BD40" i="47"/>
  <c r="AR62" i="47"/>
  <c r="AR61" i="47"/>
  <c r="AU48" i="47"/>
  <c r="AR48" i="47"/>
  <c r="AS48" i="47" s="1"/>
  <c r="AT48" i="47" s="1"/>
  <c r="AU47" i="47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3" i="47"/>
  <c r="AR43" i="47"/>
  <c r="AS43" i="47" s="1"/>
  <c r="AU42" i="47"/>
  <c r="AR42" i="47"/>
  <c r="AS42" i="47" s="1"/>
  <c r="AT42" i="47" s="1"/>
  <c r="AU41" i="47"/>
  <c r="AR41" i="47"/>
  <c r="AS41" i="47" s="1"/>
  <c r="AU37" i="47"/>
  <c r="AR37" i="47"/>
  <c r="AS34" i="47"/>
  <c r="AS33" i="47"/>
  <c r="AS32" i="47"/>
  <c r="AU30" i="47"/>
  <c r="AR30" i="47"/>
  <c r="AS30" i="47" s="1"/>
  <c r="AU29" i="47"/>
  <c r="AR29" i="47"/>
  <c r="AS29" i="47" s="1"/>
  <c r="AT29" i="47" s="1"/>
  <c r="AU28" i="47"/>
  <c r="AR28" i="47"/>
  <c r="AS28" i="47" s="1"/>
  <c r="AU27" i="47"/>
  <c r="AR27" i="47"/>
  <c r="AS27" i="47" s="1"/>
  <c r="AT27" i="47" s="1"/>
  <c r="AU26" i="47"/>
  <c r="AR26" i="47"/>
  <c r="AS26" i="47" s="1"/>
  <c r="AU25" i="47"/>
  <c r="AR25" i="47"/>
  <c r="AS25" i="47" s="1"/>
  <c r="AT25" i="47" s="1"/>
  <c r="AU24" i="47"/>
  <c r="AR24" i="47"/>
  <c r="AS24" i="47" s="1"/>
  <c r="AU23" i="47"/>
  <c r="AR23" i="47"/>
  <c r="AS23" i="47" s="1"/>
  <c r="AT23" i="47" s="1"/>
  <c r="AU22" i="47"/>
  <c r="AR22" i="47"/>
  <c r="AS22" i="47" s="1"/>
  <c r="AU21" i="47"/>
  <c r="AR21" i="47"/>
  <c r="AS21" i="47" s="1"/>
  <c r="AT21" i="47" s="1"/>
  <c r="AU20" i="47"/>
  <c r="AR20" i="47"/>
  <c r="AS20" i="47" s="1"/>
  <c r="AT20" i="47" s="1"/>
  <c r="AU19" i="47"/>
  <c r="AR19" i="47"/>
  <c r="AS19" i="47" s="1"/>
  <c r="AT19" i="47" s="1"/>
  <c r="AU18" i="47"/>
  <c r="AR18" i="47"/>
  <c r="AS18" i="47" s="1"/>
  <c r="AT18" i="47" s="1"/>
  <c r="AU17" i="47"/>
  <c r="AR17" i="47"/>
  <c r="AS17" i="47" s="1"/>
  <c r="AT17" i="47" s="1"/>
  <c r="AU16" i="47"/>
  <c r="AR16" i="47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AO43" i="47" s="1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AV10" i="47"/>
  <c r="AO9" i="47"/>
  <c r="AO8" i="47"/>
  <c r="AV2" i="47"/>
  <c r="C33" i="47"/>
  <c r="AV20" i="47" l="1"/>
  <c r="AR49" i="47"/>
  <c r="AR31" i="47"/>
  <c r="O14" i="52"/>
  <c r="AV18" i="47"/>
  <c r="AV23" i="47"/>
  <c r="AS16" i="47"/>
  <c r="AS31" i="47" s="1"/>
  <c r="AV17" i="47"/>
  <c r="AV25" i="47"/>
  <c r="AV27" i="47"/>
  <c r="AS37" i="47"/>
  <c r="AS49" i="47" s="1"/>
  <c r="AV46" i="47"/>
  <c r="AV29" i="47"/>
  <c r="AV37" i="47"/>
  <c r="AV48" i="47"/>
  <c r="AV21" i="47"/>
  <c r="AV42" i="47"/>
  <c r="AR63" i="47"/>
  <c r="AV44" i="47"/>
  <c r="AV45" i="47"/>
  <c r="AT45" i="47"/>
  <c r="AV19" i="47"/>
  <c r="AT26" i="47"/>
  <c r="AV26" i="47"/>
  <c r="AV28" i="47"/>
  <c r="AT28" i="47"/>
  <c r="AT47" i="47"/>
  <c r="AV47" i="47"/>
  <c r="AT24" i="47"/>
  <c r="AV24" i="47"/>
  <c r="AT30" i="47"/>
  <c r="AV30" i="47"/>
  <c r="AT41" i="47"/>
  <c r="AV41" i="47"/>
  <c r="AV22" i="47"/>
  <c r="AT22" i="47"/>
  <c r="AT43" i="47"/>
  <c r="AV43" i="47"/>
  <c r="AU31" i="47"/>
  <c r="AU49" i="47"/>
  <c r="AT16" i="47"/>
  <c r="AT37" i="47" l="1"/>
  <c r="AT49" i="47" s="1"/>
  <c r="AV49" i="47"/>
  <c r="AV51" i="47" s="1"/>
  <c r="AV53" i="47" s="1"/>
  <c r="AV55" i="47" s="1"/>
  <c r="AV1" i="47" s="1"/>
  <c r="AV16" i="47"/>
  <c r="AV31" i="47" s="1"/>
  <c r="AT31" i="47"/>
  <c r="W16" i="46" l="1"/>
  <c r="X16" i="46" s="1"/>
  <c r="X23" i="46"/>
  <c r="T23" i="46"/>
  <c r="W21" i="46"/>
  <c r="BK53" i="44"/>
  <c r="ID18" i="46"/>
  <c r="IC18" i="46"/>
  <c r="IB18" i="46"/>
  <c r="IE18" i="46"/>
  <c r="IF15" i="46"/>
  <c r="ID15" i="46"/>
  <c r="IC15" i="46"/>
  <c r="BK79" i="44"/>
  <c r="F10" i="57"/>
  <c r="BJ79" i="44"/>
  <c r="BI79" i="44"/>
  <c r="BH79" i="44"/>
  <c r="AU79" i="44"/>
  <c r="AT79" i="44"/>
  <c r="AQ79" i="44"/>
  <c r="AP79" i="44"/>
  <c r="X79" i="44"/>
  <c r="W79" i="44"/>
  <c r="U79" i="44"/>
  <c r="T79" i="44"/>
  <c r="S79" i="44"/>
  <c r="R79" i="44"/>
  <c r="Q79" i="44"/>
  <c r="D79" i="44"/>
  <c r="AK11" i="57"/>
  <c r="AI12" i="57"/>
  <c r="B10" i="57"/>
  <c r="E7" i="55"/>
  <c r="E8" i="55"/>
  <c r="G8" i="55" s="1"/>
  <c r="I8" i="55" s="1"/>
  <c r="E9" i="55"/>
  <c r="G9" i="55" s="1"/>
  <c r="I9" i="55" s="1"/>
  <c r="E10" i="55"/>
  <c r="G10" i="55" s="1"/>
  <c r="I10" i="55" s="1"/>
  <c r="G7" i="55" l="1"/>
  <c r="I7" i="55" s="1"/>
  <c r="V16" i="46"/>
  <c r="V21" i="46"/>
  <c r="IF16" i="46"/>
  <c r="IF18" i="46" s="1"/>
  <c r="AK10" i="57"/>
  <c r="AK12" i="57" s="1"/>
  <c r="B11" i="57"/>
  <c r="B12" i="57" l="1"/>
  <c r="B13" i="57" l="1"/>
  <c r="B14" i="57" l="1"/>
  <c r="B15" i="57" l="1"/>
  <c r="B16" i="57" s="1"/>
  <c r="B17" i="57" l="1"/>
  <c r="B18" i="57" s="1"/>
  <c r="B19" i="57" l="1"/>
  <c r="B20" i="57" l="1"/>
  <c r="B21" i="57" s="1"/>
  <c r="B22" i="57" s="1"/>
  <c r="B23" i="57" s="1"/>
  <c r="B24" i="57" s="1"/>
  <c r="B25" i="57" s="1"/>
  <c r="B26" i="57" s="1"/>
  <c r="B27" i="57" s="1"/>
  <c r="B28" i="57" s="1"/>
  <c r="B29" i="57" s="1"/>
  <c r="B30" i="57" s="1"/>
  <c r="B31" i="57" l="1"/>
  <c r="B32" i="57" s="1"/>
  <c r="B33" i="57" s="1"/>
  <c r="B34" i="57" s="1"/>
  <c r="B35" i="57" s="1"/>
  <c r="B36" i="57" s="1"/>
  <c r="B37" i="57" s="1"/>
  <c r="B38" i="57" s="1"/>
  <c r="B40" i="57" l="1"/>
  <c r="B43" i="57" s="1"/>
  <c r="B44" i="57" s="1"/>
  <c r="B45" i="57" s="1"/>
  <c r="B46" i="57" s="1"/>
  <c r="B47" i="57" s="1"/>
  <c r="B48" i="57" s="1"/>
  <c r="B49" i="57" s="1"/>
  <c r="B50" i="57" s="1"/>
  <c r="B51" i="57" s="1"/>
  <c r="B52" i="57" s="1"/>
  <c r="B53" i="57" s="1"/>
  <c r="B54" i="57" s="1"/>
  <c r="B55" i="57" s="1"/>
  <c r="B56" i="57" s="1"/>
  <c r="B57" i="57" s="1"/>
  <c r="B58" i="57" s="1"/>
  <c r="B59" i="57" s="1"/>
  <c r="B60" i="57" s="1"/>
  <c r="B61" i="57" s="1"/>
  <c r="B62" i="57" s="1"/>
  <c r="B63" i="57" s="1"/>
  <c r="B64" i="57" s="1"/>
  <c r="B65" i="57" s="1"/>
  <c r="B66" i="57" s="1"/>
  <c r="B67" i="57" s="1"/>
  <c r="B68" i="57" s="1"/>
  <c r="N5" i="52"/>
  <c r="B69" i="57" l="1"/>
  <c r="B70" i="57" s="1"/>
  <c r="AZ25" i="47"/>
  <c r="BB25" i="47" l="1"/>
  <c r="AZ28" i="47"/>
  <c r="C93" i="42"/>
  <c r="C91" i="42"/>
  <c r="C89" i="42"/>
  <c r="C87" i="42"/>
  <c r="C85" i="42"/>
  <c r="C80" i="42"/>
  <c r="C77" i="42"/>
  <c r="C74" i="42"/>
  <c r="C72" i="42"/>
  <c r="B72" i="57" l="1"/>
  <c r="AC53" i="44"/>
  <c r="C22" i="51"/>
  <c r="E23" i="51" l="1"/>
  <c r="E19" i="51"/>
  <c r="C26" i="51" l="1"/>
  <c r="E25" i="51"/>
  <c r="I8" i="51"/>
  <c r="E26" i="51" l="1"/>
  <c r="J36" i="42" l="1"/>
  <c r="C25" i="51" l="1"/>
  <c r="AS36" i="42"/>
  <c r="AO32" i="42"/>
  <c r="AO20" i="42" l="1"/>
  <c r="AO17" i="42"/>
  <c r="AO13" i="42"/>
  <c r="AO12" i="42"/>
  <c r="AO40" i="42"/>
  <c r="AO36" i="42"/>
  <c r="AO25" i="42"/>
  <c r="AO24" i="42"/>
  <c r="AO23" i="42"/>
  <c r="AO26" i="42" l="1"/>
  <c r="AO34" i="42"/>
  <c r="AO15" i="42"/>
  <c r="AO18" i="42" s="1"/>
  <c r="AO21" i="42" s="1"/>
  <c r="AO28" i="42" s="1"/>
  <c r="AO30" i="42" s="1"/>
  <c r="AM14" i="42" l="1"/>
  <c r="AM16" i="42"/>
  <c r="AM19" i="42"/>
  <c r="AM22" i="42"/>
  <c r="AM27" i="42"/>
  <c r="AM29" i="42"/>
  <c r="AM31" i="42"/>
  <c r="AM33" i="42"/>
  <c r="AM35" i="42"/>
  <c r="AM37" i="42"/>
  <c r="AM38" i="42"/>
  <c r="AM39" i="42"/>
  <c r="G9" i="50" l="1"/>
  <c r="G26" i="50"/>
  <c r="I26" i="50" s="1"/>
  <c r="A26" i="50"/>
  <c r="G25" i="50"/>
  <c r="I25" i="50" s="1"/>
  <c r="A25" i="50"/>
  <c r="G24" i="50"/>
  <c r="I24" i="50" s="1"/>
  <c r="A24" i="50"/>
  <c r="G23" i="50"/>
  <c r="I23" i="50" s="1"/>
  <c r="A23" i="50"/>
  <c r="G22" i="50"/>
  <c r="I22" i="50" s="1"/>
  <c r="A22" i="50"/>
  <c r="G21" i="50"/>
  <c r="I21" i="50" s="1"/>
  <c r="A21" i="50"/>
  <c r="G20" i="50"/>
  <c r="I20" i="50" s="1"/>
  <c r="A20" i="50"/>
  <c r="G19" i="50"/>
  <c r="A19" i="50"/>
  <c r="G18" i="50"/>
  <c r="I18" i="50" s="1"/>
  <c r="A18" i="50"/>
  <c r="G17" i="50"/>
  <c r="I17" i="50" s="1"/>
  <c r="A17" i="50"/>
  <c r="A16" i="50"/>
  <c r="G15" i="50"/>
  <c r="I15" i="50" s="1"/>
  <c r="A15" i="50"/>
  <c r="G14" i="50"/>
  <c r="A14" i="50"/>
  <c r="G13" i="50"/>
  <c r="A13" i="50"/>
  <c r="G12" i="50"/>
  <c r="I12" i="50" s="1"/>
  <c r="A12" i="50"/>
  <c r="A11" i="50"/>
  <c r="G10" i="50"/>
  <c r="A10" i="50"/>
  <c r="A9" i="50"/>
  <c r="G8" i="50"/>
  <c r="I8" i="50" s="1"/>
  <c r="A8" i="50"/>
  <c r="I9" i="50" l="1"/>
  <c r="I13" i="50"/>
  <c r="E27" i="50"/>
  <c r="I19" i="50"/>
  <c r="I10" i="50"/>
  <c r="I14" i="50"/>
  <c r="H27" i="50"/>
  <c r="G11" i="50"/>
  <c r="I11" i="50" s="1"/>
  <c r="G16" i="50"/>
  <c r="I16" i="50" s="1"/>
  <c r="G27" i="50" l="1"/>
  <c r="I27" i="50" s="1"/>
  <c r="N13" i="42" l="1"/>
  <c r="N14" i="42" s="1"/>
  <c r="H24" i="49" l="1"/>
  <c r="G24" i="49"/>
  <c r="F27" i="49"/>
  <c r="I27" i="49" s="1"/>
  <c r="F26" i="49"/>
  <c r="I26" i="49" s="1"/>
  <c r="J26" i="49" s="1"/>
  <c r="F25" i="49"/>
  <c r="I25" i="49" s="1"/>
  <c r="J25" i="49" s="1"/>
  <c r="F24" i="49"/>
  <c r="E27" i="49"/>
  <c r="E26" i="49"/>
  <c r="E25" i="49"/>
  <c r="J8" i="49"/>
  <c r="I8" i="49" s="1"/>
  <c r="H16" i="49"/>
  <c r="H21" i="49" s="1"/>
  <c r="G16" i="49"/>
  <c r="G21" i="49" s="1"/>
  <c r="F20" i="49"/>
  <c r="I20" i="49" s="1"/>
  <c r="F19" i="49"/>
  <c r="I19" i="49" s="1"/>
  <c r="F18" i="49"/>
  <c r="I18" i="49" s="1"/>
  <c r="F15" i="49"/>
  <c r="I15" i="49" s="1"/>
  <c r="F14" i="49"/>
  <c r="I14" i="49" s="1"/>
  <c r="F13" i="49"/>
  <c r="E20" i="49"/>
  <c r="E14" i="49"/>
  <c r="E13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J6" i="49"/>
  <c r="J19" i="49" l="1"/>
  <c r="J20" i="49"/>
  <c r="J15" i="49"/>
  <c r="J18" i="49"/>
  <c r="G28" i="49"/>
  <c r="H28" i="49"/>
  <c r="I24" i="49"/>
  <c r="J24" i="49" s="1"/>
  <c r="J14" i="49"/>
  <c r="I13" i="49"/>
  <c r="J27" i="49"/>
  <c r="E17" i="49"/>
  <c r="J13" i="49" l="1"/>
  <c r="F17" i="49" l="1"/>
  <c r="I17" i="49" s="1"/>
  <c r="J17" i="49" s="1"/>
  <c r="F16" i="49" l="1"/>
  <c r="I16" i="49" l="1"/>
  <c r="F21" i="49"/>
  <c r="F22" i="49" l="1"/>
  <c r="F28" i="49" s="1"/>
  <c r="J16" i="49"/>
  <c r="I21" i="49"/>
  <c r="I22" i="49" s="1"/>
  <c r="I28" i="49" s="1"/>
  <c r="J21" i="49" l="1"/>
  <c r="J28" i="49" s="1"/>
  <c r="C25" i="42" l="1"/>
  <c r="C24" i="42"/>
  <c r="C23" i="42"/>
  <c r="C81" i="42" l="1"/>
  <c r="AM23" i="42"/>
  <c r="C82" i="42"/>
  <c r="AM24" i="42"/>
  <c r="C83" i="42"/>
  <c r="AM25" i="42"/>
  <c r="C40" i="42"/>
  <c r="AM40" i="42" s="1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G20" i="42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4" i="42" s="1"/>
  <c r="V45" i="42" s="1"/>
  <c r="V46" i="42" s="1"/>
  <c r="V47" i="42" s="1"/>
  <c r="V48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S15" i="42"/>
  <c r="U17" i="42" s="1"/>
  <c r="T15" i="42"/>
  <c r="N5" i="42"/>
  <c r="N4" i="42"/>
  <c r="AD15" i="42" l="1"/>
  <c r="AE28" i="42"/>
  <c r="AB37" i="42"/>
  <c r="AB45" i="42" s="1"/>
  <c r="AG22" i="42"/>
  <c r="Y16" i="42"/>
  <c r="AA16" i="42"/>
  <c r="AD14" i="42"/>
  <c r="AG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15" i="42"/>
  <c r="AE33" i="42"/>
  <c r="AE21" i="42"/>
  <c r="AD9" i="42"/>
  <c r="AD23" i="42"/>
  <c r="AE25" i="42" l="1"/>
  <c r="AE14" i="42"/>
  <c r="AB39" i="42"/>
  <c r="AB46" i="42" s="1"/>
  <c r="AE16" i="42"/>
  <c r="AG17" i="42"/>
  <c r="AG37" i="42" s="1"/>
  <c r="AG39" i="42" s="1"/>
  <c r="AG46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5" i="42"/>
  <c r="AA37" i="42"/>
  <c r="Y37" i="42"/>
  <c r="Y39" i="42" s="1"/>
  <c r="AH45" i="42"/>
  <c r="T12" i="42"/>
  <c r="T14" i="42" s="1"/>
  <c r="T16" i="42" s="1"/>
  <c r="AH39" i="42"/>
  <c r="AH46" i="42" s="1"/>
  <c r="AE46" i="42" s="1"/>
  <c r="AE45" i="42" l="1"/>
  <c r="AA45" i="42"/>
  <c r="Y45" i="42" s="1"/>
  <c r="AA39" i="42"/>
  <c r="AA46" i="42" s="1"/>
  <c r="Y46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H2" i="47" l="1"/>
  <c r="Q5" i="46"/>
  <c r="B66" i="47"/>
  <c r="B65" i="47"/>
  <c r="B64" i="47"/>
  <c r="H32" i="47"/>
  <c r="E30" i="47"/>
  <c r="D30" i="47"/>
  <c r="G33" i="47"/>
  <c r="E29" i="47"/>
  <c r="E33" i="47" s="1"/>
  <c r="D29" i="47"/>
  <c r="D33" i="47" s="1"/>
  <c r="AY36" i="47"/>
  <c r="E28" i="47"/>
  <c r="D28" i="47"/>
  <c r="AY35" i="47"/>
  <c r="BA33" i="47"/>
  <c r="AZ33" i="47"/>
  <c r="U26" i="47"/>
  <c r="W26" i="47" s="1"/>
  <c r="X26" i="47" s="1"/>
  <c r="T26" i="47"/>
  <c r="BK25" i="47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4" i="47"/>
  <c r="BS26" i="47" s="1"/>
  <c r="BR23" i="47"/>
  <c r="BR24" i="47" s="1"/>
  <c r="BR26" i="47" s="1"/>
  <c r="BH23" i="47"/>
  <c r="E23" i="47"/>
  <c r="D23" i="47"/>
  <c r="U22" i="47"/>
  <c r="T22" i="47"/>
  <c r="T24" i="47" s="1"/>
  <c r="AM21" i="47"/>
  <c r="AJ21" i="47"/>
  <c r="AK21" i="47" s="1"/>
  <c r="AL21" i="47" s="1"/>
  <c r="BP20" i="47"/>
  <c r="BR20" i="47" s="1"/>
  <c r="BK20" i="47"/>
  <c r="BA20" i="47"/>
  <c r="BC20" i="47" s="1"/>
  <c r="BD20" i="47" s="1"/>
  <c r="AZ20" i="47"/>
  <c r="E20" i="47"/>
  <c r="D20" i="47"/>
  <c r="CA19" i="47"/>
  <c r="BZ19" i="47"/>
  <c r="BY19" i="47"/>
  <c r="BX19" i="47"/>
  <c r="BQ19" i="47"/>
  <c r="BR19" i="47" s="1"/>
  <c r="BH19" i="47"/>
  <c r="BI19" i="47" s="1"/>
  <c r="CA18" i="47"/>
  <c r="BZ18" i="47"/>
  <c r="BY18" i="47"/>
  <c r="BX18" i="47"/>
  <c r="BQ18" i="47"/>
  <c r="BR18" i="47" s="1"/>
  <c r="BH18" i="47"/>
  <c r="BC18" i="47"/>
  <c r="BA18" i="47"/>
  <c r="AZ18" i="47"/>
  <c r="U18" i="47"/>
  <c r="W18" i="47" s="1"/>
  <c r="X18" i="47" s="1"/>
  <c r="T18" i="47"/>
  <c r="M18" i="47"/>
  <c r="L18" i="47"/>
  <c r="CA17" i="47"/>
  <c r="BZ17" i="47"/>
  <c r="BY17" i="47"/>
  <c r="BX17" i="47"/>
  <c r="BQ17" i="47"/>
  <c r="BH17" i="47"/>
  <c r="AK17" i="47"/>
  <c r="AM17" i="47" s="1"/>
  <c r="AN17" i="47" s="1"/>
  <c r="AJ17" i="47"/>
  <c r="AE17" i="47"/>
  <c r="AE19" i="47" s="1"/>
  <c r="AC17" i="47"/>
  <c r="AC19" i="47" s="1"/>
  <c r="U17" i="47"/>
  <c r="W17" i="47" s="1"/>
  <c r="X17" i="47" s="1"/>
  <c r="T17" i="47"/>
  <c r="E17" i="47"/>
  <c r="D17" i="47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31" i="47" s="1"/>
  <c r="AW32" i="47" s="1"/>
  <c r="AW33" i="47" s="1"/>
  <c r="AW34" i="47" s="1"/>
  <c r="AW35" i="47" s="1"/>
  <c r="AW36" i="47" s="1"/>
  <c r="AW37" i="47" s="1"/>
  <c r="AW38" i="47" s="1"/>
  <c r="AW39" i="47" s="1"/>
  <c r="Y16" i="47"/>
  <c r="Y17" i="47" s="1"/>
  <c r="Y18" i="47" s="1"/>
  <c r="Y19" i="47" s="1"/>
  <c r="Y20" i="47" s="1"/>
  <c r="Y21" i="47" s="1"/>
  <c r="Y22" i="47" s="1"/>
  <c r="Y23" i="47" s="1"/>
  <c r="U16" i="47"/>
  <c r="T16" i="47"/>
  <c r="Q16" i="47"/>
  <c r="Q17" i="47" s="1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O17" i="47"/>
  <c r="M16" i="47"/>
  <c r="M17" i="47" s="1"/>
  <c r="L16" i="47"/>
  <c r="I16" i="47"/>
  <c r="I17" i="47" s="1"/>
  <c r="I18" i="47" s="1"/>
  <c r="I19" i="47" s="1"/>
  <c r="I20" i="47" s="1"/>
  <c r="I21" i="47" s="1"/>
  <c r="I22" i="47" s="1"/>
  <c r="E16" i="47"/>
  <c r="D16" i="47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G9" i="47"/>
  <c r="Z9" i="47"/>
  <c r="R9" i="47"/>
  <c r="J9" i="47"/>
  <c r="B9" i="47"/>
  <c r="BU8" i="47"/>
  <c r="BM8" i="47"/>
  <c r="BE8" i="47"/>
  <c r="AW8" i="47"/>
  <c r="AG8" i="47"/>
  <c r="Z8" i="47"/>
  <c r="R8" i="47"/>
  <c r="J8" i="47"/>
  <c r="B8" i="47"/>
  <c r="CJ2" i="47"/>
  <c r="CB2" i="47"/>
  <c r="BT2" i="47"/>
  <c r="BL2" i="47"/>
  <c r="BD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F38" i="46"/>
  <c r="HV29" i="46"/>
  <c r="FR37" i="46"/>
  <c r="AK37" i="46"/>
  <c r="AJ37" i="46"/>
  <c r="AE37" i="46"/>
  <c r="F37" i="46"/>
  <c r="HV27" i="46"/>
  <c r="GH33" i="46"/>
  <c r="GG33" i="46"/>
  <c r="GF33" i="46"/>
  <c r="FQ33" i="46"/>
  <c r="FP33" i="46"/>
  <c r="AK33" i="46"/>
  <c r="GJ32" i="46"/>
  <c r="FS32" i="46"/>
  <c r="FR32" i="46"/>
  <c r="AK32" i="46"/>
  <c r="AM32" i="46" s="1"/>
  <c r="AN32" i="46" s="1"/>
  <c r="GJ31" i="46"/>
  <c r="FS31" i="46"/>
  <c r="FR31" i="46"/>
  <c r="AK31" i="46"/>
  <c r="AM31" i="46" s="1"/>
  <c r="AN31" i="46" s="1"/>
  <c r="GJ30" i="46"/>
  <c r="AX37" i="44" s="1"/>
  <c r="FS30" i="46"/>
  <c r="FR30" i="46"/>
  <c r="E15" i="44"/>
  <c r="H30" i="46"/>
  <c r="HV24" i="46"/>
  <c r="HU24" i="46"/>
  <c r="HT24" i="46"/>
  <c r="FS29" i="46"/>
  <c r="FR29" i="46"/>
  <c r="H29" i="46"/>
  <c r="GA28" i="46"/>
  <c r="FY28" i="46"/>
  <c r="FX28" i="46"/>
  <c r="F28" i="46"/>
  <c r="GA27" i="46"/>
  <c r="FY27" i="46"/>
  <c r="FX27" i="46"/>
  <c r="AK27" i="46"/>
  <c r="AJ27" i="46"/>
  <c r="F27" i="46"/>
  <c r="GA26" i="46"/>
  <c r="FY26" i="46"/>
  <c r="FX26" i="46"/>
  <c r="DS26" i="46"/>
  <c r="AK26" i="46"/>
  <c r="AM26" i="46" s="1"/>
  <c r="AN26" i="46" s="1"/>
  <c r="AJ26" i="46"/>
  <c r="H26" i="46"/>
  <c r="GH25" i="46"/>
  <c r="GA25" i="46"/>
  <c r="FY25" i="46"/>
  <c r="FX25" i="46"/>
  <c r="DP25" i="46"/>
  <c r="AQ41" i="44" s="1"/>
  <c r="DN25" i="46"/>
  <c r="DL25" i="46"/>
  <c r="BL25" i="46"/>
  <c r="BK25" i="46"/>
  <c r="BJ25" i="46"/>
  <c r="BI25" i="46"/>
  <c r="BH25" i="46"/>
  <c r="AK25" i="46"/>
  <c r="AJ25" i="46"/>
  <c r="F25" i="46"/>
  <c r="HF24" i="46"/>
  <c r="HE24" i="46"/>
  <c r="HD24" i="46"/>
  <c r="GG24" i="46"/>
  <c r="GF24" i="46"/>
  <c r="GA24" i="46"/>
  <c r="FY24" i="46"/>
  <c r="FX24" i="46"/>
  <c r="FQ24" i="46"/>
  <c r="FP24" i="46"/>
  <c r="AK24" i="46"/>
  <c r="AJ24" i="46"/>
  <c r="GJ23" i="46"/>
  <c r="GG23" i="46"/>
  <c r="GF23" i="46"/>
  <c r="FS23" i="46"/>
  <c r="FR23" i="46"/>
  <c r="AK23" i="46"/>
  <c r="AM23" i="46" s="1"/>
  <c r="AN23" i="46" s="1"/>
  <c r="GG22" i="46"/>
  <c r="GF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F22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F21" i="46"/>
  <c r="D15" i="44" s="1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GY19" i="46"/>
  <c r="GY20" i="46" s="1"/>
  <c r="GY23" i="46" s="1"/>
  <c r="GV19" i="46"/>
  <c r="GV20" i="46" s="1"/>
  <c r="GV23" i="46" s="1"/>
  <c r="GH19" i="46"/>
  <c r="GH27" i="46" s="1"/>
  <c r="GA19" i="46"/>
  <c r="FY19" i="46"/>
  <c r="FX19" i="46"/>
  <c r="FQ19" i="46"/>
  <c r="FP19" i="46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F19" i="46"/>
  <c r="HU18" i="46"/>
  <c r="HT18" i="46"/>
  <c r="HD18" i="46"/>
  <c r="HF18" i="46" s="1"/>
  <c r="GJ18" i="46"/>
  <c r="GG18" i="46"/>
  <c r="GF18" i="46"/>
  <c r="GA18" i="46"/>
  <c r="FY18" i="46"/>
  <c r="FX18" i="46"/>
  <c r="FS18" i="46"/>
  <c r="AV56" i="44" s="1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F18" i="46"/>
  <c r="HU17" i="46"/>
  <c r="HT17" i="46"/>
  <c r="HO17" i="46"/>
  <c r="HM17" i="46"/>
  <c r="HL17" i="46"/>
  <c r="HE17" i="46"/>
  <c r="HF17" i="46" s="1"/>
  <c r="GJ17" i="46"/>
  <c r="AX54" i="44" s="1"/>
  <c r="GG17" i="46"/>
  <c r="GF17" i="46"/>
  <c r="GA17" i="46"/>
  <c r="FY17" i="46"/>
  <c r="FX17" i="46"/>
  <c r="FS17" i="46"/>
  <c r="AV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17" i="46"/>
  <c r="HU16" i="46"/>
  <c r="HT16" i="46"/>
  <c r="HO16" i="46"/>
  <c r="HM16" i="46"/>
  <c r="HL16" i="46"/>
  <c r="HE16" i="46"/>
  <c r="HF16" i="46" s="1"/>
  <c r="GJ16" i="46"/>
  <c r="AX53" i="44" s="1"/>
  <c r="GG16" i="46"/>
  <c r="GF16" i="46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H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FC15" i="46"/>
  <c r="FC17" i="46" s="1"/>
  <c r="FA15" i="46"/>
  <c r="EZ15" i="46"/>
  <c r="EZ17" i="46" s="1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F15" i="46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14" i="46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P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X2" i="46"/>
  <c r="P2" i="46"/>
  <c r="H2" i="46"/>
  <c r="D17" i="45"/>
  <c r="C17" i="45"/>
  <c r="E17" i="45" s="1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O59" i="44"/>
  <c r="BO48" i="44" s="1"/>
  <c r="BO74" i="44" s="1"/>
  <c r="BO77" i="44" s="1"/>
  <c r="BK59" i="44"/>
  <c r="BK48" i="44" s="1"/>
  <c r="BK74" i="44" s="1"/>
  <c r="BK77" i="44" s="1"/>
  <c r="BF59" i="44"/>
  <c r="BF48" i="44" s="1"/>
  <c r="BF74" i="44" s="1"/>
  <c r="BF77" i="44" s="1"/>
  <c r="BE59" i="44"/>
  <c r="BD59" i="44"/>
  <c r="BB59" i="44"/>
  <c r="BB48" i="44" s="1"/>
  <c r="BB74" i="44" s="1"/>
  <c r="BB77" i="44" s="1"/>
  <c r="AY59" i="44"/>
  <c r="AY48" i="44" s="1"/>
  <c r="AY74" i="44" s="1"/>
  <c r="AY77" i="44" s="1"/>
  <c r="AU59" i="44"/>
  <c r="AU48" i="44" s="1"/>
  <c r="AU74" i="44" s="1"/>
  <c r="AU77" i="44" s="1"/>
  <c r="AT59" i="44"/>
  <c r="AT48" i="44" s="1"/>
  <c r="AT74" i="44" s="1"/>
  <c r="AT77" i="44" s="1"/>
  <c r="AS59" i="44"/>
  <c r="AS48" i="44" s="1"/>
  <c r="AS74" i="44" s="1"/>
  <c r="AS77" i="44" s="1"/>
  <c r="AR59" i="44"/>
  <c r="AQ59" i="44"/>
  <c r="AP59" i="44"/>
  <c r="AP48" i="44" s="1"/>
  <c r="AP74" i="44" s="1"/>
  <c r="AP77" i="44" s="1"/>
  <c r="AO59" i="44"/>
  <c r="AO48" i="44" s="1"/>
  <c r="AO74" i="44" s="1"/>
  <c r="AO77" i="44" s="1"/>
  <c r="AN59" i="44"/>
  <c r="AM59" i="44"/>
  <c r="AM48" i="44" s="1"/>
  <c r="AM74" i="44" s="1"/>
  <c r="AM77" i="44" s="1"/>
  <c r="AL59" i="44"/>
  <c r="AL48" i="44" s="1"/>
  <c r="AL74" i="44" s="1"/>
  <c r="AL77" i="44" s="1"/>
  <c r="AK59" i="44"/>
  <c r="AK48" i="44" s="1"/>
  <c r="AK74" i="44" s="1"/>
  <c r="AK77" i="44" s="1"/>
  <c r="AH59" i="44"/>
  <c r="AG59" i="44"/>
  <c r="AB59" i="44"/>
  <c r="AA59" i="44"/>
  <c r="AA48" i="44" s="1"/>
  <c r="AA74" i="44" s="1"/>
  <c r="AA77" i="44" s="1"/>
  <c r="Y59" i="44"/>
  <c r="Y48" i="44" s="1"/>
  <c r="Y74" i="44" s="1"/>
  <c r="Y77" i="44" s="1"/>
  <c r="X59" i="44"/>
  <c r="X48" i="44" s="1"/>
  <c r="X74" i="44" s="1"/>
  <c r="X77" i="44" s="1"/>
  <c r="W59" i="44"/>
  <c r="W48" i="44" s="1"/>
  <c r="W74" i="44" s="1"/>
  <c r="W77" i="44" s="1"/>
  <c r="T59" i="44"/>
  <c r="T48" i="44" s="1"/>
  <c r="T74" i="44" s="1"/>
  <c r="T77" i="44" s="1"/>
  <c r="S59" i="44"/>
  <c r="S48" i="44" s="1"/>
  <c r="S74" i="44" s="1"/>
  <c r="S77" i="44" s="1"/>
  <c r="R59" i="44"/>
  <c r="Q59" i="44"/>
  <c r="Q48" i="44" s="1"/>
  <c r="Q74" i="44" s="1"/>
  <c r="Q77" i="44" s="1"/>
  <c r="P59" i="44"/>
  <c r="P48" i="44" s="1"/>
  <c r="P74" i="44" s="1"/>
  <c r="P77" i="44" s="1"/>
  <c r="O59" i="44"/>
  <c r="O48" i="44" s="1"/>
  <c r="O74" i="44" s="1"/>
  <c r="O77" i="44" s="1"/>
  <c r="N59" i="44"/>
  <c r="M59" i="44"/>
  <c r="M48" i="44" s="1"/>
  <c r="M74" i="44" s="1"/>
  <c r="M77" i="44" s="1"/>
  <c r="L59" i="44"/>
  <c r="L48" i="44" s="1"/>
  <c r="L74" i="44" s="1"/>
  <c r="L77" i="44" s="1"/>
  <c r="K59" i="44"/>
  <c r="K48" i="44" s="1"/>
  <c r="K74" i="44" s="1"/>
  <c r="K77" i="44" s="1"/>
  <c r="J59" i="44"/>
  <c r="I59" i="44"/>
  <c r="H59" i="44"/>
  <c r="H48" i="44" s="1"/>
  <c r="H74" i="44" s="1"/>
  <c r="H77" i="44" s="1"/>
  <c r="G59" i="44"/>
  <c r="G48" i="44" s="1"/>
  <c r="G74" i="44" s="1"/>
  <c r="G77" i="44" s="1"/>
  <c r="E59" i="44"/>
  <c r="E48" i="44" s="1"/>
  <c r="E74" i="44" s="1"/>
  <c r="E77" i="44" s="1"/>
  <c r="D59" i="44"/>
  <c r="D48" i="44" s="1"/>
  <c r="BP58" i="44"/>
  <c r="BP57" i="44"/>
  <c r="AW56" i="44"/>
  <c r="AW54" i="44"/>
  <c r="AW53" i="44"/>
  <c r="BE48" i="44"/>
  <c r="BE74" i="44" s="1"/>
  <c r="BE77" i="44" s="1"/>
  <c r="BD48" i="44"/>
  <c r="BD74" i="44" s="1"/>
  <c r="BD77" i="44" s="1"/>
  <c r="AR48" i="44"/>
  <c r="AR74" i="44" s="1"/>
  <c r="AR77" i="44" s="1"/>
  <c r="AQ48" i="44"/>
  <c r="AQ74" i="44" s="1"/>
  <c r="AQ77" i="44" s="1"/>
  <c r="AN48" i="44"/>
  <c r="AN74" i="44" s="1"/>
  <c r="AN77" i="44" s="1"/>
  <c r="AH48" i="44"/>
  <c r="AH74" i="44" s="1"/>
  <c r="AH77" i="44" s="1"/>
  <c r="AG48" i="44"/>
  <c r="AG74" i="44" s="1"/>
  <c r="AG77" i="44" s="1"/>
  <c r="AB48" i="44"/>
  <c r="AB74" i="44" s="1"/>
  <c r="AB77" i="44" s="1"/>
  <c r="R48" i="44"/>
  <c r="R74" i="44" s="1"/>
  <c r="R77" i="44" s="1"/>
  <c r="N48" i="44"/>
  <c r="N74" i="44" s="1"/>
  <c r="N77" i="44" s="1"/>
  <c r="J48" i="44"/>
  <c r="J74" i="44" s="1"/>
  <c r="J77" i="44" s="1"/>
  <c r="I48" i="44"/>
  <c r="I74" i="44" s="1"/>
  <c r="I77" i="44" s="1"/>
  <c r="AO45" i="44"/>
  <c r="AN45" i="44"/>
  <c r="C43" i="44"/>
  <c r="C43" i="43" s="1"/>
  <c r="C42" i="44"/>
  <c r="C42" i="43" s="1"/>
  <c r="C41" i="44"/>
  <c r="C41" i="43" s="1"/>
  <c r="BP40" i="44"/>
  <c r="C40" i="44"/>
  <c r="AB15" i="47" s="1"/>
  <c r="C39" i="44"/>
  <c r="C39" i="43" s="1"/>
  <c r="AI38" i="44"/>
  <c r="D38" i="43" s="1"/>
  <c r="C38" i="44"/>
  <c r="C37" i="44"/>
  <c r="C37" i="43" s="1"/>
  <c r="C36" i="44"/>
  <c r="C36" i="43" s="1"/>
  <c r="C35" i="44"/>
  <c r="C35" i="43" s="1"/>
  <c r="BP34" i="44"/>
  <c r="F34" i="43" s="1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O27" i="44"/>
  <c r="BO44" i="44" s="1"/>
  <c r="BK27" i="44"/>
  <c r="BK44" i="44" s="1"/>
  <c r="BJ27" i="44"/>
  <c r="BI27" i="44"/>
  <c r="BH27" i="44"/>
  <c r="BG27" i="44"/>
  <c r="BF27" i="44"/>
  <c r="BE27" i="44"/>
  <c r="BC27" i="44"/>
  <c r="BB27" i="44"/>
  <c r="BA27" i="44"/>
  <c r="AZ27" i="44"/>
  <c r="AY27" i="44"/>
  <c r="AX27" i="44"/>
  <c r="AW27" i="44"/>
  <c r="AV27" i="44"/>
  <c r="AU27" i="44"/>
  <c r="AT27" i="44"/>
  <c r="AS27" i="44"/>
  <c r="AR27" i="44"/>
  <c r="AP27" i="44"/>
  <c r="AO27" i="44"/>
  <c r="AN27" i="44"/>
  <c r="AM27" i="44"/>
  <c r="AL27" i="44"/>
  <c r="AK27" i="44"/>
  <c r="AH27" i="44"/>
  <c r="AH44" i="44" s="1"/>
  <c r="AG27" i="44"/>
  <c r="AG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P26" i="44"/>
  <c r="F26" i="43" s="1"/>
  <c r="C26" i="44"/>
  <c r="C26" i="43" s="1"/>
  <c r="AI25" i="44"/>
  <c r="D25" i="43" s="1"/>
  <c r="C25" i="44"/>
  <c r="C25" i="43" s="1"/>
  <c r="C24" i="44"/>
  <c r="C24" i="43" s="1"/>
  <c r="C23" i="44"/>
  <c r="BO18" i="44"/>
  <c r="BO46" i="44" s="1"/>
  <c r="BK18" i="44"/>
  <c r="BJ18" i="44"/>
  <c r="BI18" i="44"/>
  <c r="BH18" i="44"/>
  <c r="BG18" i="44"/>
  <c r="BF18" i="44"/>
  <c r="BE18" i="44"/>
  <c r="BC18" i="44"/>
  <c r="BB18" i="44"/>
  <c r="BA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H18" i="44"/>
  <c r="AG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AI16" i="44"/>
  <c r="D16" i="43" s="1"/>
  <c r="C16" i="44"/>
  <c r="C16" i="43" s="1"/>
  <c r="C15" i="44"/>
  <c r="C15" i="43" s="1"/>
  <c r="C14" i="44"/>
  <c r="C14" i="43" s="1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BD9" i="44"/>
  <c r="AV9" i="44"/>
  <c r="AR9" i="44"/>
  <c r="AR79" i="44" s="1"/>
  <c r="AK9" i="44"/>
  <c r="Y9" i="44"/>
  <c r="Y79" i="44" s="1"/>
  <c r="V9" i="44"/>
  <c r="E9" i="44"/>
  <c r="A5" i="44"/>
  <c r="A4" i="44"/>
  <c r="F58" i="43"/>
  <c r="F57" i="43"/>
  <c r="F40" i="43"/>
  <c r="H27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M13" i="42"/>
  <c r="I13" i="42"/>
  <c r="I14" i="42" s="1"/>
  <c r="I15" i="42" s="1"/>
  <c r="I16" i="42" s="1"/>
  <c r="I17" i="42" s="1"/>
  <c r="G17" i="42"/>
  <c r="F13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2" i="42"/>
  <c r="G16" i="42" s="1"/>
  <c r="F12" i="42"/>
  <c r="J5" i="42"/>
  <c r="D5" i="42"/>
  <c r="A5" i="42"/>
  <c r="J4" i="42"/>
  <c r="D4" i="42"/>
  <c r="A4" i="42"/>
  <c r="AJ38" i="44" l="1"/>
  <c r="ET9" i="46"/>
  <c r="V79" i="44"/>
  <c r="H9" i="46"/>
  <c r="AK79" i="44"/>
  <c r="N9" i="46"/>
  <c r="E79" i="44"/>
  <c r="D74" i="44"/>
  <c r="D77" i="44" s="1"/>
  <c r="R10" i="57"/>
  <c r="AA10" i="57" s="1"/>
  <c r="FT9" i="46"/>
  <c r="AV79" i="44"/>
  <c r="H10" i="47"/>
  <c r="BD79" i="44"/>
  <c r="BC33" i="47"/>
  <c r="AZ40" i="47"/>
  <c r="AZ36" i="47"/>
  <c r="AZ42" i="47" s="1"/>
  <c r="AZ35" i="47"/>
  <c r="AZ41" i="47" s="1"/>
  <c r="AW40" i="47"/>
  <c r="AW41" i="47" s="1"/>
  <c r="AW42" i="47" s="1"/>
  <c r="AW43" i="47" s="1"/>
  <c r="AV55" i="44"/>
  <c r="AL9" i="44"/>
  <c r="AW9" i="44"/>
  <c r="GJ22" i="46"/>
  <c r="GJ24" i="46"/>
  <c r="AX56" i="44" s="1"/>
  <c r="BI17" i="47"/>
  <c r="BJ17" i="47" s="1"/>
  <c r="BI18" i="47"/>
  <c r="BL18" i="47" s="1"/>
  <c r="BH54" i="44" s="1"/>
  <c r="BI23" i="47"/>
  <c r="BJ23" i="47" s="1"/>
  <c r="BJ25" i="47" s="1"/>
  <c r="AK19" i="47"/>
  <c r="AK23" i="47" s="1"/>
  <c r="K41" i="44"/>
  <c r="K27" i="44"/>
  <c r="R41" i="44"/>
  <c r="BR17" i="47"/>
  <c r="BT17" i="47" s="1"/>
  <c r="BQ20" i="47"/>
  <c r="E25" i="43"/>
  <c r="E16" i="45"/>
  <c r="E18" i="45" s="1"/>
  <c r="F9" i="44"/>
  <c r="F79" i="44" s="1"/>
  <c r="AG46" i="44"/>
  <c r="AG73" i="44" s="1"/>
  <c r="AG76" i="44" s="1"/>
  <c r="FP26" i="46"/>
  <c r="AH46" i="44"/>
  <c r="AH47" i="44" s="1"/>
  <c r="FQ26" i="46"/>
  <c r="C40" i="43"/>
  <c r="U17" i="46"/>
  <c r="AW59" i="44"/>
  <c r="AW48" i="44" s="1"/>
  <c r="FZ1" i="46" s="1"/>
  <c r="K33" i="44"/>
  <c r="AL15" i="44"/>
  <c r="BP15" i="44" s="1"/>
  <c r="F15" i="43" s="1"/>
  <c r="AL42" i="46"/>
  <c r="H39" i="44" s="1"/>
  <c r="HH17" i="46"/>
  <c r="H23" i="46"/>
  <c r="AK14" i="44" s="1"/>
  <c r="CO20" i="46"/>
  <c r="HH21" i="46"/>
  <c r="HH22" i="46" s="1"/>
  <c r="HH24" i="46" s="1"/>
  <c r="HH16" i="46"/>
  <c r="FT31" i="46"/>
  <c r="N16" i="47"/>
  <c r="N17" i="47" s="1"/>
  <c r="T27" i="47"/>
  <c r="FB15" i="46"/>
  <c r="FB17" i="46" s="1"/>
  <c r="FB19" i="46" s="1"/>
  <c r="FB20" i="46" s="1"/>
  <c r="AL16" i="46"/>
  <c r="AL18" i="46"/>
  <c r="H15" i="44" s="1"/>
  <c r="FT30" i="46"/>
  <c r="AV39" i="44"/>
  <c r="E40" i="51" s="1"/>
  <c r="E42" i="51" s="1"/>
  <c r="E16" i="51" s="1"/>
  <c r="AL43" i="46"/>
  <c r="H24" i="44" s="1"/>
  <c r="AL45" i="46"/>
  <c r="H16" i="47"/>
  <c r="CB18" i="47"/>
  <c r="BJ54" i="44" s="1"/>
  <c r="F31" i="46"/>
  <c r="D17" i="44" s="1"/>
  <c r="BT18" i="47"/>
  <c r="FS24" i="46"/>
  <c r="C41" i="51" s="1"/>
  <c r="C42" i="51" s="1"/>
  <c r="C16" i="51" s="1"/>
  <c r="FT22" i="46"/>
  <c r="M19" i="47"/>
  <c r="M21" i="47" s="1"/>
  <c r="M22" i="47" s="1"/>
  <c r="N18" i="47"/>
  <c r="AL24" i="46"/>
  <c r="H23" i="47"/>
  <c r="H28" i="47"/>
  <c r="AV36" i="44"/>
  <c r="F39" i="46"/>
  <c r="D39" i="44" s="1"/>
  <c r="AL17" i="47"/>
  <c r="AB30" i="44" s="1"/>
  <c r="AM18" i="46"/>
  <c r="AN18" i="46" s="1"/>
  <c r="AL25" i="46"/>
  <c r="V16" i="47"/>
  <c r="BY20" i="47"/>
  <c r="AL20" i="46"/>
  <c r="AM24" i="46"/>
  <c r="AN24" i="46" s="1"/>
  <c r="AL27" i="46"/>
  <c r="BS20" i="47"/>
  <c r="CA20" i="47"/>
  <c r="FS19" i="46"/>
  <c r="FT17" i="46"/>
  <c r="FT23" i="46"/>
  <c r="CN20" i="46"/>
  <c r="GB18" i="46"/>
  <c r="BS16" i="46"/>
  <c r="BS18" i="46" s="1"/>
  <c r="W14" i="46"/>
  <c r="X14" i="46" s="1"/>
  <c r="X17" i="46" s="1"/>
  <c r="AL15" i="46"/>
  <c r="AM16" i="46"/>
  <c r="AN16" i="46" s="1"/>
  <c r="FR33" i="46"/>
  <c r="AM43" i="46"/>
  <c r="AN43" i="46" s="1"/>
  <c r="W16" i="47"/>
  <c r="X16" i="47" s="1"/>
  <c r="X19" i="47" s="1"/>
  <c r="CB19" i="47"/>
  <c r="BJ56" i="44" s="1"/>
  <c r="AN21" i="47"/>
  <c r="BF38" i="44" s="1"/>
  <c r="E12" i="51" s="1"/>
  <c r="T17" i="46"/>
  <c r="EB17" i="46"/>
  <c r="EB19" i="46" s="1"/>
  <c r="EB21" i="46" s="1"/>
  <c r="FR19" i="46"/>
  <c r="FT18" i="46"/>
  <c r="AL21" i="46"/>
  <c r="FR24" i="46"/>
  <c r="FZ24" i="46"/>
  <c r="H31" i="46"/>
  <c r="AK17" i="44" s="1"/>
  <c r="GB28" i="46"/>
  <c r="FT29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BH20" i="47"/>
  <c r="BX20" i="47"/>
  <c r="CB17" i="47"/>
  <c r="BJ53" i="44" s="1"/>
  <c r="F20" i="47"/>
  <c r="F28" i="47"/>
  <c r="AZ43" i="44"/>
  <c r="AV53" i="44"/>
  <c r="F23" i="46"/>
  <c r="V14" i="46"/>
  <c r="F42" i="44" s="1"/>
  <c r="AK28" i="46"/>
  <c r="FT16" i="46"/>
  <c r="GF19" i="46"/>
  <c r="AL17" i="46"/>
  <c r="AR21" i="46"/>
  <c r="AL19" i="46"/>
  <c r="ED20" i="46"/>
  <c r="AM27" i="46"/>
  <c r="AN27" i="46" s="1"/>
  <c r="FT32" i="46"/>
  <c r="AM33" i="46"/>
  <c r="AN33" i="46" s="1"/>
  <c r="AL40" i="46"/>
  <c r="AJ19" i="47"/>
  <c r="AJ23" i="47" s="1"/>
  <c r="P16" i="47"/>
  <c r="P17" i="47" s="1"/>
  <c r="BZ20" i="47"/>
  <c r="H20" i="47"/>
  <c r="BB33" i="47"/>
  <c r="C26" i="42"/>
  <c r="AX39" i="44"/>
  <c r="F17" i="47"/>
  <c r="H29" i="47"/>
  <c r="H33" i="47" s="1"/>
  <c r="F30" i="47"/>
  <c r="F29" i="47"/>
  <c r="F33" i="47" s="1"/>
  <c r="DG16" i="46"/>
  <c r="H17" i="47"/>
  <c r="F23" i="47"/>
  <c r="H30" i="47"/>
  <c r="O18" i="47"/>
  <c r="P18" i="47" s="1"/>
  <c r="DN16" i="46"/>
  <c r="R29" i="44" s="1"/>
  <c r="AI29" i="44" s="1"/>
  <c r="HV17" i="46"/>
  <c r="DV18" i="46"/>
  <c r="DF15" i="46"/>
  <c r="DV15" i="46"/>
  <c r="HX16" i="46"/>
  <c r="GB17" i="46"/>
  <c r="HN17" i="46"/>
  <c r="HX17" i="46"/>
  <c r="HV18" i="46"/>
  <c r="DD16" i="46"/>
  <c r="BT15" i="46"/>
  <c r="AN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Q29" i="44" s="1"/>
  <c r="EF16" i="46"/>
  <c r="GB16" i="46"/>
  <c r="AS21" i="46"/>
  <c r="DP18" i="46"/>
  <c r="AQ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U19" i="47"/>
  <c r="V18" i="47"/>
  <c r="M14" i="42"/>
  <c r="C18" i="43"/>
  <c r="C38" i="43"/>
  <c r="E38" i="43" s="1"/>
  <c r="AJ16" i="44"/>
  <c r="C27" i="44"/>
  <c r="C44" i="44" s="1"/>
  <c r="AJ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Z56" i="44" s="1"/>
  <c r="AZ59" i="44" s="1"/>
  <c r="HN15" i="46"/>
  <c r="HV16" i="46"/>
  <c r="DX18" i="46"/>
  <c r="DP19" i="46"/>
  <c r="AQ32" i="44" s="1"/>
  <c r="DP20" i="46"/>
  <c r="GB20" i="46"/>
  <c r="DP21" i="46"/>
  <c r="GB21" i="46"/>
  <c r="DP22" i="46"/>
  <c r="AQ35" i="44" s="1"/>
  <c r="FZ22" i="46"/>
  <c r="GB24" i="46"/>
  <c r="HU25" i="46"/>
  <c r="HU27" i="46" s="1"/>
  <c r="GI35" i="46"/>
  <c r="GI37" i="46" s="1"/>
  <c r="GJ37" i="46" s="1"/>
  <c r="AX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BB32" i="44" s="1"/>
  <c r="HU19" i="46"/>
  <c r="HU21" i="46" s="1"/>
  <c r="HX18" i="46"/>
  <c r="GB22" i="46"/>
  <c r="AW36" i="44" s="1"/>
  <c r="FZ25" i="46"/>
  <c r="GJ33" i="46"/>
  <c r="HV30" i="46"/>
  <c r="GJ19" i="46"/>
  <c r="C18" i="44"/>
  <c r="AR16" i="46"/>
  <c r="CA14" i="46"/>
  <c r="CB14" i="46" s="1"/>
  <c r="CB16" i="46" s="1"/>
  <c r="CB18" i="46" s="1"/>
  <c r="AO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8" i="42"/>
  <c r="I18" i="42"/>
  <c r="AH73" i="44"/>
  <c r="AH76" i="44" s="1"/>
  <c r="F17" i="42"/>
  <c r="H17" i="42" s="1"/>
  <c r="H13" i="42"/>
  <c r="C42" i="46"/>
  <c r="AI31" i="46"/>
  <c r="E16" i="43"/>
  <c r="V9" i="46"/>
  <c r="N10" i="47"/>
  <c r="Z9" i="44"/>
  <c r="Z79" i="44" s="1"/>
  <c r="BE9" i="44"/>
  <c r="DX9" i="46"/>
  <c r="AS9" i="44"/>
  <c r="F16" i="42"/>
  <c r="F14" i="42"/>
  <c r="H12" i="42"/>
  <c r="C43" i="46"/>
  <c r="AI32" i="46"/>
  <c r="E35" i="44"/>
  <c r="BK46" i="44"/>
  <c r="AB17" i="47"/>
  <c r="AB19" i="47" s="1"/>
  <c r="AD15" i="47"/>
  <c r="U46" i="44"/>
  <c r="BO73" i="44"/>
  <c r="BO76" i="44" s="1"/>
  <c r="C23" i="43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E14" i="45"/>
  <c r="G61" i="44" s="1"/>
  <c r="DH14" i="46"/>
  <c r="DP15" i="46"/>
  <c r="AQ24" i="44" s="1"/>
  <c r="GR15" i="46"/>
  <c r="HP15" i="46"/>
  <c r="GY16" i="46"/>
  <c r="DP17" i="46"/>
  <c r="AQ30" i="44" s="1"/>
  <c r="HP17" i="46"/>
  <c r="AU18" i="46"/>
  <c r="AM19" i="46"/>
  <c r="AN19" i="46" s="1"/>
  <c r="CQ19" i="46"/>
  <c r="CR19" i="46" s="1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C46" i="51"/>
  <c r="FT21" i="46"/>
  <c r="HG22" i="46"/>
  <c r="HG24" i="46" s="1"/>
  <c r="ET20" i="46"/>
  <c r="DX21" i="46"/>
  <c r="AL22" i="46"/>
  <c r="AL26" i="46"/>
  <c r="GB26" i="46"/>
  <c r="FS33" i="46"/>
  <c r="FS35" i="46" s="1"/>
  <c r="HW25" i="46"/>
  <c r="HW27" i="46" s="1"/>
  <c r="AJ47" i="46"/>
  <c r="AK34" i="46"/>
  <c r="BT19" i="47"/>
  <c r="AL37" i="46"/>
  <c r="AM37" i="46"/>
  <c r="CC31" i="47"/>
  <c r="CC32" i="47" s="1"/>
  <c r="BL19" i="47"/>
  <c r="BJ19" i="47"/>
  <c r="AM42" i="46"/>
  <c r="AN42" i="46" s="1"/>
  <c r="AL44" i="46"/>
  <c r="AL46" i="46"/>
  <c r="F16" i="47"/>
  <c r="W22" i="47"/>
  <c r="V22" i="47"/>
  <c r="U24" i="47"/>
  <c r="U27" i="47" s="1"/>
  <c r="AL15" i="47"/>
  <c r="G24" i="47"/>
  <c r="G31" i="47" s="1"/>
  <c r="G34" i="47" s="1"/>
  <c r="L17" i="47"/>
  <c r="L19" i="47" s="1"/>
  <c r="V17" i="47"/>
  <c r="BB20" i="47"/>
  <c r="AZ19" i="47"/>
  <c r="AZ21" i="47" s="1"/>
  <c r="BB18" i="47"/>
  <c r="BA19" i="47"/>
  <c r="BA21" i="47" s="1"/>
  <c r="BT23" i="47"/>
  <c r="BT24" i="47" s="1"/>
  <c r="CB23" i="47"/>
  <c r="CB24" i="47" s="1"/>
  <c r="BH25" i="47"/>
  <c r="BL17" i="47" l="1"/>
  <c r="BA27" i="47"/>
  <c r="BC27" i="47" s="1"/>
  <c r="BD27" i="47" s="1"/>
  <c r="EF9" i="46"/>
  <c r="AS79" i="44"/>
  <c r="P10" i="47"/>
  <c r="BE79" i="44"/>
  <c r="GB9" i="46"/>
  <c r="AW79" i="44"/>
  <c r="AX9" i="44"/>
  <c r="P9" i="46"/>
  <c r="AL79" i="44"/>
  <c r="G9" i="44"/>
  <c r="G79" i="44" s="1"/>
  <c r="R13" i="57" s="1"/>
  <c r="AA13" i="57" s="1"/>
  <c r="AW74" i="44"/>
  <c r="AW77" i="44" s="1"/>
  <c r="F11" i="57"/>
  <c r="F13" i="57"/>
  <c r="F12" i="57"/>
  <c r="R11" i="57"/>
  <c r="AA11" i="57" s="1"/>
  <c r="AG47" i="44"/>
  <c r="GJ25" i="46"/>
  <c r="GJ27" i="46" s="1"/>
  <c r="BA26" i="47"/>
  <c r="BC26" i="47" s="1"/>
  <c r="AX55" i="44"/>
  <c r="AX59" i="44" s="1"/>
  <c r="BD33" i="47"/>
  <c r="BD19" i="47" s="1"/>
  <c r="BD21" i="47" s="1"/>
  <c r="AZ37" i="47"/>
  <c r="G36" i="47"/>
  <c r="G37" i="47" s="1"/>
  <c r="X41" i="44"/>
  <c r="BD41" i="44"/>
  <c r="BJ18" i="47"/>
  <c r="BI20" i="47"/>
  <c r="BL23" i="47"/>
  <c r="BL25" i="47" s="1"/>
  <c r="BH37" i="44" s="1"/>
  <c r="BI25" i="47"/>
  <c r="C84" i="42"/>
  <c r="AM26" i="42"/>
  <c r="E45" i="51"/>
  <c r="E47" i="51" s="1"/>
  <c r="E17" i="51" s="1"/>
  <c r="C47" i="51"/>
  <c r="C17" i="51" s="1"/>
  <c r="D2" i="51"/>
  <c r="E15" i="51"/>
  <c r="R27" i="44"/>
  <c r="V24" i="47"/>
  <c r="V27" i="47" s="1"/>
  <c r="Z54" i="44"/>
  <c r="Z53" i="44"/>
  <c r="Z56" i="44"/>
  <c r="BH56" i="44"/>
  <c r="BJ59" i="44"/>
  <c r="FS26" i="46"/>
  <c r="AI15" i="44"/>
  <c r="D15" i="43" s="1"/>
  <c r="E15" i="43" s="1"/>
  <c r="G15" i="43" s="1"/>
  <c r="AI26" i="44"/>
  <c r="AJ26" i="44" s="1"/>
  <c r="BB30" i="44"/>
  <c r="BP30" i="44" s="1"/>
  <c r="F30" i="43" s="1"/>
  <c r="BP43" i="44"/>
  <c r="F43" i="43" s="1"/>
  <c r="BB31" i="44"/>
  <c r="BP31" i="44" s="1"/>
  <c r="BB35" i="44"/>
  <c r="W19" i="47"/>
  <c r="FT24" i="46"/>
  <c r="J14" i="42"/>
  <c r="P13" i="42"/>
  <c r="W17" i="46"/>
  <c r="AI30" i="44"/>
  <c r="D30" i="43" s="1"/>
  <c r="E30" i="43" s="1"/>
  <c r="AM19" i="47"/>
  <c r="AM23" i="47" s="1"/>
  <c r="N19" i="47"/>
  <c r="Y41" i="44" s="1"/>
  <c r="H33" i="44"/>
  <c r="BI59" i="44"/>
  <c r="BP54" i="44"/>
  <c r="F54" i="43" s="1"/>
  <c r="CA16" i="46"/>
  <c r="CA18" i="46" s="1"/>
  <c r="W17" i="44"/>
  <c r="GF27" i="46"/>
  <c r="HU29" i="46"/>
  <c r="HU30" i="46" s="1"/>
  <c r="CB20" i="47"/>
  <c r="AI39" i="44"/>
  <c r="D39" i="43" s="1"/>
  <c r="E39" i="43" s="1"/>
  <c r="GJ35" i="46"/>
  <c r="GJ38" i="46" s="1"/>
  <c r="AK18" i="44"/>
  <c r="BD23" i="44"/>
  <c r="BP23" i="44" s="1"/>
  <c r="F23" i="43" s="1"/>
  <c r="AK49" i="46"/>
  <c r="FT19" i="46"/>
  <c r="AN23" i="47"/>
  <c r="BG38" i="44"/>
  <c r="E34" i="51" s="1"/>
  <c r="H32" i="46"/>
  <c r="H42" i="46" s="1"/>
  <c r="AK32" i="44" s="1"/>
  <c r="AX44" i="44"/>
  <c r="AX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J29" i="44"/>
  <c r="D29" i="43"/>
  <c r="E29" i="43" s="1"/>
  <c r="F44" i="44"/>
  <c r="F46" i="44" s="1"/>
  <c r="BD17" i="44"/>
  <c r="BP17" i="44" s="1"/>
  <c r="F17" i="43" s="1"/>
  <c r="P19" i="47"/>
  <c r="BE41" i="44" s="1"/>
  <c r="F32" i="46"/>
  <c r="F42" i="46" s="1"/>
  <c r="D14" i="44"/>
  <c r="BT20" i="47"/>
  <c r="ED19" i="46"/>
  <c r="GG27" i="46"/>
  <c r="AZ44" i="44"/>
  <c r="AZ46" i="44" s="1"/>
  <c r="P58" i="58" s="1"/>
  <c r="Y58" i="58" s="1"/>
  <c r="W58" i="58" s="1"/>
  <c r="AV59" i="44"/>
  <c r="FR26" i="46"/>
  <c r="E32" i="44"/>
  <c r="AZ43" i="47"/>
  <c r="R33" i="44"/>
  <c r="BJ20" i="47"/>
  <c r="O19" i="47"/>
  <c r="AT16" i="46"/>
  <c r="I35" i="44" s="1"/>
  <c r="DV24" i="46"/>
  <c r="DV26" i="46" s="1"/>
  <c r="ED17" i="46"/>
  <c r="FZ29" i="46"/>
  <c r="W35" i="44" s="1"/>
  <c r="EC21" i="46"/>
  <c r="ED21" i="46" s="1"/>
  <c r="CR20" i="46"/>
  <c r="AI33" i="46"/>
  <c r="GI38" i="46"/>
  <c r="CJ14" i="46"/>
  <c r="CJ16" i="46" s="1"/>
  <c r="DH16" i="46"/>
  <c r="AP35" i="44" s="1"/>
  <c r="F18" i="42"/>
  <c r="C44" i="46"/>
  <c r="DP23" i="46"/>
  <c r="DP26" i="46" s="1"/>
  <c r="DP28" i="46" s="1"/>
  <c r="BC59" i="44"/>
  <c r="GR19" i="46"/>
  <c r="AY42" i="44" s="1"/>
  <c r="M16" i="42"/>
  <c r="M18" i="42" s="1"/>
  <c r="G4" i="51" s="1"/>
  <c r="EF17" i="46"/>
  <c r="AQ33" i="44"/>
  <c r="BP33" i="44" s="1"/>
  <c r="F33" i="43" s="1"/>
  <c r="DN23" i="46"/>
  <c r="DN26" i="46" s="1"/>
  <c r="DN28" i="46" s="1"/>
  <c r="BR16" i="46"/>
  <c r="L35" i="44"/>
  <c r="DM26" i="46"/>
  <c r="HX25" i="46"/>
  <c r="CQ20" i="46"/>
  <c r="GY1" i="46"/>
  <c r="AZ48" i="44"/>
  <c r="R58" i="58" s="1"/>
  <c r="AA58" i="58" s="1"/>
  <c r="C46" i="44"/>
  <c r="I7" i="58" s="1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X23" i="44"/>
  <c r="AT21" i="46"/>
  <c r="EE21" i="46"/>
  <c r="EF19" i="46"/>
  <c r="EF21" i="46" s="1"/>
  <c r="GB29" i="46"/>
  <c r="FD19" i="46"/>
  <c r="AT42" i="44" s="1"/>
  <c r="AT39" i="44"/>
  <c r="E13" i="51" s="1"/>
  <c r="P35" i="44"/>
  <c r="C27" i="43"/>
  <c r="C44" i="43" s="1"/>
  <c r="C46" i="43" s="1"/>
  <c r="U73" i="44"/>
  <c r="U76" i="44" s="1"/>
  <c r="AD17" i="47"/>
  <c r="AD19" i="47" s="1"/>
  <c r="AA40" i="44"/>
  <c r="AE18" i="46"/>
  <c r="H16" i="42"/>
  <c r="H18" i="42" s="1"/>
  <c r="H14" i="42"/>
  <c r="I19" i="42"/>
  <c r="I20" i="42" s="1"/>
  <c r="HX27" i="46"/>
  <c r="HW29" i="46"/>
  <c r="HX29" i="46" s="1"/>
  <c r="BC17" i="46"/>
  <c r="BD15" i="46"/>
  <c r="BD17" i="46" s="1"/>
  <c r="BB17" i="46"/>
  <c r="J32" i="44"/>
  <c r="BT16" i="46"/>
  <c r="BT18" i="46" s="1"/>
  <c r="AN35" i="44"/>
  <c r="AQ27" i="44"/>
  <c r="AD9" i="46"/>
  <c r="H9" i="44"/>
  <c r="H79" i="44" s="1"/>
  <c r="AM9" i="44"/>
  <c r="AL47" i="46"/>
  <c r="H34" i="44"/>
  <c r="CB26" i="47"/>
  <c r="BJ37" i="44"/>
  <c r="V19" i="47"/>
  <c r="FS37" i="46"/>
  <c r="AV42" i="44" s="1"/>
  <c r="DU30" i="46"/>
  <c r="DV28" i="46"/>
  <c r="FL16" i="46"/>
  <c r="AU39" i="44"/>
  <c r="GW20" i="46"/>
  <c r="GW23" i="46" s="1"/>
  <c r="GX19" i="46"/>
  <c r="GX20" i="46" s="1"/>
  <c r="GX23" i="46" s="1"/>
  <c r="HH18" i="46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7" i="46"/>
  <c r="GQ20" i="46"/>
  <c r="BC19" i="47"/>
  <c r="BC21" i="47" s="1"/>
  <c r="BB19" i="47"/>
  <c r="BB21" i="47" s="1"/>
  <c r="BL20" i="47"/>
  <c r="BH53" i="44"/>
  <c r="W24" i="47"/>
  <c r="W27" i="47" s="1"/>
  <c r="X22" i="47"/>
  <c r="X24" i="47" s="1"/>
  <c r="X27" i="47" s="1"/>
  <c r="BT26" i="47"/>
  <c r="L21" i="47"/>
  <c r="L22" i="47" s="1"/>
  <c r="AL19" i="47"/>
  <c r="AL23" i="47" s="1"/>
  <c r="AB31" i="44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Y32" i="44"/>
  <c r="GO20" i="46"/>
  <c r="CJ1" i="47"/>
  <c r="BK73" i="44"/>
  <c r="BK76" i="44" s="1"/>
  <c r="V10" i="47"/>
  <c r="AA9" i="44"/>
  <c r="AA79" i="44" s="1"/>
  <c r="P12" i="57" l="1"/>
  <c r="Y12" i="57" s="1"/>
  <c r="W12" i="57" s="1"/>
  <c r="P12" i="58"/>
  <c r="Y12" i="58" s="1"/>
  <c r="W12" i="58" s="1"/>
  <c r="I40" i="58"/>
  <c r="I72" i="58" s="1"/>
  <c r="P7" i="58"/>
  <c r="BD26" i="47"/>
  <c r="BC28" i="47"/>
  <c r="BB27" i="47"/>
  <c r="R14" i="57"/>
  <c r="AA14" i="57" s="1"/>
  <c r="F14" i="57"/>
  <c r="AF9" i="46"/>
  <c r="AM79" i="44"/>
  <c r="AX79" i="44"/>
  <c r="GJ9" i="46"/>
  <c r="AY9" i="44"/>
  <c r="BA28" i="47"/>
  <c r="BB26" i="47"/>
  <c r="I7" i="57"/>
  <c r="AZ74" i="44"/>
  <c r="AZ77" i="44" s="1"/>
  <c r="E14" i="51"/>
  <c r="D1" i="51"/>
  <c r="Z36" i="44"/>
  <c r="Z44" i="44" s="1"/>
  <c r="Z46" i="44" s="1"/>
  <c r="P32" i="58" s="1"/>
  <c r="Y32" i="58" s="1"/>
  <c r="W32" i="58" s="1"/>
  <c r="Z59" i="44"/>
  <c r="Z48" i="44" s="1"/>
  <c r="R32" i="58" s="1"/>
  <c r="AA32" i="58" s="1"/>
  <c r="G12" i="51"/>
  <c r="G34" i="51"/>
  <c r="BP38" i="44"/>
  <c r="F38" i="43" s="1"/>
  <c r="G38" i="43" s="1"/>
  <c r="D26" i="43"/>
  <c r="E26" i="43" s="1"/>
  <c r="G26" i="43" s="1"/>
  <c r="AI33" i="44"/>
  <c r="AJ33" i="44" s="1"/>
  <c r="AJ15" i="44"/>
  <c r="BQ26" i="44"/>
  <c r="BH59" i="44"/>
  <c r="BI48" i="44"/>
  <c r="BJ48" i="44"/>
  <c r="R68" i="58" s="1"/>
  <c r="AA68" i="58" s="1"/>
  <c r="AV48" i="44"/>
  <c r="R54" i="58" s="1"/>
  <c r="AA54" i="58" s="1"/>
  <c r="AV44" i="44"/>
  <c r="AV46" i="44" s="1"/>
  <c r="P54" i="58" s="1"/>
  <c r="Y54" i="58" s="1"/>
  <c r="W54" i="58" s="1"/>
  <c r="FT26" i="46"/>
  <c r="AI34" i="44"/>
  <c r="AJ34" i="44" s="1"/>
  <c r="D18" i="44"/>
  <c r="D32" i="44"/>
  <c r="AZ73" i="44"/>
  <c r="AZ76" i="44" s="1"/>
  <c r="BC48" i="44"/>
  <c r="I44" i="44"/>
  <c r="I46" i="44" s="1"/>
  <c r="P15" i="58" s="1"/>
  <c r="Y15" i="58" s="1"/>
  <c r="W15" i="58" s="1"/>
  <c r="N44" i="44"/>
  <c r="N46" i="44" s="1"/>
  <c r="P20" i="58" s="1"/>
  <c r="Y20" i="58" s="1"/>
  <c r="W20" i="58" s="1"/>
  <c r="N21" i="47"/>
  <c r="Y42" i="44" s="1"/>
  <c r="P21" i="47"/>
  <c r="BE42" i="44" s="1"/>
  <c r="AX73" i="44"/>
  <c r="AX76" i="44" s="1"/>
  <c r="AX48" i="44"/>
  <c r="W18" i="44"/>
  <c r="AJ30" i="44"/>
  <c r="F73" i="44"/>
  <c r="F76" i="44" s="1"/>
  <c r="I15" i="43"/>
  <c r="AI17" i="44"/>
  <c r="D17" i="43" s="1"/>
  <c r="E17" i="43" s="1"/>
  <c r="G17" i="43" s="1"/>
  <c r="F43" i="46"/>
  <c r="GZ1" i="46"/>
  <c r="AL32" i="44"/>
  <c r="AJ39" i="44"/>
  <c r="GJ1" i="46"/>
  <c r="GI1" i="46"/>
  <c r="HW30" i="46"/>
  <c r="FS1" i="46"/>
  <c r="H43" i="46"/>
  <c r="AK35" i="44" s="1"/>
  <c r="FD20" i="46"/>
  <c r="AL35" i="44"/>
  <c r="J20" i="42"/>
  <c r="C13" i="42"/>
  <c r="BC44" i="44"/>
  <c r="BC46" i="44" s="1"/>
  <c r="O21" i="47"/>
  <c r="O22" i="47" s="1"/>
  <c r="AY44" i="44"/>
  <c r="AY46" i="44" s="1"/>
  <c r="P57" i="58" s="1"/>
  <c r="Y57" i="58" s="1"/>
  <c r="W57" i="58" s="1"/>
  <c r="GR20" i="46"/>
  <c r="DO26" i="46"/>
  <c r="DO28" i="46" s="1"/>
  <c r="F44" i="46"/>
  <c r="D41" i="44" s="1"/>
  <c r="H44" i="46"/>
  <c r="G30" i="43"/>
  <c r="DM28" i="46"/>
  <c r="C73" i="44"/>
  <c r="C76" i="44" s="1"/>
  <c r="HV1" i="46"/>
  <c r="AI31" i="44"/>
  <c r="BP37" i="44"/>
  <c r="BP36" i="44"/>
  <c r="BG42" i="44"/>
  <c r="BG39" i="44"/>
  <c r="BA59" i="44"/>
  <c r="BP53" i="44"/>
  <c r="AW35" i="44"/>
  <c r="AI23" i="44"/>
  <c r="AN49" i="46"/>
  <c r="DV30" i="46"/>
  <c r="S35" i="44"/>
  <c r="FS38" i="46"/>
  <c r="AT44" i="44"/>
  <c r="AT46" i="44" s="1"/>
  <c r="P52" i="58" s="1"/>
  <c r="Y52" i="58" s="1"/>
  <c r="W52" i="58" s="1"/>
  <c r="AS35" i="44"/>
  <c r="AD10" i="47"/>
  <c r="AB9" i="44"/>
  <c r="AB79" i="44" s="1"/>
  <c r="DW30" i="46"/>
  <c r="DX28" i="46"/>
  <c r="AM49" i="46"/>
  <c r="AL9" i="46"/>
  <c r="I9" i="44"/>
  <c r="I79" i="44" s="1"/>
  <c r="T35" i="44"/>
  <c r="HX30" i="46"/>
  <c r="F31" i="43"/>
  <c r="AI40" i="44"/>
  <c r="C69" i="43"/>
  <c r="BD28" i="47" l="1"/>
  <c r="BN61" i="44"/>
  <c r="BN63" i="44" s="1"/>
  <c r="AD61" i="44"/>
  <c r="AD63" i="44" s="1"/>
  <c r="BM61" i="44"/>
  <c r="BM63" i="44" s="1"/>
  <c r="AF61" i="44"/>
  <c r="AF63" i="44" s="1"/>
  <c r="AE61" i="44"/>
  <c r="AE63" i="44" s="1"/>
  <c r="BL61" i="44"/>
  <c r="BL63" i="44" s="1"/>
  <c r="F15" i="57"/>
  <c r="R15" i="57"/>
  <c r="AA15" i="57" s="1"/>
  <c r="AY79" i="44"/>
  <c r="GR9" i="46"/>
  <c r="AZ9" i="44"/>
  <c r="AC55" i="44"/>
  <c r="BB28" i="47"/>
  <c r="AX74" i="44"/>
  <c r="AX77" i="44" s="1"/>
  <c r="CH1" i="46"/>
  <c r="FT1" i="46"/>
  <c r="AT1" i="46"/>
  <c r="P15" i="57"/>
  <c r="Y15" i="57" s="1"/>
  <c r="W15" i="57" s="1"/>
  <c r="AV74" i="44"/>
  <c r="AV77" i="44" s="1"/>
  <c r="I40" i="57"/>
  <c r="I72" i="57" s="1"/>
  <c r="P7" i="57"/>
  <c r="BC74" i="44"/>
  <c r="BC77" i="44" s="1"/>
  <c r="BJ74" i="44"/>
  <c r="BJ77" i="44" s="1"/>
  <c r="Z74" i="44"/>
  <c r="Z77" i="44" s="1"/>
  <c r="BI74" i="44"/>
  <c r="BI77" i="44" s="1"/>
  <c r="BP39" i="44"/>
  <c r="F39" i="43" s="1"/>
  <c r="G39" i="43" s="1"/>
  <c r="E35" i="51"/>
  <c r="E37" i="51" s="1"/>
  <c r="E11" i="51" s="1"/>
  <c r="E27" i="51" s="1"/>
  <c r="AM13" i="42"/>
  <c r="C71" i="42"/>
  <c r="W1" i="47"/>
  <c r="BQ38" i="44"/>
  <c r="D34" i="43"/>
  <c r="E34" i="43" s="1"/>
  <c r="G34" i="43" s="1"/>
  <c r="I26" i="43"/>
  <c r="D33" i="43"/>
  <c r="E33" i="43" s="1"/>
  <c r="G33" i="43" s="1"/>
  <c r="BQ15" i="44"/>
  <c r="I38" i="43"/>
  <c r="BA61" i="44"/>
  <c r="HW1" i="46"/>
  <c r="BQ33" i="44"/>
  <c r="BQ34" i="44"/>
  <c r="BQ30" i="44"/>
  <c r="V1" i="47"/>
  <c r="N22" i="47"/>
  <c r="Y44" i="44"/>
  <c r="Y46" i="44" s="1"/>
  <c r="P31" i="58" s="1"/>
  <c r="Y31" i="58" s="1"/>
  <c r="W31" i="58" s="1"/>
  <c r="BE44" i="44"/>
  <c r="BE46" i="44" s="1"/>
  <c r="P63" i="58" s="1"/>
  <c r="Y63" i="58" s="1"/>
  <c r="W63" i="58" s="1"/>
  <c r="FR1" i="46"/>
  <c r="BH48" i="44"/>
  <c r="R66" i="58" s="1"/>
  <c r="AA66" i="58" s="1"/>
  <c r="AV73" i="44"/>
  <c r="AV76" i="44" s="1"/>
  <c r="D35" i="44"/>
  <c r="I73" i="44"/>
  <c r="I76" i="44" s="1"/>
  <c r="BC73" i="44"/>
  <c r="BC76" i="44" s="1"/>
  <c r="N73" i="44"/>
  <c r="N76" i="44" s="1"/>
  <c r="AY73" i="44"/>
  <c r="AY76" i="44" s="1"/>
  <c r="P22" i="47"/>
  <c r="AJ17" i="44"/>
  <c r="Z73" i="44"/>
  <c r="Z76" i="44" s="1"/>
  <c r="BK61" i="44"/>
  <c r="BK63" i="44" s="1"/>
  <c r="I17" i="43"/>
  <c r="I30" i="43"/>
  <c r="HX1" i="46"/>
  <c r="BJ61" i="44"/>
  <c r="F61" i="44"/>
  <c r="F61" i="43"/>
  <c r="E61" i="43"/>
  <c r="AT61" i="44"/>
  <c r="AT63" i="44" s="1"/>
  <c r="AU61" i="44"/>
  <c r="AZ61" i="44"/>
  <c r="AZ63" i="44" s="1"/>
  <c r="BE61" i="44"/>
  <c r="K61" i="44"/>
  <c r="L61" i="44"/>
  <c r="Q61" i="44"/>
  <c r="V61" i="44"/>
  <c r="AA61" i="44"/>
  <c r="AB61" i="44"/>
  <c r="AJ61" i="44"/>
  <c r="AO61" i="44"/>
  <c r="F45" i="46"/>
  <c r="F47" i="46" s="1"/>
  <c r="I61" i="43"/>
  <c r="C61" i="43"/>
  <c r="O61" i="44"/>
  <c r="AH61" i="44"/>
  <c r="AH63" i="44" s="1"/>
  <c r="AX61" i="44"/>
  <c r="AX63" i="44" s="1"/>
  <c r="BQ61" i="44"/>
  <c r="P61" i="44"/>
  <c r="AI61" i="44"/>
  <c r="AY61" i="44"/>
  <c r="AY63" i="44" s="1"/>
  <c r="E61" i="44"/>
  <c r="U61" i="44"/>
  <c r="AN61" i="44"/>
  <c r="BD61" i="44"/>
  <c r="J61" i="44"/>
  <c r="Z61" i="44"/>
  <c r="Z63" i="44" s="1"/>
  <c r="AS61" i="44"/>
  <c r="BI61" i="44"/>
  <c r="D61" i="43"/>
  <c r="G61" i="43"/>
  <c r="S61" i="44"/>
  <c r="AL61" i="44"/>
  <c r="BB61" i="44"/>
  <c r="D61" i="44"/>
  <c r="T61" i="44"/>
  <c r="AM61" i="44"/>
  <c r="BC61" i="44"/>
  <c r="BC63" i="44" s="1"/>
  <c r="I61" i="44"/>
  <c r="I63" i="44" s="1"/>
  <c r="Y61" i="44"/>
  <c r="AR61" i="44"/>
  <c r="BH61" i="44"/>
  <c r="N61" i="44"/>
  <c r="N63" i="44" s="1"/>
  <c r="AG61" i="44"/>
  <c r="AG63" i="44" s="1"/>
  <c r="AW61" i="44"/>
  <c r="BP61" i="44"/>
  <c r="H61" i="43"/>
  <c r="C61" i="44"/>
  <c r="W61" i="44"/>
  <c r="AP61" i="44"/>
  <c r="BF61" i="44"/>
  <c r="H61" i="44"/>
  <c r="X61" i="44"/>
  <c r="AQ61" i="44"/>
  <c r="BG61" i="44"/>
  <c r="M61" i="44"/>
  <c r="AC61" i="44"/>
  <c r="AV61" i="44"/>
  <c r="AV63" i="44" s="1"/>
  <c r="BO61" i="44"/>
  <c r="BO63" i="44" s="1"/>
  <c r="R61" i="44"/>
  <c r="AK61" i="44"/>
  <c r="BG44" i="44"/>
  <c r="BG46" i="44" s="1"/>
  <c r="P65" i="58" s="1"/>
  <c r="Y65" i="58" s="1"/>
  <c r="W65" i="58" s="1"/>
  <c r="GR1" i="46"/>
  <c r="AK41" i="44"/>
  <c r="H45" i="46"/>
  <c r="H47" i="46" s="1"/>
  <c r="E41" i="44"/>
  <c r="DX30" i="46"/>
  <c r="AR35" i="44"/>
  <c r="D23" i="43"/>
  <c r="AJ23" i="44"/>
  <c r="F53" i="43"/>
  <c r="AL10" i="47"/>
  <c r="AC9" i="44"/>
  <c r="AC79" i="44" s="1"/>
  <c r="BF9" i="44"/>
  <c r="BF79" i="44" s="1"/>
  <c r="BP32" i="44"/>
  <c r="BA48" i="44"/>
  <c r="F37" i="43"/>
  <c r="AJ40" i="44"/>
  <c r="D40" i="43"/>
  <c r="E40" i="43" s="1"/>
  <c r="G40" i="43" s="1"/>
  <c r="FD1" i="46"/>
  <c r="AT73" i="44"/>
  <c r="AT76" i="44" s="1"/>
  <c r="AT9" i="46"/>
  <c r="J9" i="44"/>
  <c r="J79" i="44" s="1"/>
  <c r="F36" i="43"/>
  <c r="D31" i="43"/>
  <c r="E31" i="43" s="1"/>
  <c r="G31" i="43" s="1"/>
  <c r="AJ31" i="44"/>
  <c r="BQ39" i="44" l="1"/>
  <c r="AZ79" i="44"/>
  <c r="GZ9" i="46"/>
  <c r="BA9" i="44"/>
  <c r="F16" i="57"/>
  <c r="R16" i="57"/>
  <c r="AA16" i="57" s="1"/>
  <c r="F17" i="57"/>
  <c r="BE63" i="44"/>
  <c r="N1" i="47"/>
  <c r="BH74" i="44"/>
  <c r="BH77" i="44" s="1"/>
  <c r="I33" i="43"/>
  <c r="I34" i="43"/>
  <c r="Y63" i="44"/>
  <c r="BQ31" i="44"/>
  <c r="BQ40" i="44"/>
  <c r="BQ17" i="44"/>
  <c r="BE73" i="44"/>
  <c r="BE76" i="44" s="1"/>
  <c r="Y73" i="44"/>
  <c r="Y76" i="44" s="1"/>
  <c r="P1" i="47"/>
  <c r="I31" i="43"/>
  <c r="I39" i="43"/>
  <c r="I40" i="43"/>
  <c r="BG73" i="44"/>
  <c r="BG76" i="44" s="1"/>
  <c r="AL41" i="44"/>
  <c r="BB10" i="47"/>
  <c r="AG9" i="44"/>
  <c r="AH9" i="44" s="1"/>
  <c r="BQ23" i="44"/>
  <c r="BB9" i="46"/>
  <c r="K9" i="44"/>
  <c r="K79" i="44" s="1"/>
  <c r="F32" i="43"/>
  <c r="HG1" i="46"/>
  <c r="BA74" i="44"/>
  <c r="BA77" i="44" s="1"/>
  <c r="E23" i="43"/>
  <c r="AN10" i="47"/>
  <c r="BG9" i="44"/>
  <c r="BG79" i="44" s="1"/>
  <c r="BP35" i="44"/>
  <c r="R17" i="57" l="1"/>
  <c r="AA17" i="57" s="1"/>
  <c r="BA79" i="44"/>
  <c r="BB9" i="44"/>
  <c r="HH9" i="46"/>
  <c r="BP41" i="44"/>
  <c r="F41" i="43" s="1"/>
  <c r="G23" i="43"/>
  <c r="BJ9" i="46"/>
  <c r="L9" i="44"/>
  <c r="L79" i="44" s="1"/>
  <c r="F35" i="43"/>
  <c r="BB79" i="44" l="1"/>
  <c r="BC9" i="44"/>
  <c r="HP9" i="46"/>
  <c r="BR9" i="46"/>
  <c r="AN9" i="44"/>
  <c r="M9" i="44"/>
  <c r="M79" i="44" s="1"/>
  <c r="I23" i="43"/>
  <c r="HX9" i="46" l="1"/>
  <c r="BC79" i="44"/>
  <c r="BT9" i="46"/>
  <c r="AN79" i="44"/>
  <c r="BZ9" i="46"/>
  <c r="AO9" i="44"/>
  <c r="N9" i="44"/>
  <c r="N79" i="44" s="1"/>
  <c r="CB9" i="46" l="1"/>
  <c r="AO79" i="44"/>
  <c r="P20" i="57"/>
  <c r="Y20" i="57" s="1"/>
  <c r="W20" i="57" s="1"/>
  <c r="R20" i="57"/>
  <c r="AA20" i="57" s="1"/>
  <c r="F18" i="57"/>
  <c r="F19" i="57"/>
  <c r="R18" i="57"/>
  <c r="AA18" i="57" s="1"/>
  <c r="R19" i="57"/>
  <c r="AA19" i="57" s="1"/>
  <c r="F20" i="57"/>
  <c r="CH9" i="46"/>
  <c r="O9" i="44"/>
  <c r="O79" i="44" s="1"/>
  <c r="R21" i="57" l="1"/>
  <c r="AA21" i="57" s="1"/>
  <c r="F21" i="57"/>
  <c r="CP9" i="46"/>
  <c r="P9" i="44"/>
  <c r="CX9" i="46" l="1"/>
  <c r="P79" i="44"/>
  <c r="GE34" i="46"/>
  <c r="F57" i="57" l="1"/>
  <c r="F52" i="57"/>
  <c r="R57" i="57"/>
  <c r="AA57" i="57" s="1"/>
  <c r="F69" i="57"/>
  <c r="F34" i="57"/>
  <c r="F46" i="57"/>
  <c r="F49" i="57"/>
  <c r="R59" i="57"/>
  <c r="AA59" i="57" s="1"/>
  <c r="F45" i="57"/>
  <c r="P56" i="57"/>
  <c r="Y56" i="57" s="1"/>
  <c r="W56" i="57" s="1"/>
  <c r="R25" i="57"/>
  <c r="AA25" i="57" s="1"/>
  <c r="R60" i="57"/>
  <c r="AA60" i="57" s="1"/>
  <c r="F32" i="57"/>
  <c r="R66" i="57"/>
  <c r="AA66" i="57" s="1"/>
  <c r="F58" i="57"/>
  <c r="P27" i="57"/>
  <c r="Y27" i="57" s="1"/>
  <c r="W27" i="57" s="1"/>
  <c r="R63" i="57"/>
  <c r="AA63" i="57" s="1"/>
  <c r="F66" i="57"/>
  <c r="P32" i="57"/>
  <c r="Y32" i="57" s="1"/>
  <c r="W32" i="57" s="1"/>
  <c r="F28" i="57"/>
  <c r="R22" i="57"/>
  <c r="AA22" i="57" s="1"/>
  <c r="R46" i="57"/>
  <c r="AA46" i="57" s="1"/>
  <c r="R62" i="57"/>
  <c r="AA62" i="57" s="1"/>
  <c r="F30" i="57"/>
  <c r="R52" i="57"/>
  <c r="AA52" i="57" s="1"/>
  <c r="R67" i="57"/>
  <c r="AA67" i="57" s="1"/>
  <c r="R49" i="57"/>
  <c r="AA49" i="57" s="1"/>
  <c r="F47" i="57"/>
  <c r="P65" i="57"/>
  <c r="Y65" i="57" s="1"/>
  <c r="W65" i="57" s="1"/>
  <c r="F22" i="57"/>
  <c r="P58" i="57"/>
  <c r="Y58" i="57" s="1"/>
  <c r="W58" i="57" s="1"/>
  <c r="F31" i="57"/>
  <c r="R31" i="57"/>
  <c r="AA31" i="57" s="1"/>
  <c r="R45" i="57"/>
  <c r="AA45" i="57" s="1"/>
  <c r="R56" i="57"/>
  <c r="AA56" i="57" s="1"/>
  <c r="R34" i="57"/>
  <c r="AA34" i="57" s="1"/>
  <c r="F59" i="57"/>
  <c r="R54" i="57"/>
  <c r="AA54" i="57" s="1"/>
  <c r="P57" i="57"/>
  <c r="Y57" i="57" s="1"/>
  <c r="W57" i="57" s="1"/>
  <c r="R47" i="57"/>
  <c r="AA47" i="57" s="1"/>
  <c r="F29" i="57"/>
  <c r="R43" i="57"/>
  <c r="AA43" i="57" s="1"/>
  <c r="R50" i="57"/>
  <c r="AA50" i="57" s="1"/>
  <c r="F68" i="57"/>
  <c r="R32" i="57"/>
  <c r="AA32" i="57" s="1"/>
  <c r="P52" i="57"/>
  <c r="Y52" i="57" s="1"/>
  <c r="W52" i="57" s="1"/>
  <c r="P31" i="57"/>
  <c r="Y31" i="57" s="1"/>
  <c r="W31" i="57" s="1"/>
  <c r="F64" i="57"/>
  <c r="F27" i="57"/>
  <c r="F65" i="57"/>
  <c r="R26" i="57"/>
  <c r="AA26" i="57" s="1"/>
  <c r="F25" i="57"/>
  <c r="R23" i="57"/>
  <c r="AA23" i="57" s="1"/>
  <c r="R68" i="57"/>
  <c r="AA68" i="57" s="1"/>
  <c r="R53" i="57"/>
  <c r="AA53" i="57" s="1"/>
  <c r="F61" i="57"/>
  <c r="F53" i="57"/>
  <c r="P63" i="57"/>
  <c r="Y63" i="57" s="1"/>
  <c r="W63" i="57" s="1"/>
  <c r="R48" i="57"/>
  <c r="AA48" i="57" s="1"/>
  <c r="R30" i="57"/>
  <c r="AA30" i="57" s="1"/>
  <c r="F63" i="57"/>
  <c r="P61" i="57"/>
  <c r="Y61" i="57" s="1"/>
  <c r="W61" i="57" s="1"/>
  <c r="R61" i="57"/>
  <c r="AA61" i="57" s="1"/>
  <c r="F50" i="57"/>
  <c r="F48" i="57"/>
  <c r="R55" i="57"/>
  <c r="AA55" i="57" s="1"/>
  <c r="F35" i="57"/>
  <c r="R29" i="57"/>
  <c r="AA29" i="57" s="1"/>
  <c r="F62" i="57"/>
  <c r="R51" i="57"/>
  <c r="AA51" i="57" s="1"/>
  <c r="F54" i="57"/>
  <c r="R44" i="57"/>
  <c r="AA44" i="57" s="1"/>
  <c r="R33" i="57"/>
  <c r="AA33" i="57" s="1"/>
  <c r="F56" i="57"/>
  <c r="F55" i="57"/>
  <c r="P54" i="57"/>
  <c r="Y54" i="57" s="1"/>
  <c r="W54" i="57" s="1"/>
  <c r="F26" i="57"/>
  <c r="R24" i="57"/>
  <c r="AA24" i="57" s="1"/>
  <c r="F24" i="57"/>
  <c r="F51" i="57"/>
  <c r="F44" i="57"/>
  <c r="F67" i="57"/>
  <c r="F43" i="57"/>
  <c r="R69" i="57"/>
  <c r="AA69" i="57" s="1"/>
  <c r="F60" i="57"/>
  <c r="R64" i="57"/>
  <c r="AA64" i="57" s="1"/>
  <c r="F23" i="57"/>
  <c r="R58" i="57"/>
  <c r="AA58" i="57" s="1"/>
  <c r="P69" i="57"/>
  <c r="Y69" i="57" s="1"/>
  <c r="W69" i="57" s="1"/>
  <c r="F33" i="57"/>
  <c r="EM16" i="46" l="1"/>
  <c r="EN16" i="46" s="1"/>
  <c r="C55" i="44" l="1"/>
  <c r="C55" i="43" s="1"/>
  <c r="EJ16" i="46" l="1"/>
  <c r="EL16" i="46" s="1"/>
  <c r="U55" i="44" s="1"/>
  <c r="AI55" i="44" l="1"/>
  <c r="AJ55" i="44" s="1"/>
  <c r="D55" i="43" l="1"/>
  <c r="E55" i="43" s="1"/>
  <c r="C53" i="44"/>
  <c r="C54" i="44"/>
  <c r="C54" i="43" s="1"/>
  <c r="C58" i="44"/>
  <c r="C58" i="43" s="1"/>
  <c r="C56" i="44"/>
  <c r="C56" i="43" s="1"/>
  <c r="C53" i="43" l="1"/>
  <c r="EJ19" i="46"/>
  <c r="EM19" i="46" l="1"/>
  <c r="EN19" i="46" s="1"/>
  <c r="EL19" i="46"/>
  <c r="U58" i="44" s="1"/>
  <c r="EM15" i="46"/>
  <c r="EN15" i="46" s="1"/>
  <c r="EM17" i="46"/>
  <c r="EN17" i="46" s="1"/>
  <c r="AI58" i="44" l="1"/>
  <c r="AJ58" i="44" s="1"/>
  <c r="D58" i="43" l="1"/>
  <c r="E58" i="43" s="1"/>
  <c r="G58" i="43" s="1"/>
  <c r="I58" i="43" s="1"/>
  <c r="BQ58" i="44"/>
  <c r="EM14" i="46"/>
  <c r="EN14" i="46" l="1"/>
  <c r="C57" i="44" l="1"/>
  <c r="C57" i="43" l="1"/>
  <c r="C59" i="44"/>
  <c r="C63" i="44" s="1"/>
  <c r="C48" i="44" l="1"/>
  <c r="C59" i="43"/>
  <c r="EJ18" i="46"/>
  <c r="K7" i="57" l="1"/>
  <c r="R7" i="57" s="1"/>
  <c r="K7" i="58"/>
  <c r="K40" i="57"/>
  <c r="K72" i="57" s="1"/>
  <c r="C48" i="43"/>
  <c r="C63" i="43"/>
  <c r="C74" i="44"/>
  <c r="C77" i="44" s="1"/>
  <c r="C50" i="44"/>
  <c r="R7" i="58" l="1"/>
  <c r="K40" i="58"/>
  <c r="C70" i="43"/>
  <c r="C50" i="43"/>
  <c r="EL18" i="46"/>
  <c r="U57" i="44" s="1"/>
  <c r="EM18" i="46"/>
  <c r="EK20" i="46"/>
  <c r="K72" i="58" l="1"/>
  <c r="AI57" i="44"/>
  <c r="AJ57" i="44" s="1"/>
  <c r="EN18" i="46"/>
  <c r="EN20" i="46" s="1"/>
  <c r="EM20" i="46"/>
  <c r="D57" i="43" l="1"/>
  <c r="E57" i="43" s="1"/>
  <c r="G57" i="43" s="1"/>
  <c r="I57" i="43" s="1"/>
  <c r="BQ57" i="44"/>
  <c r="EJ15" i="46"/>
  <c r="EL15" i="46" s="1"/>
  <c r="U54" i="44" s="1"/>
  <c r="EJ17" i="46" l="1"/>
  <c r="EL17" i="46" s="1"/>
  <c r="U56" i="44" s="1"/>
  <c r="EJ14" i="46" l="1"/>
  <c r="EJ20" i="46" l="1"/>
  <c r="EL14" i="46"/>
  <c r="EL20" i="46" l="1"/>
  <c r="U53" i="44"/>
  <c r="U59" i="44" l="1"/>
  <c r="AI53" i="44"/>
  <c r="AJ53" i="44" l="1"/>
  <c r="D53" i="43"/>
  <c r="U63" i="44"/>
  <c r="EL1" i="46"/>
  <c r="U48" i="44"/>
  <c r="R27" i="58" s="1"/>
  <c r="AA27" i="58" l="1"/>
  <c r="U74" i="44"/>
  <c r="U77" i="44" s="1"/>
  <c r="R27" i="57"/>
  <c r="E53" i="43"/>
  <c r="BQ53" i="44"/>
  <c r="AA27" i="57" l="1"/>
  <c r="G53" i="43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 s="1"/>
  <c r="BO19" i="46"/>
  <c r="CU17" i="46"/>
  <c r="CV17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 s="1"/>
  <c r="FL19" i="46" s="1"/>
  <c r="BW28" i="47"/>
  <c r="AI50" i="46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D3" i="51" s="1"/>
  <c r="AF62" i="44" l="1"/>
  <c r="AF64" i="44" s="1"/>
  <c r="AE62" i="44"/>
  <c r="AE64" i="44" s="1"/>
  <c r="AD62" i="44"/>
  <c r="AD64" i="44" s="1"/>
  <c r="BN62" i="44"/>
  <c r="BN64" i="44" s="1"/>
  <c r="BL62" i="44"/>
  <c r="BL64" i="44" s="1"/>
  <c r="BM62" i="44"/>
  <c r="BM64" i="44" s="1"/>
  <c r="D17" i="51"/>
  <c r="D46" i="51"/>
  <c r="D47" i="51" s="1"/>
  <c r="D41" i="51"/>
  <c r="D15" i="51"/>
  <c r="D13" i="51"/>
  <c r="D12" i="51"/>
  <c r="D16" i="51"/>
  <c r="D23" i="51"/>
  <c r="D26" i="51" s="1"/>
  <c r="D14" i="51"/>
  <c r="D22" i="51"/>
  <c r="D25" i="51" s="1"/>
  <c r="J6" i="50"/>
  <c r="J8" i="50" s="1"/>
  <c r="K12" i="50" s="1"/>
  <c r="D4" i="51"/>
  <c r="G3" i="51" s="1"/>
  <c r="BX28" i="47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E26" i="46"/>
  <c r="HE27" i="46" s="1"/>
  <c r="E42" i="44"/>
  <c r="CW17" i="46"/>
  <c r="CW18" i="46" s="1"/>
  <c r="AZ18" i="46"/>
  <c r="AZ19" i="46" s="1"/>
  <c r="HO20" i="46"/>
  <c r="HO21" i="46" s="1"/>
  <c r="AU42" i="44"/>
  <c r="AR62" i="44"/>
  <c r="I62" i="44"/>
  <c r="I64" i="44" s="1"/>
  <c r="AC62" i="44"/>
  <c r="C62" i="43"/>
  <c r="C64" i="43" s="1"/>
  <c r="BD62" i="44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AA43" i="44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K50" i="46"/>
  <c r="AK51" i="46" s="1"/>
  <c r="AN50" i="46"/>
  <c r="AN51" i="46" s="1"/>
  <c r="AM50" i="46"/>
  <c r="AM51" i="46" s="1"/>
  <c r="BI42" i="44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H42" i="44"/>
  <c r="M62" i="44"/>
  <c r="AP62" i="44"/>
  <c r="BI62" i="44"/>
  <c r="I62" i="43"/>
  <c r="W62" i="44"/>
  <c r="AS62" i="44"/>
  <c r="BQ62" i="44"/>
  <c r="AO62" i="44"/>
  <c r="H62" i="43"/>
  <c r="K62" i="44"/>
  <c r="J62" i="44"/>
  <c r="N62" i="44"/>
  <c r="N64" i="44" s="1"/>
  <c r="AY62" i="44"/>
  <c r="AY64" i="44" s="1"/>
  <c r="C62" i="44"/>
  <c r="C64" i="44" s="1"/>
  <c r="AH62" i="44"/>
  <c r="AH64" i="44" s="1"/>
  <c r="O62" i="44"/>
  <c r="V62" i="44"/>
  <c r="C20" i="42"/>
  <c r="C78" i="42" s="1"/>
  <c r="AW62" i="44"/>
  <c r="AJ62" i="44"/>
  <c r="AM62" i="44"/>
  <c r="E62" i="43"/>
  <c r="G62" i="43"/>
  <c r="BH62" i="44"/>
  <c r="BP62" i="44"/>
  <c r="L62" i="44"/>
  <c r="S62" i="44"/>
  <c r="E62" i="44"/>
  <c r="F62" i="43"/>
  <c r="BA62" i="44"/>
  <c r="AQ62" i="44"/>
  <c r="AB62" i="44"/>
  <c r="R62" i="44"/>
  <c r="BF62" i="44"/>
  <c r="AA62" i="44"/>
  <c r="BB62" i="44"/>
  <c r="G62" i="44"/>
  <c r="AK62" i="44"/>
  <c r="BO62" i="44"/>
  <c r="BO64" i="44" s="1"/>
  <c r="D62" i="43"/>
  <c r="AL62" i="44"/>
  <c r="AI62" i="44"/>
  <c r="BE62" i="44"/>
  <c r="BE64" i="44" s="1"/>
  <c r="AT62" i="44"/>
  <c r="AT64" i="44" s="1"/>
  <c r="BK62" i="44"/>
  <c r="BK64" i="44" s="1"/>
  <c r="X62" i="44"/>
  <c r="D62" i="44"/>
  <c r="N6" i="52" s="1"/>
  <c r="AI4" i="58" s="1"/>
  <c r="M78" i="58" s="1"/>
  <c r="F10" i="52" s="1"/>
  <c r="AN62" i="44"/>
  <c r="H62" i="44"/>
  <c r="Z62" i="44"/>
  <c r="Z64" i="44" s="1"/>
  <c r="AV62" i="44"/>
  <c r="AV64" i="44" s="1"/>
  <c r="AG62" i="44"/>
  <c r="AG64" i="44" s="1"/>
  <c r="U62" i="44"/>
  <c r="U64" i="44" s="1"/>
  <c r="BC62" i="44"/>
  <c r="BC64" i="44" s="1"/>
  <c r="AU62" i="44"/>
  <c r="P62" i="44"/>
  <c r="Q62" i="44"/>
  <c r="BG62" i="44"/>
  <c r="AX62" i="44"/>
  <c r="AX64" i="44" s="1"/>
  <c r="AZ62" i="44"/>
  <c r="AZ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J62" i="44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M43" i="58" l="1"/>
  <c r="T61" i="58"/>
  <c r="M70" i="58"/>
  <c r="M32" i="58"/>
  <c r="M29" i="58"/>
  <c r="M61" i="58"/>
  <c r="M19" i="58"/>
  <c r="M60" i="58"/>
  <c r="M21" i="58"/>
  <c r="T20" i="58"/>
  <c r="M7" i="58"/>
  <c r="M33" i="58"/>
  <c r="M22" i="58"/>
  <c r="M12" i="58"/>
  <c r="M52" i="58"/>
  <c r="M38" i="58"/>
  <c r="T57" i="58"/>
  <c r="M66" i="58"/>
  <c r="M26" i="58"/>
  <c r="M36" i="58"/>
  <c r="M57" i="58"/>
  <c r="M15" i="58"/>
  <c r="T27" i="58"/>
  <c r="M56" i="58"/>
  <c r="M18" i="58"/>
  <c r="M67" i="58"/>
  <c r="M62" i="58"/>
  <c r="M53" i="58"/>
  <c r="M14" i="58"/>
  <c r="M63" i="58"/>
  <c r="M30" i="58"/>
  <c r="T31" i="58"/>
  <c r="M58" i="58"/>
  <c r="M16" i="58"/>
  <c r="M49" i="58"/>
  <c r="M48" i="58"/>
  <c r="T70" i="58"/>
  <c r="AC70" i="58" s="1"/>
  <c r="T36" i="58"/>
  <c r="M24" i="58"/>
  <c r="M59" i="58"/>
  <c r="M27" i="58"/>
  <c r="M20" i="58"/>
  <c r="M54" i="58"/>
  <c r="M10" i="58"/>
  <c r="M45" i="58"/>
  <c r="T63" i="58"/>
  <c r="T38" i="58"/>
  <c r="M44" i="58"/>
  <c r="T58" i="58"/>
  <c r="T32" i="58"/>
  <c r="M13" i="58"/>
  <c r="M37" i="58"/>
  <c r="M65" i="58"/>
  <c r="T54" i="58"/>
  <c r="M55" i="58"/>
  <c r="M23" i="58"/>
  <c r="T15" i="58"/>
  <c r="M50" i="58"/>
  <c r="M35" i="58"/>
  <c r="T59" i="58"/>
  <c r="M11" i="58"/>
  <c r="M34" i="58"/>
  <c r="M47" i="58"/>
  <c r="T69" i="58"/>
  <c r="T52" i="58"/>
  <c r="M64" i="58"/>
  <c r="M51" i="58"/>
  <c r="M17" i="58"/>
  <c r="T12" i="58"/>
  <c r="M46" i="58"/>
  <c r="T56" i="58"/>
  <c r="M69" i="58"/>
  <c r="M31" i="58"/>
  <c r="M68" i="58"/>
  <c r="M28" i="58"/>
  <c r="T37" i="58"/>
  <c r="M25" i="58"/>
  <c r="T7" i="58"/>
  <c r="M40" i="58"/>
  <c r="M80" i="58"/>
  <c r="M79" i="58"/>
  <c r="AI4" i="57"/>
  <c r="M78" i="57" s="1"/>
  <c r="AA78" i="57" s="1"/>
  <c r="F18" i="52"/>
  <c r="M18" i="52" s="1"/>
  <c r="K18" i="50"/>
  <c r="K26" i="50"/>
  <c r="G19" i="51"/>
  <c r="I19" i="51" s="1"/>
  <c r="G46" i="51"/>
  <c r="G41" i="51"/>
  <c r="D42" i="51"/>
  <c r="G22" i="51"/>
  <c r="G15" i="51"/>
  <c r="G23" i="51"/>
  <c r="K17" i="50"/>
  <c r="K10" i="50"/>
  <c r="AM20" i="42"/>
  <c r="K14" i="50"/>
  <c r="K11" i="50"/>
  <c r="K16" i="50"/>
  <c r="K25" i="50"/>
  <c r="K8" i="50"/>
  <c r="M10" i="52" s="1"/>
  <c r="K22" i="50"/>
  <c r="K21" i="50"/>
  <c r="K20" i="50"/>
  <c r="K15" i="50"/>
  <c r="K13" i="50"/>
  <c r="K23" i="50"/>
  <c r="K24" i="50"/>
  <c r="K19" i="50"/>
  <c r="K9" i="50"/>
  <c r="BH44" i="44"/>
  <c r="BH46" i="44" s="1"/>
  <c r="P66" i="58" s="1"/>
  <c r="BI44" i="44"/>
  <c r="BI46" i="44" s="1"/>
  <c r="P67" i="58" s="1"/>
  <c r="E44" i="44"/>
  <c r="E46" i="44" s="1"/>
  <c r="P11" i="58" s="1"/>
  <c r="AU44" i="44"/>
  <c r="AU46" i="44" s="1"/>
  <c r="P53" i="58" s="1"/>
  <c r="BB18" i="46"/>
  <c r="BB19" i="46" s="1"/>
  <c r="CY17" i="46"/>
  <c r="CY18" i="46" s="1"/>
  <c r="AK42" i="44"/>
  <c r="CX17" i="46"/>
  <c r="CX18" i="46" s="1"/>
  <c r="BJ42" i="44"/>
  <c r="CB29" i="47"/>
  <c r="CO23" i="46"/>
  <c r="CQ22" i="46"/>
  <c r="CP22" i="46"/>
  <c r="BQ20" i="46"/>
  <c r="BR19" i="46"/>
  <c r="M42" i="44"/>
  <c r="BZ21" i="46"/>
  <c r="AA44" i="44"/>
  <c r="AA46" i="44" s="1"/>
  <c r="P33" i="58" s="1"/>
  <c r="AI43" i="44"/>
  <c r="BF42" i="44"/>
  <c r="AN27" i="47"/>
  <c r="DX34" i="46"/>
  <c r="AR42" i="44"/>
  <c r="ED25" i="46"/>
  <c r="T42" i="44"/>
  <c r="EF25" i="46"/>
  <c r="AS42" i="44"/>
  <c r="FZ32" i="46"/>
  <c r="W42" i="44"/>
  <c r="DH18" i="46"/>
  <c r="DG19" i="46"/>
  <c r="BD18" i="46"/>
  <c r="BD19" i="46" s="1"/>
  <c r="BC19" i="46"/>
  <c r="BT20" i="46"/>
  <c r="AN42" i="44"/>
  <c r="DP30" i="46"/>
  <c r="AQ42" i="44"/>
  <c r="AB42" i="44"/>
  <c r="AL27" i="47"/>
  <c r="BH29" i="46"/>
  <c r="BJ28" i="46"/>
  <c r="D44" i="44"/>
  <c r="D46" i="44" s="1"/>
  <c r="P10" i="58" s="1"/>
  <c r="HN20" i="46"/>
  <c r="HN21" i="46" s="1"/>
  <c r="HM21" i="46"/>
  <c r="HP20" i="46"/>
  <c r="HH27" i="46"/>
  <c r="DF18" i="46"/>
  <c r="DN30" i="46"/>
  <c r="R42" i="44"/>
  <c r="AO42" i="44"/>
  <c r="CB21" i="46"/>
  <c r="DV34" i="46"/>
  <c r="S42" i="44"/>
  <c r="GB32" i="46"/>
  <c r="AW42" i="44"/>
  <c r="AC59" i="58" l="1"/>
  <c r="AC52" i="58"/>
  <c r="AC58" i="58"/>
  <c r="AC54" i="58"/>
  <c r="AC63" i="58"/>
  <c r="AC61" i="58"/>
  <c r="AC15" i="58"/>
  <c r="AC37" i="58"/>
  <c r="AC12" i="58"/>
  <c r="AC36" i="58"/>
  <c r="Y10" i="58"/>
  <c r="T10" i="58"/>
  <c r="AC10" i="58" s="1"/>
  <c r="AC32" i="58"/>
  <c r="Y11" i="58"/>
  <c r="W11" i="58" s="1"/>
  <c r="T11" i="58"/>
  <c r="AC11" i="58" s="1"/>
  <c r="AC69" i="58"/>
  <c r="AC20" i="58"/>
  <c r="Y53" i="58"/>
  <c r="W53" i="58" s="1"/>
  <c r="T53" i="58"/>
  <c r="AC53" i="58" s="1"/>
  <c r="Y33" i="58"/>
  <c r="W33" i="58" s="1"/>
  <c r="T33" i="58"/>
  <c r="AC33" i="58" s="1"/>
  <c r="Y67" i="58"/>
  <c r="W67" i="58" s="1"/>
  <c r="T67" i="58"/>
  <c r="AC67" i="58" s="1"/>
  <c r="M72" i="58"/>
  <c r="AC56" i="58"/>
  <c r="AC38" i="58"/>
  <c r="AC57" i="58"/>
  <c r="Y66" i="58"/>
  <c r="W66" i="58" s="1"/>
  <c r="T66" i="58"/>
  <c r="AC66" i="58" s="1"/>
  <c r="AC31" i="58"/>
  <c r="AC27" i="58"/>
  <c r="M79" i="57"/>
  <c r="AA79" i="57" s="1"/>
  <c r="M80" i="57"/>
  <c r="AA80" i="57" s="1"/>
  <c r="M70" i="57"/>
  <c r="T70" i="57"/>
  <c r="M36" i="57"/>
  <c r="M38" i="57"/>
  <c r="M37" i="57"/>
  <c r="T37" i="57"/>
  <c r="T36" i="57"/>
  <c r="T38" i="57"/>
  <c r="M69" i="57"/>
  <c r="F14" i="52"/>
  <c r="M14" i="52" s="1"/>
  <c r="P10" i="57"/>
  <c r="Y10" i="57" s="1"/>
  <c r="P33" i="57"/>
  <c r="E63" i="44"/>
  <c r="E64" i="44" s="1"/>
  <c r="P11" i="57"/>
  <c r="BT1" i="47"/>
  <c r="P67" i="57"/>
  <c r="BH63" i="44"/>
  <c r="BH64" i="44" s="1"/>
  <c r="P66" i="57"/>
  <c r="FL1" i="46"/>
  <c r="P53" i="57"/>
  <c r="T69" i="57"/>
  <c r="M23" i="57"/>
  <c r="M52" i="57"/>
  <c r="T52" i="57"/>
  <c r="M56" i="57"/>
  <c r="M59" i="57"/>
  <c r="T56" i="57"/>
  <c r="M44" i="57"/>
  <c r="M43" i="57"/>
  <c r="M11" i="57"/>
  <c r="M48" i="57"/>
  <c r="M62" i="57"/>
  <c r="M67" i="57"/>
  <c r="M31" i="57"/>
  <c r="M33" i="57"/>
  <c r="M30" i="57"/>
  <c r="T61" i="57"/>
  <c r="M28" i="57"/>
  <c r="M55" i="57"/>
  <c r="M13" i="57"/>
  <c r="M66" i="57"/>
  <c r="M50" i="57"/>
  <c r="M17" i="57"/>
  <c r="T57" i="57"/>
  <c r="M14" i="57"/>
  <c r="M53" i="57"/>
  <c r="T27" i="57"/>
  <c r="T7" i="57"/>
  <c r="M35" i="57"/>
  <c r="M34" i="57"/>
  <c r="M29" i="57"/>
  <c r="M61" i="57"/>
  <c r="M15" i="57"/>
  <c r="M21" i="57"/>
  <c r="M51" i="57"/>
  <c r="T63" i="57"/>
  <c r="M46" i="57"/>
  <c r="M26" i="57"/>
  <c r="M20" i="57"/>
  <c r="M68" i="57"/>
  <c r="T32" i="57"/>
  <c r="M49" i="57"/>
  <c r="M32" i="57"/>
  <c r="T58" i="57"/>
  <c r="M24" i="57"/>
  <c r="T15" i="57"/>
  <c r="M47" i="57"/>
  <c r="M63" i="57"/>
  <c r="M58" i="57"/>
  <c r="T54" i="57"/>
  <c r="M22" i="57"/>
  <c r="T31" i="57"/>
  <c r="M18" i="57"/>
  <c r="M45" i="57"/>
  <c r="M40" i="57"/>
  <c r="T20" i="57"/>
  <c r="M64" i="57"/>
  <c r="M12" i="57"/>
  <c r="M25" i="57"/>
  <c r="M54" i="57"/>
  <c r="M16" i="57"/>
  <c r="M7" i="57"/>
  <c r="M65" i="57"/>
  <c r="M60" i="57"/>
  <c r="M19" i="57"/>
  <c r="M57" i="57"/>
  <c r="M27" i="57"/>
  <c r="M10" i="57"/>
  <c r="BI73" i="44"/>
  <c r="BI76" i="44" s="1"/>
  <c r="BI63" i="44"/>
  <c r="BI64" i="44" s="1"/>
  <c r="BH73" i="44"/>
  <c r="BH76" i="44" s="1"/>
  <c r="BL1" i="47"/>
  <c r="I22" i="51"/>
  <c r="I25" i="51" s="1"/>
  <c r="G25" i="51"/>
  <c r="I23" i="51"/>
  <c r="I26" i="51" s="1"/>
  <c r="G26" i="51"/>
  <c r="K27" i="50"/>
  <c r="L27" i="50" s="1"/>
  <c r="E73" i="44"/>
  <c r="E76" i="44" s="1"/>
  <c r="N1" i="46"/>
  <c r="J42" i="44"/>
  <c r="BJ44" i="44"/>
  <c r="BJ46" i="44" s="1"/>
  <c r="P68" i="58" s="1"/>
  <c r="AU73" i="44"/>
  <c r="AU76" i="44" s="1"/>
  <c r="AK44" i="44"/>
  <c r="AK46" i="44" s="1"/>
  <c r="P43" i="58" s="1"/>
  <c r="T44" i="44"/>
  <c r="T46" i="44" s="1"/>
  <c r="P26" i="58" s="1"/>
  <c r="AO44" i="44"/>
  <c r="AO46" i="44" s="1"/>
  <c r="P47" i="58" s="1"/>
  <c r="M44" i="44"/>
  <c r="M46" i="44" s="1"/>
  <c r="AR44" i="44"/>
  <c r="AR46" i="44" s="1"/>
  <c r="P50" i="58" s="1"/>
  <c r="S44" i="44"/>
  <c r="S46" i="44" s="1"/>
  <c r="P25" i="58" s="1"/>
  <c r="AN44" i="44"/>
  <c r="AN46" i="44" s="1"/>
  <c r="P46" i="58" s="1"/>
  <c r="AS44" i="44"/>
  <c r="AS46" i="44" s="1"/>
  <c r="P51" i="58" s="1"/>
  <c r="AU63" i="44"/>
  <c r="AU64" i="44" s="1"/>
  <c r="BA44" i="44"/>
  <c r="BA46" i="44" s="1"/>
  <c r="AW44" i="44"/>
  <c r="AW46" i="44" s="1"/>
  <c r="P55" i="58" s="1"/>
  <c r="W44" i="44"/>
  <c r="W46" i="44" s="1"/>
  <c r="P29" i="58" s="1"/>
  <c r="R44" i="44"/>
  <c r="R46" i="44" s="1"/>
  <c r="P24" i="58" s="1"/>
  <c r="BF44" i="44"/>
  <c r="BF46" i="44" s="1"/>
  <c r="P64" i="58" s="1"/>
  <c r="AB44" i="44"/>
  <c r="AB46" i="44" s="1"/>
  <c r="P34" i="58" s="1"/>
  <c r="AQ44" i="44"/>
  <c r="AQ46" i="44" s="1"/>
  <c r="P49" i="58" s="1"/>
  <c r="CZ17" i="46"/>
  <c r="CZ18" i="46" s="1"/>
  <c r="P42" i="44"/>
  <c r="AL42" i="44"/>
  <c r="AA63" i="44"/>
  <c r="AA64" i="44" s="1"/>
  <c r="AD1" i="47"/>
  <c r="AA73" i="44"/>
  <c r="AA76" i="44" s="1"/>
  <c r="CQ23" i="46"/>
  <c r="CR22" i="46"/>
  <c r="CR23" i="46" s="1"/>
  <c r="DF19" i="46"/>
  <c r="Q42" i="44"/>
  <c r="HP21" i="46"/>
  <c r="BB42" i="44"/>
  <c r="F1" i="46"/>
  <c r="D73" i="44"/>
  <c r="D76" i="44" s="1"/>
  <c r="D63" i="44"/>
  <c r="BR20" i="46"/>
  <c r="L42" i="44"/>
  <c r="D43" i="43"/>
  <c r="E43" i="43" s="1"/>
  <c r="G43" i="43" s="1"/>
  <c r="AJ43" i="44"/>
  <c r="CP23" i="46"/>
  <c r="O42" i="44"/>
  <c r="BJ29" i="46"/>
  <c r="K42" i="44"/>
  <c r="DH19" i="46"/>
  <c r="AP42" i="44"/>
  <c r="M76" i="58" l="1"/>
  <c r="AA78" i="58"/>
  <c r="F13" i="52" s="1"/>
  <c r="AA79" i="58"/>
  <c r="AA80" i="58"/>
  <c r="AC70" i="57"/>
  <c r="F29" i="52" s="1"/>
  <c r="M29" i="52" s="1"/>
  <c r="AC37" i="57"/>
  <c r="F28" i="52" s="1"/>
  <c r="M28" i="52" s="1"/>
  <c r="Y24" i="58"/>
  <c r="W24" i="58" s="1"/>
  <c r="T24" i="58"/>
  <c r="AC24" i="58" s="1"/>
  <c r="Y50" i="58"/>
  <c r="W50" i="58" s="1"/>
  <c r="T50" i="58"/>
  <c r="AC50" i="58" s="1"/>
  <c r="Y29" i="58"/>
  <c r="W29" i="58" s="1"/>
  <c r="T29" i="58"/>
  <c r="AC29" i="58" s="1"/>
  <c r="Y26" i="58"/>
  <c r="W26" i="58" s="1"/>
  <c r="T26" i="58"/>
  <c r="AC26" i="58" s="1"/>
  <c r="Y47" i="58"/>
  <c r="W47" i="58" s="1"/>
  <c r="T47" i="58"/>
  <c r="AC47" i="58" s="1"/>
  <c r="Y43" i="58"/>
  <c r="W43" i="58" s="1"/>
  <c r="T43" i="58"/>
  <c r="AC43" i="58" s="1"/>
  <c r="Y49" i="58"/>
  <c r="W49" i="58" s="1"/>
  <c r="T49" i="58"/>
  <c r="AC49" i="58" s="1"/>
  <c r="Y51" i="58"/>
  <c r="W51" i="58" s="1"/>
  <c r="T51" i="58"/>
  <c r="AC51" i="58" s="1"/>
  <c r="BZ1" i="46"/>
  <c r="P19" i="58"/>
  <c r="Y55" i="58"/>
  <c r="W55" i="58" s="1"/>
  <c r="T55" i="58"/>
  <c r="AC55" i="58" s="1"/>
  <c r="Y34" i="58"/>
  <c r="W34" i="58" s="1"/>
  <c r="T34" i="58"/>
  <c r="AC34" i="58" s="1"/>
  <c r="Y46" i="58"/>
  <c r="W46" i="58" s="1"/>
  <c r="T46" i="58"/>
  <c r="AC46" i="58" s="1"/>
  <c r="Y68" i="58"/>
  <c r="W68" i="58" s="1"/>
  <c r="T68" i="58"/>
  <c r="AC68" i="58" s="1"/>
  <c r="W10" i="58"/>
  <c r="Y64" i="58"/>
  <c r="W64" i="58" s="1"/>
  <c r="T64" i="58"/>
  <c r="AC64" i="58" s="1"/>
  <c r="Y25" i="58"/>
  <c r="W25" i="58" s="1"/>
  <c r="T25" i="58"/>
  <c r="AC25" i="58" s="1"/>
  <c r="AC38" i="57"/>
  <c r="AC36" i="57"/>
  <c r="F27" i="52" s="1"/>
  <c r="M27" i="52" s="1"/>
  <c r="AC69" i="57"/>
  <c r="F19" i="52" s="1"/>
  <c r="M19" i="52" s="1"/>
  <c r="AC20" i="57"/>
  <c r="T66" i="57"/>
  <c r="AC66" i="57" s="1"/>
  <c r="Y66" i="57"/>
  <c r="W66" i="57" s="1"/>
  <c r="T11" i="57"/>
  <c r="AC11" i="57" s="1"/>
  <c r="Y11" i="57"/>
  <c r="W11" i="57" s="1"/>
  <c r="T53" i="57"/>
  <c r="AC53" i="57" s="1"/>
  <c r="Y53" i="57"/>
  <c r="W53" i="57" s="1"/>
  <c r="T67" i="57"/>
  <c r="AC67" i="57" s="1"/>
  <c r="F25" i="52" s="1"/>
  <c r="M25" i="52" s="1"/>
  <c r="Y67" i="57"/>
  <c r="W67" i="57" s="1"/>
  <c r="T33" i="57"/>
  <c r="AC33" i="57" s="1"/>
  <c r="Y33" i="57"/>
  <c r="W33" i="57" s="1"/>
  <c r="W10" i="57"/>
  <c r="AC63" i="57"/>
  <c r="F24" i="52" s="1"/>
  <c r="M24" i="52" s="1"/>
  <c r="AC31" i="57"/>
  <c r="AC15" i="57"/>
  <c r="AC56" i="57"/>
  <c r="F21" i="52" s="1"/>
  <c r="M21" i="52" s="1"/>
  <c r="P24" i="57"/>
  <c r="AR63" i="44"/>
  <c r="AR64" i="44" s="1"/>
  <c r="P50" i="57"/>
  <c r="H1" i="46"/>
  <c r="P43" i="57"/>
  <c r="P49" i="57"/>
  <c r="P29" i="57"/>
  <c r="P51" i="57"/>
  <c r="M63" i="44"/>
  <c r="M64" i="44" s="1"/>
  <c r="P19" i="57"/>
  <c r="AC58" i="57"/>
  <c r="AC32" i="57"/>
  <c r="P34" i="57"/>
  <c r="AW73" i="44"/>
  <c r="AW76" i="44" s="1"/>
  <c r="P55" i="57"/>
  <c r="P46" i="57"/>
  <c r="AO73" i="44"/>
  <c r="AO76" i="44" s="1"/>
  <c r="P47" i="57"/>
  <c r="BJ73" i="44"/>
  <c r="BJ76" i="44" s="1"/>
  <c r="P68" i="57"/>
  <c r="AC54" i="57"/>
  <c r="AC57" i="57"/>
  <c r="AC61" i="57"/>
  <c r="F23" i="52" s="1"/>
  <c r="M23" i="52" s="1"/>
  <c r="P64" i="57"/>
  <c r="P59" i="57"/>
  <c r="P25" i="57"/>
  <c r="T73" i="44"/>
  <c r="T76" i="44" s="1"/>
  <c r="P26" i="57"/>
  <c r="AC27" i="57"/>
  <c r="AC52" i="57"/>
  <c r="T10" i="57"/>
  <c r="AC10" i="57" s="1"/>
  <c r="M72" i="57"/>
  <c r="M76" i="57" s="1"/>
  <c r="DX1" i="46"/>
  <c r="M73" i="44"/>
  <c r="M76" i="44" s="1"/>
  <c r="AK63" i="44"/>
  <c r="AK64" i="44" s="1"/>
  <c r="AK73" i="44"/>
  <c r="AK76" i="44" s="1"/>
  <c r="CB1" i="47"/>
  <c r="BJ63" i="44"/>
  <c r="BJ64" i="44" s="1"/>
  <c r="J44" i="44"/>
  <c r="J46" i="44" s="1"/>
  <c r="P16" i="58" s="1"/>
  <c r="BQ43" i="44"/>
  <c r="AN63" i="44"/>
  <c r="AN64" i="44" s="1"/>
  <c r="DV1" i="46"/>
  <c r="S73" i="44"/>
  <c r="S76" i="44" s="1"/>
  <c r="AR73" i="44"/>
  <c r="AR76" i="44" s="1"/>
  <c r="S63" i="44"/>
  <c r="S64" i="44" s="1"/>
  <c r="CB1" i="46"/>
  <c r="AO63" i="44"/>
  <c r="AO64" i="44" s="1"/>
  <c r="AN73" i="44"/>
  <c r="AN76" i="44" s="1"/>
  <c r="ED1" i="46"/>
  <c r="EF1" i="46"/>
  <c r="T63" i="44"/>
  <c r="T64" i="44" s="1"/>
  <c r="W73" i="44"/>
  <c r="W76" i="44" s="1"/>
  <c r="GB1" i="46"/>
  <c r="P44" i="44"/>
  <c r="P46" i="44" s="1"/>
  <c r="P22" i="58" s="1"/>
  <c r="BA63" i="44"/>
  <c r="BA64" i="44" s="1"/>
  <c r="L44" i="44"/>
  <c r="L46" i="44" s="1"/>
  <c r="P18" i="58" s="1"/>
  <c r="AS73" i="44"/>
  <c r="AS76" i="44" s="1"/>
  <c r="BB44" i="44"/>
  <c r="BB46" i="44" s="1"/>
  <c r="P60" i="58" s="1"/>
  <c r="O44" i="44"/>
  <c r="O46" i="44" s="1"/>
  <c r="P21" i="58" s="1"/>
  <c r="AS63" i="44"/>
  <c r="AS64" i="44" s="1"/>
  <c r="BA73" i="44"/>
  <c r="BA76" i="44" s="1"/>
  <c r="HH1" i="46"/>
  <c r="DP1" i="46"/>
  <c r="AN1" i="47"/>
  <c r="AL1" i="47"/>
  <c r="AB73" i="44"/>
  <c r="AB76" i="44" s="1"/>
  <c r="R73" i="44"/>
  <c r="R76" i="44" s="1"/>
  <c r="AB63" i="44"/>
  <c r="AB64" i="44" s="1"/>
  <c r="BF73" i="44"/>
  <c r="BF76" i="44" s="1"/>
  <c r="R63" i="44"/>
  <c r="R64" i="44" s="1"/>
  <c r="DN1" i="46"/>
  <c r="AW63" i="44"/>
  <c r="AW64" i="44" s="1"/>
  <c r="W63" i="44"/>
  <c r="W64" i="44" s="1"/>
  <c r="BF63" i="44"/>
  <c r="BF64" i="44" s="1"/>
  <c r="AQ73" i="44"/>
  <c r="AQ76" i="44" s="1"/>
  <c r="AP44" i="44"/>
  <c r="AP46" i="44" s="1"/>
  <c r="P48" i="58" s="1"/>
  <c r="Q44" i="44"/>
  <c r="Q46" i="44" s="1"/>
  <c r="P23" i="58" s="1"/>
  <c r="AQ63" i="44"/>
  <c r="AQ64" i="44" s="1"/>
  <c r="I43" i="43"/>
  <c r="K44" i="44"/>
  <c r="K46" i="44" s="1"/>
  <c r="P17" i="58" s="1"/>
  <c r="D64" i="44"/>
  <c r="AL44" i="44"/>
  <c r="Y17" i="58" l="1"/>
  <c r="W17" i="58" s="1"/>
  <c r="T17" i="58"/>
  <c r="AC17" i="58" s="1"/>
  <c r="Y21" i="58"/>
  <c r="W21" i="58" s="1"/>
  <c r="T21" i="58"/>
  <c r="AC21" i="58" s="1"/>
  <c r="Y60" i="58"/>
  <c r="W60" i="58" s="1"/>
  <c r="T60" i="58"/>
  <c r="AC60" i="58" s="1"/>
  <c r="Y16" i="58"/>
  <c r="W16" i="58" s="1"/>
  <c r="T16" i="58"/>
  <c r="AC16" i="58" s="1"/>
  <c r="Y18" i="58"/>
  <c r="W18" i="58" s="1"/>
  <c r="T18" i="58"/>
  <c r="AC18" i="58" s="1"/>
  <c r="Y22" i="58"/>
  <c r="W22" i="58" s="1"/>
  <c r="T22" i="58"/>
  <c r="AC22" i="58" s="1"/>
  <c r="Y19" i="58"/>
  <c r="W19" i="58" s="1"/>
  <c r="T19" i="58"/>
  <c r="AC19" i="58" s="1"/>
  <c r="Y23" i="58"/>
  <c r="W23" i="58" s="1"/>
  <c r="T23" i="58"/>
  <c r="AC23" i="58" s="1"/>
  <c r="Y48" i="58"/>
  <c r="W48" i="58" s="1"/>
  <c r="T48" i="58"/>
  <c r="AC48" i="58" s="1"/>
  <c r="T26" i="57"/>
  <c r="AC26" i="57" s="1"/>
  <c r="Y26" i="57"/>
  <c r="W26" i="57" s="1"/>
  <c r="T64" i="57"/>
  <c r="AC64" i="57" s="1"/>
  <c r="Y64" i="57"/>
  <c r="W64" i="57" s="1"/>
  <c r="T34" i="57"/>
  <c r="AC34" i="57" s="1"/>
  <c r="Y34" i="57"/>
  <c r="W34" i="57" s="1"/>
  <c r="T19" i="57"/>
  <c r="AC19" i="57" s="1"/>
  <c r="Y19" i="57"/>
  <c r="W19" i="57" s="1"/>
  <c r="T49" i="57"/>
  <c r="AC49" i="57" s="1"/>
  <c r="Y49" i="57"/>
  <c r="W49" i="57" s="1"/>
  <c r="T68" i="57"/>
  <c r="AC68" i="57" s="1"/>
  <c r="F26" i="52" s="1"/>
  <c r="M26" i="52" s="1"/>
  <c r="Y68" i="57"/>
  <c r="W68" i="57" s="1"/>
  <c r="T46" i="57"/>
  <c r="AC46" i="57" s="1"/>
  <c r="Y46" i="57"/>
  <c r="W46" i="57" s="1"/>
  <c r="T43" i="57"/>
  <c r="AC43" i="57" s="1"/>
  <c r="F20" i="52" s="1"/>
  <c r="M20" i="52" s="1"/>
  <c r="Y43" i="57"/>
  <c r="W43" i="57" s="1"/>
  <c r="T24" i="57"/>
  <c r="AC24" i="57" s="1"/>
  <c r="Y24" i="57"/>
  <c r="W24" i="57" s="1"/>
  <c r="T25" i="57"/>
  <c r="AC25" i="57" s="1"/>
  <c r="Y25" i="57"/>
  <c r="W25" i="57" s="1"/>
  <c r="T55" i="57"/>
  <c r="AC55" i="57" s="1"/>
  <c r="Y55" i="57"/>
  <c r="W55" i="57" s="1"/>
  <c r="T51" i="57"/>
  <c r="AC51" i="57" s="1"/>
  <c r="Y51" i="57"/>
  <c r="W51" i="57" s="1"/>
  <c r="T59" i="57"/>
  <c r="AC59" i="57" s="1"/>
  <c r="F22" i="52" s="1"/>
  <c r="M22" i="52" s="1"/>
  <c r="Y59" i="57"/>
  <c r="W59" i="57" s="1"/>
  <c r="T47" i="57"/>
  <c r="AC47" i="57" s="1"/>
  <c r="Y47" i="57"/>
  <c r="W47" i="57" s="1"/>
  <c r="T29" i="57"/>
  <c r="AC29" i="57" s="1"/>
  <c r="Y29" i="57"/>
  <c r="W29" i="57" s="1"/>
  <c r="T50" i="57"/>
  <c r="AC50" i="57" s="1"/>
  <c r="Y50" i="57"/>
  <c r="W50" i="57" s="1"/>
  <c r="P23" i="57"/>
  <c r="P48" i="57"/>
  <c r="P21" i="57"/>
  <c r="BB63" i="44"/>
  <c r="BB64" i="44" s="1"/>
  <c r="P60" i="57"/>
  <c r="CX1" i="46"/>
  <c r="P22" i="57"/>
  <c r="P17" i="57"/>
  <c r="P18" i="57"/>
  <c r="P16" i="57"/>
  <c r="HP1" i="46"/>
  <c r="J73" i="44"/>
  <c r="J76" i="44" s="1"/>
  <c r="BB1" i="46"/>
  <c r="J63" i="44"/>
  <c r="J64" i="44" s="1"/>
  <c r="BB73" i="44"/>
  <c r="BB76" i="44" s="1"/>
  <c r="CP1" i="46"/>
  <c r="O73" i="44"/>
  <c r="O76" i="44" s="1"/>
  <c r="O63" i="44"/>
  <c r="O64" i="44" s="1"/>
  <c r="BR1" i="46"/>
  <c r="P63" i="44"/>
  <c r="P64" i="44" s="1"/>
  <c r="P73" i="44"/>
  <c r="P76" i="44" s="1"/>
  <c r="L73" i="44"/>
  <c r="L76" i="44" s="1"/>
  <c r="L63" i="44"/>
  <c r="L64" i="44" s="1"/>
  <c r="Q73" i="44"/>
  <c r="Q76" i="44" s="1"/>
  <c r="DF1" i="46"/>
  <c r="Q63" i="44"/>
  <c r="Q64" i="44" s="1"/>
  <c r="AP63" i="44"/>
  <c r="AP64" i="44" s="1"/>
  <c r="AP73" i="44"/>
  <c r="AP76" i="44" s="1"/>
  <c r="BJ1" i="46"/>
  <c r="K63" i="44"/>
  <c r="K73" i="44"/>
  <c r="K76" i="44" s="1"/>
  <c r="T16" i="57" l="1"/>
  <c r="AC16" i="57" s="1"/>
  <c r="Y16" i="57"/>
  <c r="W16" i="57" s="1"/>
  <c r="T21" i="57"/>
  <c r="AC21" i="57" s="1"/>
  <c r="Y21" i="57"/>
  <c r="W21" i="57" s="1"/>
  <c r="T60" i="57"/>
  <c r="AC60" i="57" s="1"/>
  <c r="Y60" i="57"/>
  <c r="W60" i="57" s="1"/>
  <c r="T48" i="57"/>
  <c r="AC48" i="57" s="1"/>
  <c r="Y48" i="57"/>
  <c r="W48" i="57" s="1"/>
  <c r="T18" i="57"/>
  <c r="AC18" i="57" s="1"/>
  <c r="Y18" i="57"/>
  <c r="W18" i="57" s="1"/>
  <c r="T17" i="57"/>
  <c r="AC17" i="57" s="1"/>
  <c r="Y17" i="57"/>
  <c r="W17" i="57" s="1"/>
  <c r="T23" i="57"/>
  <c r="AC23" i="57" s="1"/>
  <c r="Y23" i="57"/>
  <c r="W23" i="57" s="1"/>
  <c r="T22" i="57"/>
  <c r="AC22" i="57" s="1"/>
  <c r="Y22" i="57"/>
  <c r="W22" i="57" s="1"/>
  <c r="K64" i="44"/>
  <c r="ER16" i="46" l="1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ES14" i="46"/>
  <c r="AI37" i="44" l="1"/>
  <c r="ET14" i="46"/>
  <c r="EU14" i="46"/>
  <c r="AJ37" i="44" l="1"/>
  <c r="D37" i="43"/>
  <c r="E37" i="43" s="1"/>
  <c r="G37" i="43" s="1"/>
  <c r="EV14" i="46"/>
  <c r="ES15" i="46"/>
  <c r="I37" i="43" l="1"/>
  <c r="BQ37" i="44"/>
  <c r="EU15" i="46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ET30" i="46" l="1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P28" i="58" s="1"/>
  <c r="ET31" i="46"/>
  <c r="V56" i="44" s="1"/>
  <c r="V54" i="44"/>
  <c r="ET27" i="46"/>
  <c r="Y28" i="58" l="1"/>
  <c r="W28" i="58" s="1"/>
  <c r="V73" i="44"/>
  <c r="V76" i="44" s="1"/>
  <c r="P28" i="57"/>
  <c r="ET1" i="46"/>
  <c r="V59" i="44"/>
  <c r="ET32" i="46"/>
  <c r="Y28" i="57" l="1"/>
  <c r="W28" i="57" s="1"/>
  <c r="EU1" i="46"/>
  <c r="V48" i="44"/>
  <c r="R28" i="58" s="1"/>
  <c r="V63" i="44"/>
  <c r="V64" i="44" s="1"/>
  <c r="AA28" i="58" l="1"/>
  <c r="T28" i="58"/>
  <c r="AC28" i="58" s="1"/>
  <c r="V74" i="44"/>
  <c r="V77" i="44" s="1"/>
  <c r="R28" i="57"/>
  <c r="AA28" i="57" l="1"/>
  <c r="T28" i="57"/>
  <c r="AC28" i="57" s="1"/>
  <c r="S13" i="42" l="1"/>
  <c r="E24" i="49" l="1"/>
  <c r="D27" i="47"/>
  <c r="D18" i="47" l="1"/>
  <c r="D19" i="47"/>
  <c r="D22" i="47"/>
  <c r="D21" i="47"/>
  <c r="D24" i="47" l="1"/>
  <c r="D31" i="47" s="1"/>
  <c r="D34" i="47" s="1"/>
  <c r="D36" i="47" s="1"/>
  <c r="D37" i="47" s="1"/>
  <c r="E19" i="49" l="1"/>
  <c r="E27" i="47"/>
  <c r="H27" i="47" l="1"/>
  <c r="BD29" i="44" s="1"/>
  <c r="F27" i="47"/>
  <c r="E16" i="49"/>
  <c r="E18" i="49"/>
  <c r="E22" i="47" l="1"/>
  <c r="BP29" i="44"/>
  <c r="E19" i="47"/>
  <c r="E21" i="47"/>
  <c r="F29" i="43" l="1"/>
  <c r="G29" i="43" s="1"/>
  <c r="BQ29" i="44"/>
  <c r="H21" i="47"/>
  <c r="F21" i="47"/>
  <c r="F22" i="47"/>
  <c r="H22" i="47"/>
  <c r="H19" i="47"/>
  <c r="F19" i="47"/>
  <c r="BD25" i="44" l="1"/>
  <c r="BP25" i="44" s="1"/>
  <c r="I29" i="43"/>
  <c r="BD16" i="44"/>
  <c r="F25" i="43" l="1"/>
  <c r="G25" i="43" s="1"/>
  <c r="BQ25" i="44"/>
  <c r="BP16" i="44"/>
  <c r="BD18" i="44"/>
  <c r="I25" i="43" l="1"/>
  <c r="F16" i="43"/>
  <c r="BQ16" i="44"/>
  <c r="G16" i="43" l="1"/>
  <c r="I16" i="43" l="1"/>
  <c r="S12" i="42" l="1"/>
  <c r="S14" i="42" s="1"/>
  <c r="S16" i="42" s="1"/>
  <c r="U16" i="42" s="1"/>
  <c r="U18" i="42" s="1"/>
  <c r="P14" i="42" s="1"/>
  <c r="E15" i="49" l="1"/>
  <c r="E21" i="49" s="1"/>
  <c r="E22" i="49" s="1"/>
  <c r="E28" i="49" s="1"/>
  <c r="H18" i="47" l="1"/>
  <c r="F18" i="47"/>
  <c r="E24" i="47"/>
  <c r="E31" i="47" s="1"/>
  <c r="E34" i="47" s="1"/>
  <c r="E36" i="47" s="1"/>
  <c r="E37" i="47" s="1"/>
  <c r="F24" i="47" l="1"/>
  <c r="F31" i="47" s="1"/>
  <c r="F34" i="47" s="1"/>
  <c r="X24" i="44"/>
  <c r="BD24" i="44"/>
  <c r="H24" i="47"/>
  <c r="H31" i="47" s="1"/>
  <c r="H34" i="47" s="1"/>
  <c r="H36" i="47" s="1"/>
  <c r="H37" i="47" s="1"/>
  <c r="F36" i="47" l="1"/>
  <c r="F37" i="47" s="1"/>
  <c r="BD42" i="44"/>
  <c r="BP24" i="44"/>
  <c r="BD27" i="44"/>
  <c r="AI24" i="44"/>
  <c r="X27" i="44"/>
  <c r="X42" i="44" l="1"/>
  <c r="X44" i="44" s="1"/>
  <c r="X46" i="44" s="1"/>
  <c r="BD44" i="44"/>
  <c r="BD46" i="44" s="1"/>
  <c r="BP27" i="44"/>
  <c r="F24" i="43"/>
  <c r="F27" i="43" s="1"/>
  <c r="AJ24" i="44"/>
  <c r="D24" i="43"/>
  <c r="AI27" i="44"/>
  <c r="P62" i="57" l="1"/>
  <c r="Y62" i="57" s="1"/>
  <c r="W62" i="57" s="1"/>
  <c r="P62" i="58"/>
  <c r="P30" i="57"/>
  <c r="Y30" i="57" s="1"/>
  <c r="W30" i="57" s="1"/>
  <c r="P30" i="58"/>
  <c r="H1" i="47"/>
  <c r="BD73" i="44"/>
  <c r="BD76" i="44" s="1"/>
  <c r="BD63" i="44"/>
  <c r="BD64" i="44" s="1"/>
  <c r="BQ24" i="44"/>
  <c r="BQ27" i="44" s="1"/>
  <c r="E24" i="43"/>
  <c r="D27" i="43"/>
  <c r="X73" i="44"/>
  <c r="X76" i="44" s="1"/>
  <c r="F1" i="47"/>
  <c r="X63" i="44"/>
  <c r="X64" i="44" s="1"/>
  <c r="AJ27" i="44"/>
  <c r="T30" i="57" l="1"/>
  <c r="AC30" i="57" s="1"/>
  <c r="T62" i="57"/>
  <c r="AC62" i="57" s="1"/>
  <c r="Y30" i="58"/>
  <c r="W30" i="58" s="1"/>
  <c r="T30" i="58"/>
  <c r="AC30" i="58" s="1"/>
  <c r="Y62" i="58"/>
  <c r="W62" i="58" s="1"/>
  <c r="T62" i="58"/>
  <c r="AC62" i="58" s="1"/>
  <c r="G24" i="43"/>
  <c r="E27" i="43"/>
  <c r="I24" i="43" l="1"/>
  <c r="G27" i="43"/>
  <c r="I27" i="43" l="1"/>
  <c r="BG56" i="44" l="1"/>
  <c r="BP56" i="44" s="1"/>
  <c r="F56" i="43" l="1"/>
  <c r="BG55" i="44" l="1"/>
  <c r="BG59" i="44" l="1"/>
  <c r="BP55" i="44"/>
  <c r="F55" i="43" l="1"/>
  <c r="BP59" i="44"/>
  <c r="BP48" i="44" s="1"/>
  <c r="BQ55" i="44"/>
  <c r="BG48" i="44"/>
  <c r="R65" i="58" s="1"/>
  <c r="BG63" i="44"/>
  <c r="BG64" i="44" s="1"/>
  <c r="AA65" i="58" l="1"/>
  <c r="T65" i="58"/>
  <c r="AC65" i="58" s="1"/>
  <c r="BG74" i="44"/>
  <c r="BG77" i="44" s="1"/>
  <c r="R65" i="57"/>
  <c r="BP74" i="44"/>
  <c r="BP77" i="44" s="1"/>
  <c r="F59" i="43"/>
  <c r="F48" i="43" s="1"/>
  <c r="F70" i="43" s="1"/>
  <c r="G55" i="43"/>
  <c r="AA65" i="57" l="1"/>
  <c r="T65" i="57"/>
  <c r="AC65" i="57" s="1"/>
  <c r="I55" i="43"/>
  <c r="AJ32" i="46" l="1"/>
  <c r="AL32" i="46" s="1"/>
  <c r="H35" i="44" l="1"/>
  <c r="AI35" i="44" s="1"/>
  <c r="AJ35" i="44" l="1"/>
  <c r="D35" i="43"/>
  <c r="E35" i="43" s="1"/>
  <c r="G35" i="43" s="1"/>
  <c r="AJ31" i="46"/>
  <c r="AL31" i="46" l="1"/>
  <c r="BQ35" i="44"/>
  <c r="AJ33" i="46"/>
  <c r="AL33" i="46" s="1"/>
  <c r="H41" i="44" s="1"/>
  <c r="AJ34" i="46" l="1"/>
  <c r="AI41" i="44"/>
  <c r="AL34" i="46"/>
  <c r="H32" i="44"/>
  <c r="AJ23" i="46"/>
  <c r="AJ41" i="44" l="1"/>
  <c r="D41" i="43"/>
  <c r="E41" i="43" s="1"/>
  <c r="G41" i="43" s="1"/>
  <c r="AL23" i="46"/>
  <c r="AJ28" i="46"/>
  <c r="AJ49" i="46" s="1"/>
  <c r="AJ50" i="46" s="1"/>
  <c r="AJ51" i="46" s="1"/>
  <c r="AI32" i="44"/>
  <c r="AJ32" i="44" l="1"/>
  <c r="D32" i="43"/>
  <c r="AL28" i="46"/>
  <c r="AL49" i="46" s="1"/>
  <c r="AL50" i="46" s="1"/>
  <c r="H14" i="44"/>
  <c r="BQ41" i="44"/>
  <c r="AL51" i="46" l="1"/>
  <c r="H42" i="44"/>
  <c r="E32" i="43"/>
  <c r="AI14" i="44"/>
  <c r="H18" i="44"/>
  <c r="BQ32" i="44"/>
  <c r="D14" i="43" l="1"/>
  <c r="AJ14" i="44"/>
  <c r="AI18" i="44"/>
  <c r="H44" i="44"/>
  <c r="H46" i="44" s="1"/>
  <c r="P14" i="58" s="1"/>
  <c r="G32" i="43"/>
  <c r="Y14" i="58" l="1"/>
  <c r="W14" i="58" s="1"/>
  <c r="T14" i="58"/>
  <c r="AC14" i="58" s="1"/>
  <c r="P14" i="57"/>
  <c r="Y14" i="57" s="1"/>
  <c r="AJ18" i="44"/>
  <c r="D18" i="43"/>
  <c r="E14" i="43"/>
  <c r="H73" i="44"/>
  <c r="H76" i="44" s="1"/>
  <c r="AL1" i="46"/>
  <c r="H63" i="44"/>
  <c r="W14" i="57" l="1"/>
  <c r="T14" i="57"/>
  <c r="H64" i="44"/>
  <c r="E18" i="43"/>
  <c r="AC14" i="57" l="1"/>
  <c r="C36" i="51" l="1"/>
  <c r="C37" i="51" l="1"/>
  <c r="C11" i="51" s="1"/>
  <c r="D36" i="51"/>
  <c r="G36" i="51" l="1"/>
  <c r="D37" i="51"/>
  <c r="C27" i="51"/>
  <c r="D11" i="51"/>
  <c r="D27" i="51" l="1"/>
  <c r="F4" i="51" l="1"/>
  <c r="F45" i="51" l="1"/>
  <c r="F14" i="51"/>
  <c r="G14" i="51" s="1"/>
  <c r="F35" i="51"/>
  <c r="F13" i="51"/>
  <c r="G13" i="51" s="1"/>
  <c r="F40" i="51"/>
  <c r="G35" i="51" l="1"/>
  <c r="F37" i="51"/>
  <c r="F11" i="51" s="1"/>
  <c r="G40" i="51"/>
  <c r="F42" i="51"/>
  <c r="F16" i="51" s="1"/>
  <c r="G16" i="51" s="1"/>
  <c r="F47" i="51"/>
  <c r="F17" i="51" s="1"/>
  <c r="G17" i="51" s="1"/>
  <c r="G45" i="51"/>
  <c r="G37" i="51" l="1"/>
  <c r="G47" i="51"/>
  <c r="F27" i="51"/>
  <c r="G11" i="51"/>
  <c r="G42" i="51"/>
  <c r="G27" i="51" l="1"/>
  <c r="H2" i="51" l="1"/>
  <c r="H17" i="51" l="1"/>
  <c r="I17" i="51" s="1"/>
  <c r="H46" i="51"/>
  <c r="H34" i="51"/>
  <c r="H41" i="51"/>
  <c r="H1" i="51"/>
  <c r="H12" i="51"/>
  <c r="I12" i="51" s="1"/>
  <c r="H15" i="51"/>
  <c r="I15" i="51" s="1"/>
  <c r="H36" i="51"/>
  <c r="H13" i="51"/>
  <c r="I13" i="51" s="1"/>
  <c r="H14" i="51"/>
  <c r="I14" i="51" s="1"/>
  <c r="H16" i="51"/>
  <c r="I16" i="51" s="1"/>
  <c r="H45" i="51"/>
  <c r="H40" i="51"/>
  <c r="H35" i="51"/>
  <c r="H11" i="51"/>
  <c r="H47" i="51" l="1"/>
  <c r="H42" i="51"/>
  <c r="H37" i="51"/>
  <c r="H27" i="51"/>
  <c r="I11" i="51"/>
  <c r="I27" i="51" s="1"/>
  <c r="P12" i="42" l="1"/>
  <c r="P16" i="42" s="1"/>
  <c r="C32" i="42" s="1"/>
  <c r="C90" i="42" l="1"/>
  <c r="AS34" i="42"/>
  <c r="AM32" i="42"/>
  <c r="C34" i="42"/>
  <c r="C36" i="42"/>
  <c r="C92" i="42" l="1"/>
  <c r="AM34" i="42"/>
  <c r="I28" i="51" s="1"/>
  <c r="I29" i="51" s="1"/>
  <c r="I31" i="51" s="1"/>
  <c r="J31" i="51" s="1"/>
  <c r="C94" i="42"/>
  <c r="AM36" i="42"/>
  <c r="J35" i="42"/>
  <c r="J37" i="42" s="1"/>
  <c r="U23" i="46" l="1"/>
  <c r="V22" i="46"/>
  <c r="V23" i="46" s="1"/>
  <c r="F56" i="44" s="1"/>
  <c r="W22" i="46"/>
  <c r="W23" i="46" s="1"/>
  <c r="F59" i="44" l="1"/>
  <c r="F48" i="44" l="1"/>
  <c r="F63" i="44"/>
  <c r="R12" i="57" l="1"/>
  <c r="F74" i="44"/>
  <c r="F77" i="44" s="1"/>
  <c r="F64" i="44"/>
  <c r="AA12" i="57" l="1"/>
  <c r="T12" i="57"/>
  <c r="AC12" i="57" l="1"/>
  <c r="F17" i="52" s="1"/>
  <c r="M17" i="52" l="1"/>
  <c r="AL14" i="44" l="1"/>
  <c r="BP14" i="44" l="1"/>
  <c r="AL18" i="44"/>
  <c r="AL46" i="44" s="1"/>
  <c r="P44" i="58" s="1"/>
  <c r="Y44" i="58" l="1"/>
  <c r="W44" i="58" s="1"/>
  <c r="T44" i="58"/>
  <c r="AC44" i="58" s="1"/>
  <c r="AL73" i="44"/>
  <c r="AL76" i="44" s="1"/>
  <c r="P1" i="46"/>
  <c r="AL63" i="44"/>
  <c r="P44" i="57"/>
  <c r="BQ14" i="44"/>
  <c r="BQ18" i="44" s="1"/>
  <c r="BP18" i="44"/>
  <c r="F14" i="43"/>
  <c r="G14" i="43" l="1"/>
  <c r="F18" i="43"/>
  <c r="T44" i="57"/>
  <c r="Y44" i="57"/>
  <c r="AL64" i="44"/>
  <c r="AC44" i="57" l="1"/>
  <c r="W44" i="57"/>
  <c r="G18" i="43"/>
  <c r="H30" i="52" l="1"/>
  <c r="O30" i="52" s="1"/>
  <c r="H19" i="52"/>
  <c r="O19" i="52" s="1"/>
  <c r="H18" i="52"/>
  <c r="O18" i="52" s="1"/>
  <c r="H22" i="52"/>
  <c r="O22" i="52" s="1"/>
  <c r="H23" i="52"/>
  <c r="O23" i="52" s="1"/>
  <c r="H17" i="52"/>
  <c r="O17" i="52" s="1"/>
  <c r="H21" i="52" l="1"/>
  <c r="O21" i="52" s="1"/>
  <c r="H10" i="52" l="1"/>
  <c r="O10" i="52" l="1"/>
  <c r="H13" i="52"/>
  <c r="H31" i="52" l="1"/>
  <c r="O31" i="52" l="1"/>
  <c r="H33" i="52"/>
  <c r="O33" i="52" l="1"/>
  <c r="H35" i="52" l="1"/>
  <c r="O35" i="52" l="1"/>
  <c r="H39" i="52"/>
  <c r="BA34" i="47" l="1"/>
  <c r="BA36" i="47" l="1"/>
  <c r="BA42" i="47" s="1"/>
  <c r="BA35" i="47"/>
  <c r="BA41" i="47" s="1"/>
  <c r="BB34" i="47"/>
  <c r="BA40" i="47"/>
  <c r="BB40" i="47" s="1"/>
  <c r="AC54" i="44" s="1"/>
  <c r="BC34" i="47"/>
  <c r="BA37" i="47"/>
  <c r="M15" i="52"/>
  <c r="F15" i="52" s="1"/>
  <c r="BC40" i="47" l="1"/>
  <c r="BC36" i="47"/>
  <c r="BD36" i="47" s="1"/>
  <c r="BC35" i="47"/>
  <c r="BD35" i="47" s="1"/>
  <c r="BD37" i="47" s="1"/>
  <c r="BB41" i="47"/>
  <c r="BA43" i="47"/>
  <c r="BC41" i="47"/>
  <c r="AI54" i="44"/>
  <c r="AC36" i="44"/>
  <c r="BB35" i="47"/>
  <c r="BB37" i="47" s="1"/>
  <c r="BB36" i="47"/>
  <c r="BB42" i="47"/>
  <c r="BC42" i="47"/>
  <c r="BD42" i="47" s="1"/>
  <c r="AC56" i="44" l="1"/>
  <c r="BB43" i="47"/>
  <c r="BC43" i="47"/>
  <c r="BD41" i="47"/>
  <c r="BD43" i="47" s="1"/>
  <c r="AC42" i="44"/>
  <c r="BC37" i="47"/>
  <c r="AC44" i="44"/>
  <c r="AC46" i="44" s="1"/>
  <c r="AI36" i="44"/>
  <c r="D54" i="43"/>
  <c r="AJ54" i="44"/>
  <c r="AJ36" i="44" l="1"/>
  <c r="BQ36" i="44" s="1"/>
  <c r="D36" i="43"/>
  <c r="AC73" i="44"/>
  <c r="AC76" i="44" s="1"/>
  <c r="BD1" i="47"/>
  <c r="P35" i="58"/>
  <c r="Y35" i="58" s="1"/>
  <c r="W35" i="58" s="1"/>
  <c r="P35" i="57"/>
  <c r="Y35" i="57" s="1"/>
  <c r="W35" i="57" s="1"/>
  <c r="AC63" i="44"/>
  <c r="AC64" i="44" s="1"/>
  <c r="BQ54" i="44"/>
  <c r="E54" i="43"/>
  <c r="AI56" i="44"/>
  <c r="AC59" i="44"/>
  <c r="AJ56" i="44" l="1"/>
  <c r="D56" i="43"/>
  <c r="AI59" i="44"/>
  <c r="AI48" i="44" s="1"/>
  <c r="AI74" i="44" s="1"/>
  <c r="AI77" i="44" s="1"/>
  <c r="G54" i="43"/>
  <c r="E36" i="43"/>
  <c r="BC1" i="47"/>
  <c r="A1" i="47" s="1"/>
  <c r="AC48" i="44"/>
  <c r="G36" i="43" l="1"/>
  <c r="I36" i="43" s="1"/>
  <c r="I54" i="43"/>
  <c r="E56" i="43"/>
  <c r="D59" i="43"/>
  <c r="D48" i="43" s="1"/>
  <c r="D70" i="43" s="1"/>
  <c r="R35" i="58"/>
  <c r="AC74" i="44"/>
  <c r="AC77" i="44" s="1"/>
  <c r="R35" i="57"/>
  <c r="BQ56" i="44"/>
  <c r="BQ59" i="44" s="1"/>
  <c r="BQ48" i="44" s="1"/>
  <c r="AJ59" i="44"/>
  <c r="AJ48" i="44" s="1"/>
  <c r="AJ74" i="44" s="1"/>
  <c r="AJ77" i="44" s="1"/>
  <c r="T35" i="58" l="1"/>
  <c r="AC35" i="58" s="1"/>
  <c r="R40" i="58"/>
  <c r="R72" i="58" s="1"/>
  <c r="AA35" i="58"/>
  <c r="AA40" i="58" s="1"/>
  <c r="AA72" i="58" s="1"/>
  <c r="G56" i="43"/>
  <c r="E59" i="43"/>
  <c r="BQ74" i="44"/>
  <c r="BQ77" i="44" s="1"/>
  <c r="T35" i="57"/>
  <c r="AC35" i="57" s="1"/>
  <c r="F16" i="52" s="1"/>
  <c r="AA35" i="57"/>
  <c r="AA40" i="57" s="1"/>
  <c r="AA72" i="57" s="1"/>
  <c r="R40" i="57"/>
  <c r="R72" i="57" s="1"/>
  <c r="AC14" i="46" l="1"/>
  <c r="AC19" i="46" s="1"/>
  <c r="AD14" i="46"/>
  <c r="E48" i="43"/>
  <c r="E70" i="43" s="1"/>
  <c r="I56" i="43"/>
  <c r="I59" i="43" s="1"/>
  <c r="I48" i="43" s="1"/>
  <c r="G59" i="43"/>
  <c r="M16" i="52"/>
  <c r="AE14" i="46" l="1"/>
  <c r="G48" i="43"/>
  <c r="AD19" i="46"/>
  <c r="AD21" i="46" s="1"/>
  <c r="AC21" i="46"/>
  <c r="AC22" i="46" s="1"/>
  <c r="AD22" i="46" l="1"/>
  <c r="G42" i="44"/>
  <c r="C12" i="42"/>
  <c r="G70" i="43"/>
  <c r="AF14" i="46"/>
  <c r="AE19" i="46"/>
  <c r="AF19" i="46" l="1"/>
  <c r="AF21" i="46" s="1"/>
  <c r="AE21" i="46"/>
  <c r="AE22" i="46" s="1"/>
  <c r="G44" i="44"/>
  <c r="G46" i="44" s="1"/>
  <c r="AI42" i="44"/>
  <c r="C15" i="42"/>
  <c r="AM12" i="42"/>
  <c r="C70" i="42"/>
  <c r="E28" i="50"/>
  <c r="E29" i="50" s="1"/>
  <c r="E3" i="50" s="1"/>
  <c r="C73" i="42" l="1"/>
  <c r="G28" i="50"/>
  <c r="G29" i="50" s="1"/>
  <c r="G3" i="50" s="1"/>
  <c r="AM15" i="42"/>
  <c r="D42" i="43"/>
  <c r="AJ42" i="44"/>
  <c r="AJ44" i="44" s="1"/>
  <c r="AJ46" i="44" s="1"/>
  <c r="AI44" i="44"/>
  <c r="AI46" i="44" s="1"/>
  <c r="P13" i="58"/>
  <c r="G73" i="44"/>
  <c r="G76" i="44" s="1"/>
  <c r="P13" i="57"/>
  <c r="G63" i="44"/>
  <c r="AD1" i="46"/>
  <c r="AF22" i="46"/>
  <c r="AM42" i="44"/>
  <c r="AI73" i="44" l="1"/>
  <c r="AI76" i="44" s="1"/>
  <c r="AJ50" i="44"/>
  <c r="AJ73" i="44"/>
  <c r="AJ76" i="44" s="1"/>
  <c r="AI63" i="44"/>
  <c r="G64" i="44"/>
  <c r="P40" i="58"/>
  <c r="T13" i="58"/>
  <c r="Y13" i="58"/>
  <c r="AM44" i="44"/>
  <c r="AM46" i="44" s="1"/>
  <c r="BP42" i="44"/>
  <c r="E42" i="43"/>
  <c r="D44" i="43"/>
  <c r="D46" i="43" s="1"/>
  <c r="D63" i="43" s="1"/>
  <c r="D64" i="43" s="1"/>
  <c r="Y13" i="57"/>
  <c r="P40" i="57"/>
  <c r="T13" i="57"/>
  <c r="AJ63" i="44" l="1"/>
  <c r="AJ64" i="44" s="1"/>
  <c r="AI64" i="44"/>
  <c r="E44" i="43"/>
  <c r="E46" i="43" s="1"/>
  <c r="P45" i="58"/>
  <c r="AM73" i="44"/>
  <c r="AM76" i="44" s="1"/>
  <c r="AM63" i="44"/>
  <c r="AF1" i="46"/>
  <c r="P45" i="57"/>
  <c r="BP44" i="44"/>
  <c r="BP46" i="44" s="1"/>
  <c r="F42" i="43"/>
  <c r="F44" i="43" s="1"/>
  <c r="F46" i="43" s="1"/>
  <c r="F63" i="43" s="1"/>
  <c r="F64" i="43" s="1"/>
  <c r="BQ42" i="44"/>
  <c r="BQ44" i="44" s="1"/>
  <c r="BQ46" i="44" s="1"/>
  <c r="Y40" i="58"/>
  <c r="W13" i="58"/>
  <c r="W40" i="58" s="1"/>
  <c r="D69" i="43"/>
  <c r="Y40" i="57"/>
  <c r="W13" i="57"/>
  <c r="W40" i="57" s="1"/>
  <c r="AC13" i="57"/>
  <c r="AC40" i="57" s="1"/>
  <c r="T40" i="57"/>
  <c r="AC13" i="58"/>
  <c r="AC40" i="58" s="1"/>
  <c r="T40" i="58"/>
  <c r="BP63" i="44" l="1"/>
  <c r="BQ63" i="44" s="1"/>
  <c r="BQ64" i="44" s="1"/>
  <c r="AM64" i="44"/>
  <c r="BP64" i="44" s="1"/>
  <c r="Y45" i="58"/>
  <c r="W45" i="58" s="1"/>
  <c r="W72" i="58" s="1"/>
  <c r="T45" i="58"/>
  <c r="AC45" i="58" s="1"/>
  <c r="BQ73" i="44"/>
  <c r="BQ76" i="44" s="1"/>
  <c r="BQ50" i="44"/>
  <c r="G42" i="43"/>
  <c r="G44" i="43" s="1"/>
  <c r="G46" i="43" s="1"/>
  <c r="G69" i="43" s="1"/>
  <c r="BP73" i="44"/>
  <c r="BP76" i="44" s="1"/>
  <c r="F69" i="43"/>
  <c r="Y45" i="57"/>
  <c r="W45" i="57" s="1"/>
  <c r="W72" i="57" s="1"/>
  <c r="T45" i="57"/>
  <c r="AC45" i="57" s="1"/>
  <c r="F31" i="52" s="1"/>
  <c r="T72" i="57"/>
  <c r="E63" i="43"/>
  <c r="E64" i="43" s="1"/>
  <c r="E50" i="43"/>
  <c r="E69" i="43"/>
  <c r="P72" i="58"/>
  <c r="P72" i="57"/>
  <c r="E67" i="43" l="1"/>
  <c r="Y72" i="58"/>
  <c r="AC72" i="58" s="1"/>
  <c r="M31" i="52"/>
  <c r="F33" i="52"/>
  <c r="T78" i="58"/>
  <c r="T80" i="58"/>
  <c r="T79" i="58"/>
  <c r="T74" i="58"/>
  <c r="T74" i="57"/>
  <c r="T76" i="57" s="1"/>
  <c r="T79" i="57"/>
  <c r="T78" i="57"/>
  <c r="T80" i="57"/>
  <c r="Y72" i="57"/>
  <c r="AC72" i="57" s="1"/>
  <c r="G50" i="43"/>
  <c r="G63" i="43"/>
  <c r="G64" i="43" s="1"/>
  <c r="G67" i="43" s="1"/>
  <c r="C17" i="42"/>
  <c r="T72" i="58"/>
  <c r="AC79" i="58" l="1"/>
  <c r="AC78" i="58"/>
  <c r="AE78" i="58" s="1"/>
  <c r="AC78" i="57"/>
  <c r="AC80" i="57"/>
  <c r="AC80" i="58"/>
  <c r="M33" i="52"/>
  <c r="F35" i="52"/>
  <c r="M35" i="52" s="1"/>
  <c r="AC79" i="57"/>
  <c r="H28" i="50"/>
  <c r="H29" i="50" s="1"/>
  <c r="H3" i="50" s="1"/>
  <c r="C75" i="42"/>
  <c r="AM17" i="42"/>
  <c r="C18" i="42"/>
  <c r="T76" i="58"/>
  <c r="I28" i="50" l="1"/>
  <c r="I29" i="50" s="1"/>
  <c r="I3" i="50" s="1"/>
  <c r="C76" i="42"/>
  <c r="AM18" i="42"/>
  <c r="C21" i="42"/>
  <c r="F39" i="52"/>
  <c r="H42" i="43" l="1"/>
  <c r="I42" i="43" s="1"/>
  <c r="H14" i="43"/>
  <c r="H35" i="43"/>
  <c r="I35" i="43" s="1"/>
  <c r="H41" i="43"/>
  <c r="I41" i="43" s="1"/>
  <c r="K28" i="50"/>
  <c r="K29" i="50" s="1"/>
  <c r="K3" i="50" s="1"/>
  <c r="AM21" i="42"/>
  <c r="C79" i="42"/>
  <c r="H32" i="43"/>
  <c r="C28" i="42"/>
  <c r="I32" i="43" l="1"/>
  <c r="I44" i="43" s="1"/>
  <c r="H44" i="43"/>
  <c r="I14" i="43"/>
  <c r="I18" i="43" s="1"/>
  <c r="H18" i="43"/>
  <c r="AM28" i="42"/>
  <c r="K28" i="42"/>
  <c r="C86" i="42"/>
  <c r="C30" i="42"/>
  <c r="I46" i="43" l="1"/>
  <c r="K30" i="42"/>
  <c r="C88" i="42"/>
  <c r="AM30" i="42"/>
  <c r="H46" i="43"/>
  <c r="H63" i="43" s="1"/>
  <c r="H64" i="43" s="1"/>
  <c r="I11" i="43"/>
  <c r="I63" i="43"/>
  <c r="I64" i="43" s="1"/>
  <c r="I50" i="43"/>
</calcChain>
</file>

<file path=xl/sharedStrings.xml><?xml version="1.0" encoding="utf-8"?>
<sst xmlns="http://schemas.openxmlformats.org/spreadsheetml/2006/main" count="2757" uniqueCount="1021">
  <si>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</si>
  <si>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</si>
  <si>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</si>
  <si>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</si>
  <si>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</si>
  <si>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</si>
  <si>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</si>
  <si>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</si>
  <si>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</si>
  <si>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</si>
  <si>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</si>
  <si>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</si>
  <si>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</si>
  <si>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</si>
  <si>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</si>
  <si>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</si>
  <si>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</si>
  <si>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</si>
  <si>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</si>
  <si>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</si>
  <si>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</si>
  <si>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</si>
  <si>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</si>
  <si>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</si>
  <si>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</si>
  <si>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</si>
  <si>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</si>
  <si>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</si>
  <si>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</si>
  <si>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</si>
  <si>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</si>
  <si>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</si>
  <si>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</si>
  <si>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</si>
  <si>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</si>
  <si>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</si>
  <si>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</si>
  <si>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</si>
  <si>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</si>
  <si>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</si>
  <si>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</si>
  <si>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</si>
  <si>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</si>
  <si>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</si>
  <si>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</si>
  <si>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</si>
  <si>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</si>
  <si>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</si>
  <si>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</si>
  <si>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</si>
  <si>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</si>
  <si>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</si>
  <si>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</si>
  <si>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</si>
  <si>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</si>
  <si>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</si>
  <si>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</si>
  <si>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</si>
  <si>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</si>
  <si>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</si>
  <si>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</si>
  <si>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</si>
  <si>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</si>
  <si>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</si>
  <si>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</si>
  <si>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</si>
  <si>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</si>
  <si>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</si>
  <si>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</si>
  <si>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</si>
  <si>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</si>
  <si>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</si>
  <si>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</si>
  <si>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</si>
  <si>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</si>
  <si>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</si>
  <si>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</si>
  <si>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</si>
  <si>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</si>
  <si>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</si>
  <si>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</si>
  <si>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</si>
  <si>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</si>
  <si>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</si>
  <si>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</si>
  <si>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</si>
  <si>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</si>
  <si>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</si>
  <si>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</si>
  <si>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</si>
  <si>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</si>
  <si>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</si>
  <si>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</si>
  <si>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</si>
  <si>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</si>
  <si>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</si>
  <si>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</si>
  <si>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</si>
  <si>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</si>
  <si>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</si>
  <si>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</si>
  <si>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</si>
  <si>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</si>
  <si>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</si>
  <si>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</si>
  <si>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</si>
  <si>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</si>
  <si>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</si>
  <si>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</si>
  <si>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</si>
  <si>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</si>
  <si>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</si>
  <si>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</si>
  <si>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</si>
  <si>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</si>
  <si>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</si>
  <si>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</si>
  <si>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</si>
  <si>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</si>
  <si>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</si>
  <si>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</si>
  <si>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</si>
  <si>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</si>
  <si>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</si>
  <si>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</si>
  <si>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</si>
  <si>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</si>
  <si>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</si>
  <si>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</si>
  <si>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</si>
  <si>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</si>
  <si>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</si>
  <si>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</si>
  <si>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</si>
  <si>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</si>
  <si>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</si>
  <si>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</si>
  <si>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</si>
  <si>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</si>
  <si>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</si>
  <si>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</si>
  <si>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</si>
  <si>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</si>
  <si>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</si>
  <si>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</si>
  <si>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</si>
  <si>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</si>
  <si>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</si>
  <si>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</si>
  <si>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</si>
  <si>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</si>
  <si>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</si>
  <si>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</si>
  <si>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</si>
  <si>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</si>
  <si>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</si>
  <si>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</si>
  <si>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</si>
  <si>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</si>
  <si>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</si>
  <si>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</si>
  <si>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</si>
  <si>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</si>
  <si>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</si>
  <si>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</si>
  <si>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</si>
  <si>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</si>
  <si>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</si>
  <si>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</si>
  <si>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</si>
  <si>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</si>
  <si>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</si>
  <si>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</si>
  <si>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</si>
  <si>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</si>
  <si>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</si>
  <si>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</si>
  <si>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</si>
  <si>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</si>
  <si>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</si>
  <si>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</si>
  <si>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</si>
  <si>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</si>
  <si>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</si>
  <si>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</si>
  <si>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</si>
  <si>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</si>
  <si>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</si>
  <si>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</si>
  <si>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</si>
  <si>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</si>
  <si>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</si>
  <si>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</si>
  <si>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</si>
  <si>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</si>
  <si>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</si>
  <si>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RATEBASE</t>
  </si>
  <si>
    <t>BEFORE CHANGES</t>
  </si>
  <si>
    <t>AFTER CHANGES</t>
  </si>
  <si>
    <t>NOI - After</t>
  </si>
  <si>
    <t>RATEBASE - After</t>
  </si>
  <si>
    <t>DIFFERENCE</t>
  </si>
  <si>
    <t>EMPLOYEE INSURANCE</t>
  </si>
  <si>
    <t>*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</si>
  <si>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</si>
  <si>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</si>
  <si>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</si>
  <si>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</si>
  <si>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</si>
  <si>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</si>
  <si>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</si>
  <si>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</si>
  <si>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</si>
  <si>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</si>
  <si>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</si>
  <si>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</si>
  <si>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</si>
  <si>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</si>
  <si>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</si>
  <si>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</si>
  <si>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</si>
  <si>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</si>
  <si>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</si>
  <si>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</si>
  <si>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</si>
  <si>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</si>
  <si>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</si>
  <si>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</si>
  <si>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</si>
  <si>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</si>
  <si>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</si>
  <si>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</si>
  <si>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</si>
  <si>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</si>
  <si>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</si>
  <si>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</si>
  <si>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</si>
  <si>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</si>
  <si>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</si>
  <si>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</si>
  <si>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</si>
  <si>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</si>
  <si>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</si>
  <si>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</si>
  <si>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</si>
  <si>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</si>
  <si>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</si>
  <si>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</si>
  <si>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</si>
  <si>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</si>
  <si>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</si>
  <si>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</si>
  <si>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</si>
  <si>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</si>
  <si>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</si>
  <si>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</si>
  <si>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</si>
  <si>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</si>
  <si>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</si>
  <si>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</si>
  <si>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</si>
  <si>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</si>
  <si>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</si>
  <si>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</si>
  <si>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</si>
  <si>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</si>
  <si>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</si>
  <si>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</si>
  <si>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</si>
  <si>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</si>
  <si>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</si>
  <si>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</si>
  <si>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</si>
  <si>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</si>
  <si>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</si>
  <si>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</si>
  <si>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</si>
  <si>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</si>
  <si>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</si>
  <si>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</si>
  <si>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</si>
  <si>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</si>
  <si>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</si>
  <si>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</si>
  <si>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</si>
  <si>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</si>
  <si>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</si>
  <si>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</si>
  <si>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</si>
  <si>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</si>
  <si>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</si>
  <si>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</si>
  <si>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</si>
  <si>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</si>
  <si>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</si>
  <si>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</si>
  <si>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</si>
  <si>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</si>
  <si>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</si>
  <si>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</si>
  <si>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</si>
  <si>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</si>
  <si>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</si>
  <si>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</si>
  <si>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</si>
  <si>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</si>
  <si>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</si>
  <si>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</si>
  <si>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</si>
  <si>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</si>
  <si>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</si>
  <si>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</si>
  <si>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</si>
  <si>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</si>
  <si>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</si>
  <si>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</si>
  <si>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</si>
  <si>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</si>
  <si>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</si>
  <si>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</si>
  <si>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</si>
  <si>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</si>
  <si>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</si>
  <si>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</si>
  <si>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</si>
  <si>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</si>
  <si>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</si>
  <si>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</si>
  <si>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</si>
  <si>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</si>
  <si>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</si>
  <si>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</si>
  <si>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</si>
  <si>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</si>
  <si>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</si>
  <si>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</si>
  <si>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</si>
  <si>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</si>
  <si>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</si>
  <si>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</si>
  <si>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</si>
  <si>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</si>
  <si>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</si>
  <si>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</si>
  <si>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</si>
  <si>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</si>
  <si>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</si>
  <si>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</si>
  <si>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</si>
  <si>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</si>
  <si>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</si>
  <si>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</si>
  <si>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</si>
  <si>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</si>
  <si>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</si>
  <si>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</si>
  <si>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</si>
  <si>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</si>
  <si>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</si>
  <si>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</si>
  <si>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</si>
  <si>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</si>
  <si>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</si>
  <si>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</si>
  <si>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</si>
  <si>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</si>
  <si>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</si>
  <si>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</si>
  <si>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</si>
  <si>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</si>
  <si>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</si>
  <si>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</si>
  <si>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</si>
  <si>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</si>
  <si>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</si>
  <si>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</si>
  <si>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</si>
  <si>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</si>
  <si>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</si>
  <si>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</si>
  <si>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</si>
  <si>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</si>
  <si>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</si>
  <si>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</si>
  <si>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</si>
  <si>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</si>
  <si>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</si>
  <si>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</si>
  <si>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</si>
  <si>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</si>
  <si>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</si>
  <si>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</si>
  <si>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</si>
  <si>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</si>
  <si>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</si>
  <si>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</si>
  <si>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</si>
  <si>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</si>
  <si>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</si>
  <si>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</si>
  <si>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</si>
  <si>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</si>
  <si>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</si>
  <si>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</si>
  <si>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</si>
  <si>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</si>
  <si>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</si>
  <si>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</si>
  <si>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</si>
  <si>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</si>
  <si>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</si>
  <si>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</si>
  <si>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</si>
  <si>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</si>
  <si>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Check to Detailed Summary</t>
  </si>
  <si>
    <t>check s/b zero==&gt;</t>
  </si>
  <si>
    <t>NOI s/b zero==&gt;</t>
  </si>
  <si>
    <t>Ratebase s/b zero==&gt;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</si>
  <si>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</si>
  <si>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</si>
  <si>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</si>
  <si>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</si>
  <si>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</si>
  <si>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</si>
  <si>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</si>
  <si>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</si>
  <si>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</si>
  <si>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</si>
  <si>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</si>
  <si>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</si>
  <si>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</si>
  <si>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</si>
  <si>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</si>
  <si>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</si>
  <si>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</si>
  <si>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</si>
  <si>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</si>
  <si>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</si>
  <si>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</si>
  <si>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</si>
  <si>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</si>
  <si>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</si>
  <si>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</si>
  <si>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</si>
  <si>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</si>
  <si>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</si>
  <si>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</si>
  <si>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</si>
  <si>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</si>
  <si>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</si>
  <si>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</si>
  <si>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</si>
  <si>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</si>
  <si>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</si>
  <si>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</si>
  <si>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</si>
  <si>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</si>
  <si>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</si>
  <si>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</si>
  <si>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</si>
  <si>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</si>
  <si>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</si>
  <si>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</si>
  <si>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</si>
  <si>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</si>
  <si>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</si>
  <si>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</si>
  <si>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</si>
  <si>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</si>
  <si>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</si>
  <si>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</si>
  <si>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</si>
  <si>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</si>
  <si>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</si>
  <si>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</si>
  <si>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</si>
  <si>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</si>
  <si>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</si>
  <si>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</si>
  <si>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</si>
  <si>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</si>
  <si>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</si>
  <si>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</si>
  <si>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</si>
  <si>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</si>
  <si>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</si>
  <si>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</si>
  <si>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</si>
  <si>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</si>
  <si>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</si>
  <si>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</si>
  <si>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</si>
  <si>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</si>
  <si>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</si>
  <si>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</si>
  <si>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</si>
  <si>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</si>
  <si>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</si>
  <si>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</si>
  <si>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</si>
  <si>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</si>
  <si>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</si>
  <si>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c = a + b</t>
  </si>
  <si>
    <t>e = c + d</t>
  </si>
  <si>
    <t>g = e + f</t>
  </si>
  <si>
    <t>EXH. SEF-4E page 1 of 7</t>
  </si>
  <si>
    <t>COST OF CAPITAL - TEST YEAR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</si>
  <si>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</si>
  <si>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</si>
  <si>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</si>
  <si>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</si>
  <si>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</si>
  <si>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</si>
  <si>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</si>
  <si>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</si>
  <si>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</si>
  <si>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</si>
  <si>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</si>
  <si>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</si>
  <si>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</si>
  <si>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</si>
  <si>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</si>
  <si>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</si>
  <si>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</si>
  <si>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</si>
  <si>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</si>
  <si>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</si>
  <si>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</si>
  <si>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</si>
  <si>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</si>
  <si>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</si>
  <si>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</si>
  <si>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</si>
  <si>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</si>
  <si>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</si>
  <si>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</si>
  <si>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</si>
  <si>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</si>
  <si>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</si>
  <si>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</si>
  <si>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</si>
  <si>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</si>
  <si>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</si>
  <si>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</si>
  <si>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</si>
  <si>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</si>
  <si>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</si>
  <si>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</si>
  <si>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</si>
  <si>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</si>
  <si>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</si>
  <si>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</si>
  <si>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</si>
  <si>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</si>
  <si>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</si>
  <si>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</si>
  <si>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</si>
  <si>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</si>
  <si>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</si>
  <si>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</si>
  <si>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</si>
  <si>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</si>
  <si>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</si>
  <si>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</si>
  <si>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</si>
  <si>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</si>
  <si>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</si>
  <si>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</si>
  <si>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</si>
  <si>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</si>
  <si>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</si>
  <si>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</si>
  <si>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</si>
  <si>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</si>
  <si>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</si>
  <si>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</si>
  <si>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</si>
  <si>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</si>
  <si>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</si>
  <si>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</si>
  <si>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</si>
  <si>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</si>
  <si>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</si>
  <si>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</si>
  <si>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</si>
  <si>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</si>
  <si>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ab = ∑ b thru aa</t>
  </si>
  <si>
    <t>ac = a + ab</t>
  </si>
  <si>
    <t>ad</t>
  </si>
  <si>
    <t>ag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</si>
  <si>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</si>
  <si>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</si>
  <si>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</si>
  <si>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</si>
  <si>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</si>
  <si>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</si>
  <si>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</si>
  <si>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</si>
  <si>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</si>
  <si>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</si>
  <si>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</si>
  <si>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</si>
  <si>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</si>
  <si>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</si>
  <si>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</si>
  <si>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</si>
  <si>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1 of 6</t>
  </si>
  <si>
    <t>EXH. SEF-3E page 3 of 6</t>
  </si>
  <si>
    <t>EXH. SEF-3E page 4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</si>
  <si>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</si>
  <si>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</si>
  <si>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</si>
  <si>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</si>
  <si>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</si>
  <si>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</si>
  <si>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</si>
  <si>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</si>
  <si>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</si>
  <si>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</si>
  <si>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</si>
  <si>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</si>
  <si>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</si>
  <si>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</si>
  <si>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</si>
  <si>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</si>
  <si>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</si>
  <si>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</si>
  <si>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</si>
  <si>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</si>
  <si>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</si>
  <si>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</si>
  <si>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</si>
  <si>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</si>
  <si>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</si>
  <si>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</si>
  <si>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</si>
  <si>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</si>
  <si>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</si>
  <si>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</si>
  <si>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</si>
  <si>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</si>
  <si>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</si>
  <si>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</si>
  <si>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</si>
  <si>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</si>
  <si>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</si>
  <si>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</si>
  <si>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</si>
  <si>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</si>
  <si>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</si>
  <si>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</si>
  <si>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</si>
  <si>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</si>
  <si>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</si>
  <si>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</si>
  <si>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</si>
  <si>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</si>
  <si>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</si>
  <si>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</si>
  <si>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</si>
  <si>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</si>
  <si>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</si>
  <si>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</si>
  <si>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</si>
  <si>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</si>
  <si>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</si>
  <si>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</si>
  <si>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</si>
  <si>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</si>
  <si>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</si>
  <si>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</si>
  <si>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</si>
  <si>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</si>
  <si>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</si>
  <si>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</si>
  <si>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</si>
  <si>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</si>
  <si>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</si>
  <si>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</si>
  <si>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</si>
  <si>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</si>
  <si>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</si>
  <si>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</si>
  <si>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</si>
  <si>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</si>
  <si>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</si>
  <si>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</si>
  <si>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</si>
  <si>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</si>
  <si>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</si>
  <si>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</si>
  <si>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</si>
  <si>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</si>
  <si>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</si>
  <si>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</si>
  <si>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</si>
  <si>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</si>
  <si>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</si>
  <si>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</si>
  <si>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</si>
  <si>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</si>
  <si>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</si>
  <si>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</si>
  <si>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</si>
  <si>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</si>
  <si>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</si>
  <si>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</si>
  <si>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</si>
  <si>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</si>
  <si>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</si>
  <si>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</si>
  <si>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</si>
  <si>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</si>
  <si>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</si>
  <si>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</si>
  <si>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CHECK =&gt;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</si>
  <si>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</si>
  <si>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</si>
  <si>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</si>
  <si>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</si>
  <si>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</si>
  <si>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</si>
  <si>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</si>
  <si>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</si>
  <si>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</si>
  <si>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</si>
  <si>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</si>
  <si>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</si>
  <si>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</si>
  <si>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1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</si>
  <si>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</si>
  <si>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</si>
  <si>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</si>
  <si>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</si>
  <si>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</si>
  <si>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</si>
  <si>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</si>
  <si>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</si>
  <si>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</si>
  <si>
    <t>Electric Rollforward</t>
  </si>
  <si>
    <t>2019 General Rate Case - December 31, 2018</t>
  </si>
  <si>
    <t>linked</t>
  </si>
  <si>
    <t>Ref</t>
  </si>
  <si>
    <t>Rate Base</t>
  </si>
  <si>
    <t>Rate of Return</t>
  </si>
  <si>
    <t>Return on Ratebase</t>
  </si>
  <si>
    <t>Difference</t>
  </si>
  <si>
    <r>
      <rPr>
        <sz val="10"/>
        <rFont val="Arial"/>
        <family val="2"/>
      </rPr>
      <t xml:space="preserve">Conv Fctr    </t>
    </r>
    <r>
      <rPr>
        <sz val="8"/>
        <rFont val="Arial"/>
        <family val="2"/>
      </rPr>
      <t xml:space="preserve">   (latest s/b = curr above)</t>
    </r>
  </si>
  <si>
    <t>Rqrmt/Defcncy or (Surplus)</t>
  </si>
  <si>
    <t>Rounding</t>
  </si>
  <si>
    <t>Sum of Above</t>
  </si>
  <si>
    <t>From Model</t>
  </si>
  <si>
    <t xml:space="preserve">     Difference</t>
  </si>
  <si>
    <t>Orig filing</t>
  </si>
  <si>
    <t>Total Impact Reg A/L Amort</t>
  </si>
  <si>
    <t>Other Operating Expense</t>
  </si>
  <si>
    <t>Amort Prop G/L</t>
  </si>
  <si>
    <t>Reg Asset/Liab Adjustment</t>
  </si>
  <si>
    <t>Total Impact</t>
  </si>
  <si>
    <t>Loss of Attrition Limitation</t>
  </si>
  <si>
    <t>Total Before Attrition Limitation</t>
  </si>
  <si>
    <t>Unprotected EDIT Reversals</t>
  </si>
  <si>
    <t>Def G/L Amortization</t>
  </si>
  <si>
    <t>Storm Amortization</t>
  </si>
  <si>
    <t>Growth Factor</t>
  </si>
  <si>
    <t>Escalation</t>
  </si>
  <si>
    <t>ROR &amp; TBPFI</t>
  </si>
  <si>
    <t>In Attrition</t>
  </si>
  <si>
    <t>Revenue</t>
  </si>
  <si>
    <t>Conversion</t>
  </si>
  <si>
    <t>Difference in</t>
  </si>
  <si>
    <t>Diff</t>
  </si>
  <si>
    <t>Supplemental</t>
  </si>
  <si>
    <t>orig</t>
  </si>
  <si>
    <t>&lt;==check</t>
  </si>
  <si>
    <t>Reg Asset/Liab Adjustment FOR ABOVE</t>
  </si>
  <si>
    <t>Shuffleton Gain SUPPLEMENTAL</t>
  </si>
  <si>
    <t>Remove Schedule 139 Green Direct  Rate Base from Oct 2018</t>
  </si>
  <si>
    <t>GTZ interest Rate correction</t>
  </si>
  <si>
    <t>Power Cost Correction per Staff DR 159</t>
  </si>
  <si>
    <t>From Attrition</t>
  </si>
  <si>
    <t>if  applicable</t>
  </si>
  <si>
    <t xml:space="preserve">Impacts </t>
  </si>
  <si>
    <t>Attrition?</t>
  </si>
  <si>
    <t>Yes</t>
  </si>
  <si>
    <t>No</t>
  </si>
  <si>
    <t>Amount per AWEC 020</t>
  </si>
  <si>
    <t>Reversal of above because attrition eliminates these traditional adjustments:</t>
  </si>
  <si>
    <t xml:space="preserve">Error corrections to proforma adjustments that impact traditional </t>
  </si>
  <si>
    <t>deficiency but don't impact attrition deficiency:</t>
  </si>
  <si>
    <t>Certain proforma adjustments that should have been included in attrition:</t>
  </si>
  <si>
    <t>Environmental Amortization</t>
  </si>
  <si>
    <t>Amount Requested in Original Filing:</t>
  </si>
  <si>
    <t>Requirement</t>
  </si>
  <si>
    <t>(Deficiency) or</t>
  </si>
  <si>
    <t>Surplus</t>
  </si>
  <si>
    <t>Electric Impacts</t>
  </si>
  <si>
    <t>Errors that impact both traditional and attrition:</t>
  </si>
  <si>
    <t>Amortization of AMI Deferrals</t>
  </si>
  <si>
    <t>Amortization of GTZ Deferrals</t>
  </si>
  <si>
    <t>Operating</t>
  </si>
  <si>
    <t>Expense</t>
  </si>
  <si>
    <t>AMI Deferral Adjustment FOR ABOVE</t>
  </si>
  <si>
    <t>Total Impact AMI Deferral Amort</t>
  </si>
  <si>
    <t xml:space="preserve">Rows 56 and 57 </t>
  </si>
  <si>
    <t xml:space="preserve">were flipped and </t>
  </si>
  <si>
    <t>have been corrected</t>
  </si>
  <si>
    <t>CHANGES TO OTHER PRICE SCHEDULES FROM EXH. JAP-14:</t>
  </si>
  <si>
    <t>NET REVENUE CHANGE REQUESTED EXH. JAP-14</t>
  </si>
  <si>
    <t>GTZ Deferral Adjustment FOR ABOVE</t>
  </si>
  <si>
    <t>Contest</t>
  </si>
  <si>
    <t xml:space="preserve"> page 1 of 29</t>
  </si>
  <si>
    <t xml:space="preserve"> page 2 of 29</t>
  </si>
  <si>
    <t xml:space="preserve"> page 3 of 29</t>
  </si>
  <si>
    <t xml:space="preserve"> page 4 of 29</t>
  </si>
  <si>
    <t xml:space="preserve"> page 5 of 29</t>
  </si>
  <si>
    <t xml:space="preserve"> page 6 of 29</t>
  </si>
  <si>
    <t xml:space="preserve"> page 7 of 29</t>
  </si>
  <si>
    <t xml:space="preserve"> page 8 of 29</t>
  </si>
  <si>
    <t xml:space="preserve"> page 9 of 29</t>
  </si>
  <si>
    <t xml:space="preserve"> page 10 of 29</t>
  </si>
  <si>
    <t xml:space="preserve"> page 11 of 29</t>
  </si>
  <si>
    <t xml:space="preserve"> page 12 of 29</t>
  </si>
  <si>
    <t xml:space="preserve"> page 13 of 29</t>
  </si>
  <si>
    <t xml:space="preserve"> page 14 of 29</t>
  </si>
  <si>
    <t xml:space="preserve"> page 15 of 29</t>
  </si>
  <si>
    <t xml:space="preserve"> page 16 of 29</t>
  </si>
  <si>
    <t xml:space="preserve"> page 17 of 29</t>
  </si>
  <si>
    <t xml:space="preserve"> page 18 of 29</t>
  </si>
  <si>
    <t xml:space="preserve"> page 19 of 29</t>
  </si>
  <si>
    <t xml:space="preserve"> page 20 of 29</t>
  </si>
  <si>
    <t xml:space="preserve"> page 21 of 29</t>
  </si>
  <si>
    <t xml:space="preserve"> page 22 of 29</t>
  </si>
  <si>
    <t xml:space="preserve"> page 23 of 29</t>
  </si>
  <si>
    <t xml:space="preserve"> page 24 of 29</t>
  </si>
  <si>
    <t xml:space="preserve"> page 25 of 29</t>
  </si>
  <si>
    <t xml:space="preserve"> page 26 of 29</t>
  </si>
  <si>
    <t xml:space="preserve"> page 27 of 29</t>
  </si>
  <si>
    <t xml:space="preserve"> page 28 of 29</t>
  </si>
  <si>
    <t xml:space="preserve"> page 29 of 29</t>
  </si>
  <si>
    <t>UE-190529</t>
  </si>
  <si>
    <t>Puget Initial Filing</t>
  </si>
  <si>
    <t>Adjustments</t>
  </si>
  <si>
    <t>Electric</t>
  </si>
  <si>
    <t>Gas</t>
  </si>
  <si>
    <t>Unprotected EDFIT</t>
  </si>
  <si>
    <t>Colstrip 3-4 Depreciation</t>
  </si>
  <si>
    <t>Total Adjustments</t>
  </si>
  <si>
    <t>coc</t>
  </si>
  <si>
    <t>conv. fact</t>
  </si>
  <si>
    <t>Colstrip 1-2 Reg. Accounting</t>
  </si>
  <si>
    <t>Production Tax Credit</t>
  </si>
  <si>
    <t>2019 - Sept</t>
  </si>
  <si>
    <t>Regulatory Liability</t>
  </si>
  <si>
    <t>Tax Rate</t>
  </si>
  <si>
    <t>GL Regulatory Liability</t>
  </si>
  <si>
    <t>PRODUCTION TAX CREDIT REGULATORY LIABILITY ACTUALS</t>
  </si>
  <si>
    <t>PUGET SOUND ENERGY</t>
  </si>
  <si>
    <t>Check</t>
  </si>
  <si>
    <t>Calculated:</t>
  </si>
  <si>
    <t>Neutral</t>
  </si>
  <si>
    <t>Pro Forma Adjustments</t>
  </si>
  <si>
    <t>Restated Results</t>
  </si>
  <si>
    <t>Common</t>
  </si>
  <si>
    <t>Total Debt</t>
  </si>
  <si>
    <t>Cost</t>
  </si>
  <si>
    <t>Structure</t>
  </si>
  <si>
    <t>Component</t>
  </si>
  <si>
    <t>Restating Adjustments:</t>
  </si>
  <si>
    <t>Weighted</t>
  </si>
  <si>
    <t>Capital</t>
  </si>
  <si>
    <t>Cost of Capital</t>
  </si>
  <si>
    <t>(Suf.)</t>
  </si>
  <si>
    <t>Income</t>
  </si>
  <si>
    <t xml:space="preserve">No. </t>
  </si>
  <si>
    <t>Revenue Conversion</t>
  </si>
  <si>
    <t xml:space="preserve">Def. / </t>
  </si>
  <si>
    <t xml:space="preserve">Net Oper. </t>
  </si>
  <si>
    <t xml:space="preserve">Adj. </t>
  </si>
  <si>
    <t xml:space="preserve">Rev. Req. </t>
  </si>
  <si>
    <t>Pre-Tax</t>
  </si>
  <si>
    <t>Rev. Req. Parameters</t>
  </si>
  <si>
    <t>Electric Revenue Requirement Summary ($000)</t>
  </si>
  <si>
    <t>Key</t>
  </si>
  <si>
    <t>6.01 ER</t>
  </si>
  <si>
    <t>6.02 ER</t>
  </si>
  <si>
    <t>6.03 ER</t>
  </si>
  <si>
    <t>6.04 ER</t>
  </si>
  <si>
    <t>6.05 ER</t>
  </si>
  <si>
    <t>6.06 ER</t>
  </si>
  <si>
    <t>6.07 ER</t>
  </si>
  <si>
    <t>6.08 ER</t>
  </si>
  <si>
    <t>6.09 ER</t>
  </si>
  <si>
    <t>6.10 ER</t>
  </si>
  <si>
    <t>6.11 ER</t>
  </si>
  <si>
    <t>6.12 ER</t>
  </si>
  <si>
    <t>6.13 ER</t>
  </si>
  <si>
    <t>6.14 ER</t>
  </si>
  <si>
    <t>6.15 ER</t>
  </si>
  <si>
    <t>6.16 ER</t>
  </si>
  <si>
    <t>6.17 ER</t>
  </si>
  <si>
    <t>6.18 ER</t>
  </si>
  <si>
    <t>6.19 ER</t>
  </si>
  <si>
    <t>6.23 ER</t>
  </si>
  <si>
    <t>7.01 ER</t>
  </si>
  <si>
    <t>7.02 ER</t>
  </si>
  <si>
    <t>7.03 ER</t>
  </si>
  <si>
    <t>7.04 ER</t>
  </si>
  <si>
    <t>7.05 ER</t>
  </si>
  <si>
    <t>7.07 ER</t>
  </si>
  <si>
    <t>6.01 EP</t>
  </si>
  <si>
    <t>6.02 EP</t>
  </si>
  <si>
    <t>6.04 EP</t>
  </si>
  <si>
    <t>6.09 EP</t>
  </si>
  <si>
    <t>6.10 EP</t>
  </si>
  <si>
    <t>6.14 EP</t>
  </si>
  <si>
    <t>6.15 EP</t>
  </si>
  <si>
    <t>6.16 EP</t>
  </si>
  <si>
    <t>6.17 EP</t>
  </si>
  <si>
    <t>6.20 EP</t>
  </si>
  <si>
    <t>6.21 EP</t>
  </si>
  <si>
    <t>6.22 EP</t>
  </si>
  <si>
    <t>6.23 EP</t>
  </si>
  <si>
    <t>6.24 EP</t>
  </si>
  <si>
    <t>6.25 EP</t>
  </si>
  <si>
    <t>6.26 EP</t>
  </si>
  <si>
    <t>6.27 EP</t>
  </si>
  <si>
    <t>6.28 EP</t>
  </si>
  <si>
    <t>6.29 EP</t>
  </si>
  <si>
    <t>7.01 EP</t>
  </si>
  <si>
    <t>7.02 EP</t>
  </si>
  <si>
    <t>7.05 EP</t>
  </si>
  <si>
    <t>7.06 EP</t>
  </si>
  <si>
    <t>7.08 EP</t>
  </si>
  <si>
    <t>7.09 EP</t>
  </si>
  <si>
    <t>7.10 EP</t>
  </si>
  <si>
    <t>AWEC Proposed</t>
  </si>
  <si>
    <t>Impact of AWEC Adjustments</t>
  </si>
  <si>
    <t>Pro Forma Results</t>
  </si>
  <si>
    <t>Proposed</t>
  </si>
  <si>
    <t>Per Book Results (Y/E Dec. 2018)</t>
  </si>
  <si>
    <t>AWEC-1</t>
  </si>
  <si>
    <t>GAS ALLOCATOR</t>
  </si>
  <si>
    <t>TOTAL RATE BASE DISALLOWANCE</t>
  </si>
  <si>
    <t>CENTER</t>
  </si>
  <si>
    <t>be = ∑ ad thru bf</t>
  </si>
  <si>
    <t>AMORTIZE 01/2019-02/2019 EDFIT (4-YR)</t>
  </si>
  <si>
    <t>APPLY SCH. 141X AMORT</t>
  </si>
  <si>
    <t>INCREASE(DECREASE) RATE BASE</t>
  </si>
  <si>
    <t>REDUCE DEPRECIATION FOR PTC REG. LIAB.</t>
  </si>
  <si>
    <t>REMOVE COLSTRIP 1-2 BALANCES</t>
  </si>
  <si>
    <t>CREATE REGULATORY ASSET</t>
  </si>
  <si>
    <t>DEDUCT MONETIZED PTCS</t>
  </si>
  <si>
    <t>Interest Synchronization</t>
  </si>
  <si>
    <t>BOTHELL DATA</t>
  </si>
  <si>
    <t>AWEC DR 20 Revised</t>
  </si>
  <si>
    <t>6.03</t>
  </si>
  <si>
    <t>6.26</t>
  </si>
  <si>
    <t>7.07</t>
  </si>
  <si>
    <t>6.04</t>
  </si>
  <si>
    <t>AWEC DR 20 Rev. Corrections</t>
  </si>
  <si>
    <t>Interim Protected Plus EDFIT</t>
  </si>
  <si>
    <t>Data Center Relocation</t>
  </si>
  <si>
    <t>UG-190530</t>
  </si>
  <si>
    <t>PUGET SOUND ENERGY - NATURAL GAS - AWEC REPLY</t>
  </si>
  <si>
    <t>AMORTIZE 01/2018-02/2019 EDFIT (4-YR)</t>
  </si>
  <si>
    <t>PUGET SOUND ENERGY - ELECTRIC -AWEC CROSS ANSWERING</t>
  </si>
  <si>
    <t>12.01E</t>
  </si>
  <si>
    <t>12.02E</t>
  </si>
  <si>
    <t>12.03E</t>
  </si>
  <si>
    <t>SMART</t>
  </si>
  <si>
    <t>BURN</t>
  </si>
  <si>
    <t xml:space="preserve">COLSTRIP </t>
  </si>
  <si>
    <t>OUTAGE</t>
  </si>
  <si>
    <t xml:space="preserve">REMOVE </t>
  </si>
  <si>
    <t>GREEN DIRECT</t>
  </si>
  <si>
    <t>SMART BURN</t>
  </si>
  <si>
    <t>REMOVE COLSTRIP OUTAGE</t>
  </si>
  <si>
    <t>REMOVE GREEN DIRECT</t>
  </si>
  <si>
    <t>Staff</t>
  </si>
  <si>
    <t>12.01</t>
  </si>
  <si>
    <t>12.02</t>
  </si>
  <si>
    <t>Tacoma LNG</t>
  </si>
  <si>
    <t>6.01 P</t>
  </si>
  <si>
    <t>6.24 P</t>
  </si>
  <si>
    <t>6.27 P</t>
  </si>
  <si>
    <t>6.29 P</t>
  </si>
  <si>
    <t>7.02 P</t>
  </si>
  <si>
    <t>7.09 P</t>
  </si>
  <si>
    <t>7.10 P</t>
  </si>
  <si>
    <t>Remove Shuffleton</t>
  </si>
  <si>
    <t>Revenues &amp; Expenses</t>
  </si>
  <si>
    <t>12.04E</t>
  </si>
  <si>
    <t>SHUFFLETON</t>
  </si>
  <si>
    <t>Smart Burn</t>
  </si>
  <si>
    <t>Colstrip Outage</t>
  </si>
  <si>
    <t>Public Improvements</t>
  </si>
  <si>
    <t>HR Tops</t>
  </si>
  <si>
    <t>Montana Tax</t>
  </si>
  <si>
    <t>HMC Cable</t>
  </si>
  <si>
    <t>Energy Mgmt. Sys.</t>
  </si>
  <si>
    <t>Get to Zero</t>
  </si>
  <si>
    <t>9.4% ROE</t>
  </si>
  <si>
    <t>9.2% ROE</t>
  </si>
  <si>
    <t>Adjusted Rev. Req. @ 9.4% ROE</t>
  </si>
  <si>
    <t>TABLE 1-CA</t>
  </si>
  <si>
    <t>Cross-Answering Revenue Requirement Adjustments ($000)</t>
  </si>
  <si>
    <t>DATA CENTER RELOCATION</t>
  </si>
  <si>
    <t>Oppose</t>
  </si>
  <si>
    <t>AWEC Position</t>
  </si>
  <si>
    <t>PUGET SOUND ENERGY - AWEC CROSS-ANSWERING</t>
  </si>
  <si>
    <r>
      <rPr>
        <strike/>
        <sz val="10"/>
        <color rgb="FFE66300"/>
        <rFont val="Times New Roman"/>
        <family val="1"/>
      </rPr>
      <t xml:space="preserve">Neutral </t>
    </r>
    <r>
      <rPr>
        <sz val="10"/>
        <color rgb="FFE66300"/>
        <rFont val="Times New Roman"/>
        <family val="1"/>
      </rPr>
      <t>Proposed</t>
    </r>
  </si>
  <si>
    <t>9.8% ROE</t>
  </si>
  <si>
    <t>ROE Impact</t>
  </si>
  <si>
    <t>AWEC</t>
  </si>
  <si>
    <t>PSE Filing</t>
  </si>
  <si>
    <t>Adjust to 9.4% ROE</t>
  </si>
  <si>
    <t>PSE Initial Filing (as Revised)</t>
  </si>
  <si>
    <t xml:space="preserve">Electric Revenue Requirement Summary ($000) </t>
  </si>
  <si>
    <t>with PSE Sept 24, 2019 Revised Workpapers as Base</t>
  </si>
  <si>
    <t>With ROE Impact Calculated 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</si>
</sst>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_(* #,##0.00_);_(* \(#,##0.00\);_(* &quot;-&quot;_);_(@_)"/>
    <numFmt numFmtId="180" formatCode="0.0000"/>
    <numFmt numFmtId="181" formatCode="&quot;ADJ&quot;\ 0.00\ &quot;ER&quot;"/>
    <numFmt numFmtId="182" formatCode="&quot;ADJ&quot;\ 0.00\ &quot;EP&quot;"/>
    <numFmt numFmtId="183" formatCode="_(&quot;$&quot;* #,##0.000_);_(&quot;$&quot;* \(#,##0.000\);_(&quot;$&quot;* &quot;-&quot;??_);_(@_)"/>
    <numFmt numFmtId="184" formatCode="_(* #,##0.0000000_);_(* \(#,##0.0000000\);_(* &quot;-&quot;??_);_(@_)"/>
    <numFmt numFmtId="185" formatCode="0_);\(0\)"/>
    <numFmt numFmtId="186" formatCode="0.000%"/>
    <numFmt numFmtId="187" formatCode="_(* #,##0.000000000_);_(* \(#,##0.000000000\);_(* &quot;-&quot;??_);_(@_)"/>
    <numFmt numFmtId="188" formatCode="0.000000%"/>
    <numFmt numFmtId="189" formatCode="_(&quot;$&quot;\ #,##0_);_(&quot;$&quot;\ \(#,##0\);_(* &quot;-&quot;_);_(@_)"/>
    <numFmt numFmtId="190" formatCode="0.000"/>
    <numFmt numFmtId="191" formatCode="&quot;ADJ&quot;\ 0.00\ &quot;GP&quot;"/>
    <numFmt numFmtId="192" formatCode="_(* #,##0.000_);_(* \(#,##0.000\);_(* &quot;-&quot;_);_(@_)"/>
    <numFmt numFmtId="193" formatCode="_(* #,##0.00000_);_(* \(#,##0.00000\);_(* &quot;-&quot;_);_(@_)"/>
  </numFmts>
  <fonts count="6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Times New Roman"/>
      <family val="1"/>
    </font>
    <font>
      <i/>
      <u/>
      <sz val="10"/>
      <name val="Times New Roman"/>
      <family val="1"/>
    </font>
    <font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E66300"/>
      <name val="Times New Roman"/>
      <family val="1"/>
    </font>
    <font>
      <strike/>
      <sz val="10"/>
      <color rgb="FFE66300"/>
      <name val="Times New Roman"/>
      <family val="1"/>
    </font>
    <font>
      <b/>
      <i/>
      <sz val="10"/>
      <color rgb="FFE66300"/>
      <name val="Times New Roman"/>
      <family val="1"/>
    </font>
    <font>
      <i/>
      <sz val="10"/>
      <color rgb="FFE66300"/>
      <name val="Times New Roman"/>
      <family val="1"/>
    </font>
    <font>
      <sz val="11"/>
      <color rgb="FFE66300"/>
      <name val="Calibri"/>
      <family val="2"/>
      <scheme val="minor"/>
    </font>
    <font>
      <b/>
      <sz val="10"/>
      <color rgb="FFE66300"/>
      <name val="Times New Roman"/>
      <family val="1"/>
    </font>
    <font>
      <b/>
      <sz val="11"/>
      <color rgb="FFE663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FFF7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6" fillId="0" borderId="0"/>
    <xf numFmtId="41" fontId="4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22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5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5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5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5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5" xfId="0" applyNumberFormat="1" applyFont="1" applyBorder="1" applyAlignment="1">
      <alignment horizontal="right"/>
    </xf>
    <xf numFmtId="169" fontId="1" fillId="0" borderId="5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21" xfId="0" applyNumberFormat="1" applyFont="1" applyBorder="1" applyAlignment="1"/>
    <xf numFmtId="41" fontId="1" fillId="0" borderId="21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21" xfId="0" applyNumberFormat="1" applyFont="1" applyBorder="1" applyAlignment="1">
      <alignment horizontal="left"/>
    </xf>
    <xf numFmtId="167" fontId="1" fillId="0" borderId="21" xfId="0" applyNumberFormat="1" applyFont="1" applyBorder="1" applyAlignment="1" applyProtection="1">
      <alignment horizontal="right"/>
      <protection locked="0"/>
    </xf>
    <xf numFmtId="0" fontId="4" fillId="0" borderId="21" xfId="0" applyFont="1" applyBorder="1"/>
    <xf numFmtId="0" fontId="1" fillId="0" borderId="21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5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3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3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21" xfId="0" applyNumberFormat="1" applyFont="1" applyFill="1" applyBorder="1" applyAlignment="1"/>
    <xf numFmtId="41" fontId="1" fillId="0" borderId="22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21" xfId="0" applyNumberFormat="1" applyFont="1" applyFill="1" applyBorder="1"/>
    <xf numFmtId="9" fontId="1" fillId="0" borderId="0" xfId="0" applyNumberFormat="1" applyFont="1" applyFill="1" applyAlignment="1">
      <alignment horizontal="center"/>
    </xf>
    <xf numFmtId="42" fontId="4" fillId="0" borderId="22" xfId="0" applyNumberFormat="1" applyFont="1" applyBorder="1"/>
    <xf numFmtId="168" fontId="4" fillId="0" borderId="0" xfId="0" applyNumberFormat="1" applyFont="1"/>
    <xf numFmtId="168" fontId="4" fillId="0" borderId="21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3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21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21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5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21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5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6" borderId="16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6" borderId="16" xfId="0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7" xfId="0" applyFont="1" applyFill="1" applyBorder="1"/>
    <xf numFmtId="42" fontId="1" fillId="6" borderId="17" xfId="0" applyNumberFormat="1" applyFont="1" applyFill="1" applyBorder="1" applyAlignment="1" applyProtection="1">
      <protection locked="0"/>
    </xf>
    <xf numFmtId="41" fontId="1" fillId="6" borderId="17" xfId="0" applyNumberFormat="1" applyFont="1" applyFill="1" applyBorder="1" applyAlignment="1" applyProtection="1">
      <protection locked="0"/>
    </xf>
    <xf numFmtId="168" fontId="4" fillId="6" borderId="16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6" borderId="17" xfId="0" applyNumberFormat="1" applyFont="1" applyFill="1" applyBorder="1"/>
    <xf numFmtId="169" fontId="4" fillId="6" borderId="16" xfId="0" applyNumberFormat="1" applyFont="1" applyFill="1" applyBorder="1"/>
    <xf numFmtId="41" fontId="4" fillId="0" borderId="0" xfId="0" applyNumberFormat="1" applyFont="1" applyFill="1"/>
    <xf numFmtId="0" fontId="4" fillId="0" borderId="21" xfId="0" applyFont="1" applyFill="1" applyBorder="1"/>
    <xf numFmtId="0" fontId="4" fillId="6" borderId="16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6" borderId="2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6" borderId="17" xfId="0" applyNumberFormat="1" applyFont="1" applyFill="1" applyBorder="1" applyAlignment="1" applyProtection="1">
      <protection locked="0"/>
    </xf>
    <xf numFmtId="42" fontId="4" fillId="6" borderId="18" xfId="0" applyNumberFormat="1" applyFont="1" applyFill="1" applyBorder="1"/>
    <xf numFmtId="10" fontId="26" fillId="0" borderId="0" xfId="0" applyNumberFormat="1" applyFont="1"/>
    <xf numFmtId="10" fontId="26" fillId="5" borderId="2" xfId="0" applyNumberFormat="1" applyFont="1" applyFill="1" applyBorder="1"/>
    <xf numFmtId="10" fontId="26" fillId="6" borderId="17" xfId="0" applyNumberFormat="1" applyFont="1" applyFill="1" applyBorder="1"/>
    <xf numFmtId="0" fontId="26" fillId="0" borderId="0" xfId="0" applyFont="1"/>
    <xf numFmtId="0" fontId="26" fillId="6" borderId="17" xfId="0" applyFont="1" applyFill="1" applyBorder="1"/>
    <xf numFmtId="0" fontId="3" fillId="3" borderId="0" xfId="0" applyNumberFormat="1" applyFont="1" applyFill="1" applyBorder="1" applyAlignment="1">
      <alignment horizontal="left"/>
    </xf>
    <xf numFmtId="42" fontId="3" fillId="3" borderId="0" xfId="0" applyNumberFormat="1" applyFont="1" applyFill="1" applyBorder="1" applyAlignment="1"/>
    <xf numFmtId="42" fontId="1" fillId="3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166" fontId="1" fillId="0" borderId="2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/>
    <xf numFmtId="0" fontId="1" fillId="4" borderId="3" xfId="0" applyFont="1" applyFill="1" applyBorder="1" applyAlignment="1">
      <alignment horizontal="left"/>
    </xf>
    <xf numFmtId="0" fontId="1" fillId="4" borderId="4" xfId="0" applyNumberFormat="1" applyFont="1" applyFill="1" applyBorder="1" applyAlignment="1"/>
    <xf numFmtId="41" fontId="1" fillId="4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25" fillId="0" borderId="7" xfId="0" applyNumberFormat="1" applyFont="1" applyFill="1" applyBorder="1" applyAlignment="1">
      <alignment horizontal="right"/>
    </xf>
    <xf numFmtId="0" fontId="19" fillId="0" borderId="8" xfId="0" applyFont="1" applyFill="1" applyBorder="1"/>
    <xf numFmtId="42" fontId="29" fillId="5" borderId="8" xfId="0" applyNumberFormat="1" applyFont="1" applyFill="1" applyBorder="1"/>
    <xf numFmtId="42" fontId="29" fillId="5" borderId="9" xfId="0" applyNumberFormat="1" applyFont="1" applyFill="1" applyBorder="1"/>
    <xf numFmtId="0" fontId="25" fillId="0" borderId="1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9" fillId="0" borderId="11" xfId="0" applyFont="1" applyBorder="1"/>
    <xf numFmtId="42" fontId="29" fillId="5" borderId="0" xfId="0" applyNumberFormat="1" applyFont="1" applyFill="1" applyBorder="1"/>
    <xf numFmtId="42" fontId="29" fillId="5" borderId="11" xfId="0" applyNumberFormat="1" applyFont="1" applyFill="1" applyBorder="1"/>
    <xf numFmtId="0" fontId="25" fillId="0" borderId="13" xfId="0" applyNumberFormat="1" applyFont="1" applyFill="1" applyBorder="1" applyAlignment="1">
      <alignment horizontal="right"/>
    </xf>
    <xf numFmtId="42" fontId="29" fillId="5" borderId="14" xfId="0" applyNumberFormat="1" applyFont="1" applyFill="1" applyBorder="1"/>
    <xf numFmtId="42" fontId="29" fillId="5" borderId="15" xfId="0" applyNumberFormat="1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6" xfId="0" applyFont="1" applyBorder="1" applyAlignment="1">
      <alignment horizontal="centerContinuous"/>
    </xf>
    <xf numFmtId="0" fontId="27" fillId="0" borderId="22" xfId="0" applyFont="1" applyBorder="1" applyAlignment="1">
      <alignment horizontal="centerContinuous"/>
    </xf>
    <xf numFmtId="181" fontId="3" fillId="0" borderId="15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center"/>
    </xf>
    <xf numFmtId="182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30" fillId="0" borderId="0" xfId="0" applyNumberFormat="1" applyFont="1"/>
    <xf numFmtId="168" fontId="19" fillId="0" borderId="5" xfId="0" applyNumberFormat="1" applyFont="1" applyFill="1" applyBorder="1"/>
    <xf numFmtId="42" fontId="4" fillId="2" borderId="14" xfId="0" applyNumberFormat="1" applyFont="1" applyFill="1" applyBorder="1"/>
    <xf numFmtId="165" fontId="1" fillId="0" borderId="23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7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21" xfId="0" applyNumberFormat="1" applyFont="1" applyFill="1" applyBorder="1"/>
    <xf numFmtId="181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5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3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168" fontId="4" fillId="0" borderId="19" xfId="0" applyNumberFormat="1" applyFont="1" applyFill="1" applyBorder="1"/>
    <xf numFmtId="0" fontId="16" fillId="0" borderId="23" xfId="0" applyFont="1" applyBorder="1" applyAlignment="1">
      <alignment horizontal="center"/>
    </xf>
    <xf numFmtId="0" fontId="27" fillId="0" borderId="24" xfId="0" applyFont="1" applyFill="1" applyBorder="1" applyAlignment="1">
      <alignment horizontal="centerContinuous"/>
    </xf>
    <xf numFmtId="0" fontId="27" fillId="0" borderId="22" xfId="0" applyFont="1" applyFill="1" applyBorder="1" applyAlignment="1">
      <alignment horizontal="centerContinuous"/>
    </xf>
    <xf numFmtId="0" fontId="27" fillId="0" borderId="12" xfId="0" applyFont="1" applyFill="1" applyBorder="1" applyAlignment="1">
      <alignment horizontal="centerContinuous"/>
    </xf>
    <xf numFmtId="9" fontId="4" fillId="0" borderId="21" xfId="0" applyNumberFormat="1" applyFont="1" applyFill="1" applyBorder="1"/>
    <xf numFmtId="10" fontId="4" fillId="0" borderId="21" xfId="0" applyNumberFormat="1" applyFont="1" applyFill="1" applyBorder="1"/>
    <xf numFmtId="165" fontId="1" fillId="0" borderId="23" xfId="0" applyNumberFormat="1" applyFont="1" applyFill="1" applyBorder="1" applyAlignment="1"/>
    <xf numFmtId="9" fontId="4" fillId="0" borderId="21" xfId="0" applyNumberFormat="1" applyFont="1" applyBorder="1"/>
    <xf numFmtId="10" fontId="4" fillId="0" borderId="21" xfId="0" applyNumberFormat="1" applyFont="1" applyBorder="1"/>
    <xf numFmtId="178" fontId="4" fillId="0" borderId="23" xfId="0" applyNumberFormat="1" applyFont="1" applyFill="1" applyBorder="1"/>
    <xf numFmtId="168" fontId="19" fillId="0" borderId="21" xfId="0" applyNumberFormat="1" applyFont="1" applyFill="1" applyBorder="1"/>
    <xf numFmtId="169" fontId="19" fillId="0" borderId="21" xfId="0" applyNumberFormat="1" applyFont="1" applyFill="1" applyBorder="1"/>
    <xf numFmtId="0" fontId="19" fillId="0" borderId="21" xfId="0" applyFont="1" applyFill="1" applyBorder="1"/>
    <xf numFmtId="166" fontId="19" fillId="0" borderId="5" xfId="0" applyNumberFormat="1" applyFont="1" applyFill="1" applyBorder="1"/>
    <xf numFmtId="169" fontId="4" fillId="0" borderId="21" xfId="0" applyNumberFormat="1" applyFont="1" applyFill="1" applyBorder="1"/>
    <xf numFmtId="42" fontId="4" fillId="0" borderId="5" xfId="0" applyNumberFormat="1" applyFont="1" applyFill="1" applyBorder="1"/>
    <xf numFmtId="166" fontId="1" fillId="4" borderId="21" xfId="0" applyNumberFormat="1" applyFont="1" applyFill="1" applyBorder="1" applyAlignment="1" applyProtection="1">
      <protection locked="0"/>
    </xf>
    <xf numFmtId="41" fontId="25" fillId="0" borderId="21" xfId="0" applyNumberFormat="1" applyFont="1" applyFill="1" applyBorder="1" applyAlignment="1">
      <alignment vertical="center"/>
    </xf>
    <xf numFmtId="179" fontId="25" fillId="0" borderId="21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wrapText="1"/>
      <protection locked="0"/>
    </xf>
    <xf numFmtId="0" fontId="3" fillId="0" borderId="23" xfId="0" applyNumberFormat="1" applyFont="1" applyFill="1" applyBorder="1" applyAlignment="1"/>
    <xf numFmtId="0" fontId="3" fillId="0" borderId="23" xfId="0" quotePrefix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1" fontId="1" fillId="0" borderId="23" xfId="0" applyNumberFormat="1" applyFont="1" applyFill="1" applyBorder="1" applyAlignment="1">
      <alignment horizontal="center"/>
    </xf>
    <xf numFmtId="41" fontId="2" fillId="0" borderId="23" xfId="0" applyNumberFormat="1" applyFont="1" applyBorder="1"/>
    <xf numFmtId="168" fontId="1" fillId="0" borderId="23" xfId="0" applyNumberFormat="1" applyFont="1" applyFill="1" applyBorder="1"/>
    <xf numFmtId="42" fontId="1" fillId="0" borderId="21" xfId="0" applyNumberFormat="1" applyFont="1" applyFill="1" applyBorder="1" applyProtection="1">
      <protection locked="0"/>
    </xf>
    <xf numFmtId="41" fontId="1" fillId="0" borderId="23" xfId="0" applyNumberFormat="1" applyFont="1" applyFill="1" applyBorder="1" applyAlignment="1"/>
    <xf numFmtId="41" fontId="1" fillId="0" borderId="21" xfId="0" applyNumberFormat="1" applyFont="1" applyFill="1" applyBorder="1" applyAlignment="1">
      <alignment horizontal="center"/>
    </xf>
    <xf numFmtId="170" fontId="1" fillId="0" borderId="21" xfId="0" quotePrefix="1" applyNumberFormat="1" applyFont="1" applyFill="1" applyBorder="1" applyAlignment="1">
      <alignment horizontal="left"/>
    </xf>
    <xf numFmtId="42" fontId="1" fillId="0" borderId="21" xfId="0" applyNumberFormat="1" applyFont="1" applyFill="1" applyBorder="1"/>
    <xf numFmtId="41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 applyProtection="1">
      <protection locked="0"/>
    </xf>
    <xf numFmtId="169" fontId="1" fillId="0" borderId="21" xfId="0" applyNumberFormat="1" applyFont="1" applyFill="1" applyBorder="1" applyAlignment="1" applyProtection="1">
      <protection locked="0"/>
    </xf>
    <xf numFmtId="168" fontId="1" fillId="0" borderId="23" xfId="0" applyNumberFormat="1" applyFont="1" applyFill="1" applyBorder="1" applyProtection="1">
      <protection locked="0"/>
    </xf>
    <xf numFmtId="168" fontId="4" fillId="0" borderId="23" xfId="0" applyNumberFormat="1" applyFont="1" applyBorder="1"/>
    <xf numFmtId="42" fontId="1" fillId="0" borderId="23" xfId="0" applyNumberFormat="1" applyFont="1" applyFill="1" applyBorder="1" applyAlignment="1"/>
    <xf numFmtId="37" fontId="1" fillId="0" borderId="21" xfId="0" applyNumberFormat="1" applyFont="1" applyFill="1" applyBorder="1" applyAlignment="1">
      <alignment horizontal="right"/>
    </xf>
    <xf numFmtId="168" fontId="1" fillId="0" borderId="23" xfId="0" applyNumberFormat="1" applyFont="1" applyFill="1" applyBorder="1" applyAlignment="1"/>
    <xf numFmtId="41" fontId="2" fillId="0" borderId="21" xfId="0" applyNumberFormat="1" applyFont="1" applyBorder="1"/>
    <xf numFmtId="168" fontId="1" fillId="0" borderId="21" xfId="0" applyNumberFormat="1" applyFont="1" applyFill="1" applyBorder="1"/>
    <xf numFmtId="41" fontId="1" fillId="0" borderId="23" xfId="0" applyNumberFormat="1" applyFont="1" applyFill="1" applyBorder="1" applyAlignment="1">
      <alignment horizontal="right"/>
    </xf>
    <xf numFmtId="168" fontId="1" fillId="0" borderId="23" xfId="0" applyNumberFormat="1" applyFont="1" applyBorder="1"/>
    <xf numFmtId="168" fontId="1" fillId="0" borderId="23" xfId="0" applyNumberFormat="1" applyFont="1" applyBorder="1" applyAlignment="1" applyProtection="1">
      <alignment horizontal="right"/>
      <protection locked="0"/>
    </xf>
    <xf numFmtId="41" fontId="1" fillId="0" borderId="21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/>
    <xf numFmtId="43" fontId="1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left"/>
    </xf>
    <xf numFmtId="168" fontId="18" fillId="0" borderId="21" xfId="0" applyNumberFormat="1" applyFont="1" applyFill="1" applyBorder="1" applyAlignment="1"/>
    <xf numFmtId="42" fontId="1" fillId="0" borderId="5" xfId="0" applyNumberFormat="1" applyFont="1" applyFill="1" applyBorder="1" applyProtection="1">
      <protection locked="0"/>
    </xf>
    <xf numFmtId="37" fontId="1" fillId="0" borderId="21" xfId="0" applyNumberFormat="1" applyFont="1" applyBorder="1"/>
    <xf numFmtId="41" fontId="1" fillId="0" borderId="21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21" xfId="0" applyNumberFormat="1" applyFont="1" applyFill="1" applyBorder="1"/>
    <xf numFmtId="43" fontId="19" fillId="0" borderId="21" xfId="0" applyNumberFormat="1" applyFont="1" applyFill="1" applyBorder="1"/>
    <xf numFmtId="42" fontId="1" fillId="0" borderId="5" xfId="0" applyNumberFormat="1" applyFont="1" applyBorder="1" applyAlignment="1" applyProtection="1">
      <alignment horizontal="right"/>
      <protection locked="0"/>
    </xf>
    <xf numFmtId="41" fontId="22" fillId="0" borderId="21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21" xfId="0" applyNumberFormat="1" applyFont="1" applyFill="1" applyBorder="1"/>
    <xf numFmtId="41" fontId="19" fillId="0" borderId="0" xfId="0" applyNumberFormat="1" applyFont="1"/>
    <xf numFmtId="42" fontId="3" fillId="0" borderId="5" xfId="0" applyNumberFormat="1" applyFont="1" applyBorder="1"/>
    <xf numFmtId="42" fontId="3" fillId="0" borderId="5" xfId="0" quotePrefix="1" applyNumberFormat="1" applyFont="1" applyFill="1" applyBorder="1" applyAlignment="1">
      <alignment horizontal="left"/>
    </xf>
    <xf numFmtId="41" fontId="4" fillId="0" borderId="23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2" xfId="0" quotePrefix="1" applyNumberFormat="1" applyFont="1" applyFill="1" applyBorder="1" applyAlignment="1">
      <alignment horizontal="left"/>
    </xf>
    <xf numFmtId="41" fontId="4" fillId="0" borderId="21" xfId="0" applyNumberFormat="1" applyFont="1" applyFill="1" applyBorder="1"/>
    <xf numFmtId="42" fontId="4" fillId="0" borderId="1" xfId="0" applyNumberFormat="1" applyFont="1" applyFill="1" applyBorder="1"/>
    <xf numFmtId="41" fontId="1" fillId="0" borderId="21" xfId="0" quotePrefix="1" applyNumberFormat="1" applyFont="1" applyFill="1" applyBorder="1" applyAlignment="1">
      <alignment horizontal="left"/>
    </xf>
    <xf numFmtId="41" fontId="11" fillId="0" borderId="21" xfId="0" applyNumberFormat="1" applyFont="1" applyBorder="1"/>
    <xf numFmtId="41" fontId="14" fillId="0" borderId="21" xfId="0" applyNumberFormat="1" applyFont="1" applyBorder="1"/>
    <xf numFmtId="41" fontId="0" fillId="0" borderId="0" xfId="0" applyNumberFormat="1" applyAlignment="1"/>
    <xf numFmtId="41" fontId="0" fillId="0" borderId="21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21" xfId="0" applyNumberFormat="1" applyBorder="1"/>
    <xf numFmtId="0" fontId="4" fillId="0" borderId="12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21" xfId="0" applyNumberFormat="1" applyFont="1" applyBorder="1"/>
    <xf numFmtId="183" fontId="1" fillId="0" borderId="5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/>
    <xf numFmtId="183" fontId="34" fillId="0" borderId="15" xfId="0" applyNumberFormat="1" applyFont="1" applyBorder="1" applyAlignment="1"/>
    <xf numFmtId="183" fontId="34" fillId="0" borderId="14" xfId="0" applyNumberFormat="1" applyFont="1" applyBorder="1" applyAlignment="1"/>
    <xf numFmtId="0" fontId="33" fillId="0" borderId="13" xfId="0" applyNumberFormat="1" applyFont="1" applyBorder="1" applyAlignment="1"/>
    <xf numFmtId="183" fontId="34" fillId="0" borderId="11" xfId="0" applyNumberFormat="1" applyFont="1" applyBorder="1" applyAlignment="1"/>
    <xf numFmtId="183" fontId="34" fillId="0" borderId="0" xfId="0" applyNumberFormat="1" applyFont="1" applyBorder="1" applyAlignment="1"/>
    <xf numFmtId="169" fontId="33" fillId="0" borderId="10" xfId="0" applyNumberFormat="1" applyFont="1" applyBorder="1" applyAlignment="1"/>
    <xf numFmtId="0" fontId="33" fillId="0" borderId="11" xfId="0" applyNumberFormat="1" applyFont="1" applyBorder="1" applyAlignment="1"/>
    <xf numFmtId="0" fontId="33" fillId="0" borderId="0" xfId="0" applyNumberFormat="1" applyFont="1" applyBorder="1" applyAlignment="1"/>
    <xf numFmtId="0" fontId="33" fillId="0" borderId="10" xfId="0" applyNumberFormat="1" applyFont="1" applyBorder="1" applyAlignment="1"/>
    <xf numFmtId="0" fontId="34" fillId="0" borderId="11" xfId="0" applyNumberFormat="1" applyFont="1" applyBorder="1" applyAlignment="1">
      <alignment horizontal="center" wrapText="1"/>
    </xf>
    <xf numFmtId="0" fontId="34" fillId="0" borderId="0" xfId="0" applyNumberFormat="1" applyFont="1" applyBorder="1" applyAlignment="1">
      <alignment horizontal="center" wrapText="1"/>
    </xf>
    <xf numFmtId="169" fontId="34" fillId="0" borderId="10" xfId="0" applyNumberFormat="1" applyFont="1" applyBorder="1" applyAlignment="1"/>
    <xf numFmtId="169" fontId="35" fillId="0" borderId="10" xfId="0" applyNumberFormat="1" applyFont="1" applyBorder="1" applyAlignment="1"/>
    <xf numFmtId="0" fontId="34" fillId="0" borderId="0" xfId="0" applyNumberFormat="1" applyFont="1" applyFill="1" applyAlignment="1">
      <alignment horizontal="left"/>
    </xf>
    <xf numFmtId="0" fontId="34" fillId="0" borderId="11" xfId="0" applyNumberFormat="1" applyFont="1" applyBorder="1" applyAlignment="1"/>
    <xf numFmtId="0" fontId="34" fillId="0" borderId="0" xfId="0" applyNumberFormat="1" applyFont="1" applyBorder="1" applyAlignment="1"/>
    <xf numFmtId="168" fontId="34" fillId="0" borderId="0" xfId="0" applyNumberFormat="1" applyFont="1" applyFill="1" applyBorder="1"/>
    <xf numFmtId="168" fontId="34" fillId="0" borderId="10" xfId="0" applyNumberFormat="1" applyFont="1" applyFill="1" applyBorder="1" applyAlignment="1"/>
    <xf numFmtId="169" fontId="34" fillId="0" borderId="26" xfId="0" applyNumberFormat="1" applyFont="1" applyFill="1" applyBorder="1" applyAlignment="1"/>
    <xf numFmtId="169" fontId="34" fillId="0" borderId="21" xfId="0" applyNumberFormat="1" applyFont="1" applyFill="1" applyBorder="1" applyAlignment="1"/>
    <xf numFmtId="183" fontId="34" fillId="0" borderId="21" xfId="0" applyNumberFormat="1" applyFont="1" applyBorder="1" applyAlignment="1"/>
    <xf numFmtId="169" fontId="34" fillId="0" borderId="27" xfId="0" applyNumberFormat="1" applyFont="1" applyFill="1" applyBorder="1" applyAlignment="1"/>
    <xf numFmtId="184" fontId="34" fillId="0" borderId="11" xfId="0" applyNumberFormat="1" applyFont="1" applyBorder="1" applyAlignment="1"/>
    <xf numFmtId="184" fontId="34" fillId="0" borderId="0" xfId="0" applyNumberFormat="1" applyFont="1" applyBorder="1" applyAlignment="1"/>
    <xf numFmtId="184" fontId="34" fillId="0" borderId="0" xfId="0" applyNumberFormat="1" applyFont="1" applyFill="1" applyBorder="1" applyAlignment="1">
      <alignment horizontal="right"/>
    </xf>
    <xf numFmtId="184" fontId="34" fillId="0" borderId="1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left" vertical="center" indent="1"/>
    </xf>
    <xf numFmtId="0" fontId="33" fillId="0" borderId="11" xfId="0" applyNumberFormat="1" applyFont="1" applyFill="1" applyBorder="1" applyAlignment="1"/>
    <xf numFmtId="0" fontId="33" fillId="0" borderId="0" xfId="0" applyNumberFormat="1" applyFont="1" applyFill="1" applyBorder="1" applyAlignment="1"/>
    <xf numFmtId="168" fontId="34" fillId="0" borderId="0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/>
    <xf numFmtId="168" fontId="32" fillId="0" borderId="0" xfId="0" applyNumberFormat="1" applyFont="1" applyFill="1" applyAlignment="1"/>
    <xf numFmtId="0" fontId="36" fillId="0" borderId="0" xfId="0" applyNumberFormat="1" applyFont="1" applyAlignment="1"/>
    <xf numFmtId="168" fontId="34" fillId="0" borderId="0" xfId="0" applyNumberFormat="1" applyFont="1" applyBorder="1" applyAlignment="1"/>
    <xf numFmtId="183" fontId="34" fillId="0" borderId="0" xfId="0" applyNumberFormat="1" applyFont="1" applyFill="1" applyBorder="1" applyAlignment="1"/>
    <xf numFmtId="168" fontId="34" fillId="0" borderId="10" xfId="0" applyNumberFormat="1" applyFont="1" applyFill="1" applyBorder="1" applyAlignment="1">
      <alignment horizontal="right"/>
    </xf>
    <xf numFmtId="0" fontId="34" fillId="0" borderId="0" xfId="0" quotePrefix="1" applyNumberFormat="1" applyFont="1" applyFill="1" applyAlignment="1">
      <alignment horizontal="left"/>
    </xf>
    <xf numFmtId="0" fontId="34" fillId="0" borderId="0" xfId="0" quotePrefix="1" applyNumberFormat="1" applyFont="1" applyFill="1" applyBorder="1" applyAlignment="1">
      <alignment horizontal="left"/>
    </xf>
    <xf numFmtId="168" fontId="34" fillId="0" borderId="11" xfId="0" applyNumberFormat="1" applyFont="1" applyBorder="1" applyAlignment="1"/>
    <xf numFmtId="0" fontId="34" fillId="0" borderId="0" xfId="0" applyNumberFormat="1" applyFont="1" applyFill="1" applyAlignment="1">
      <alignment vertical="top"/>
    </xf>
    <xf numFmtId="0" fontId="34" fillId="0" borderId="0" xfId="0" applyNumberFormat="1" applyFont="1" applyFill="1" applyAlignment="1">
      <alignment horizontal="center" vertical="top"/>
    </xf>
    <xf numFmtId="0" fontId="34" fillId="0" borderId="0" xfId="0" applyNumberFormat="1" applyFont="1" applyFill="1" applyBorder="1" applyAlignment="1">
      <alignment horizontal="left" indent="1"/>
    </xf>
    <xf numFmtId="168" fontId="34" fillId="0" borderId="10" xfId="0" applyNumberFormat="1" applyFont="1" applyFill="1" applyBorder="1" applyAlignment="1"/>
    <xf numFmtId="169" fontId="34" fillId="0" borderId="11" xfId="0" applyNumberFormat="1" applyFont="1" applyBorder="1" applyAlignment="1"/>
    <xf numFmtId="169" fontId="34" fillId="0" borderId="0" xfId="0" applyNumberFormat="1" applyFont="1" applyBorder="1" applyAlignment="1"/>
    <xf numFmtId="169" fontId="34" fillId="0" borderId="10" xfId="0" applyNumberFormat="1" applyFont="1" applyFill="1" applyBorder="1" applyAlignment="1"/>
    <xf numFmtId="168" fontId="37" fillId="0" borderId="11" xfId="0" applyNumberFormat="1" applyFon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10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/>
    <xf numFmtId="43" fontId="34" fillId="0" borderId="0" xfId="0" applyNumberFormat="1" applyFont="1" applyFill="1" applyAlignment="1">
      <alignment horizontal="left"/>
    </xf>
    <xf numFmtId="0" fontId="37" fillId="0" borderId="11" xfId="0" applyNumberFormat="1" applyFont="1" applyFill="1" applyBorder="1" applyAlignment="1">
      <alignment horizontal="center"/>
    </xf>
    <xf numFmtId="0" fontId="32" fillId="0" borderId="0" xfId="0" applyNumberFormat="1" applyFont="1" applyAlignment="1"/>
    <xf numFmtId="169" fontId="34" fillId="0" borderId="0" xfId="0" applyNumberFormat="1" applyFont="1" applyFill="1" applyAlignment="1">
      <alignment horizontal="left"/>
    </xf>
    <xf numFmtId="0" fontId="34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right"/>
    </xf>
    <xf numFmtId="10" fontId="34" fillId="0" borderId="10" xfId="0" applyNumberFormat="1" applyFont="1" applyBorder="1" applyAlignment="1"/>
    <xf numFmtId="173" fontId="33" fillId="0" borderId="28" xfId="0" applyNumberFormat="1" applyFont="1" applyBorder="1" applyAlignment="1"/>
    <xf numFmtId="0" fontId="33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69" fontId="34" fillId="0" borderId="27" xfId="0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>
      <alignment horizontal="center"/>
    </xf>
    <xf numFmtId="173" fontId="33" fillId="0" borderId="29" xfId="0" applyNumberFormat="1" applyFont="1" applyBorder="1" applyAlignment="1"/>
    <xf numFmtId="0" fontId="33" fillId="0" borderId="12" xfId="0" applyNumberFormat="1" applyFont="1" applyBorder="1" applyAlignment="1">
      <alignment horizontal="right"/>
    </xf>
    <xf numFmtId="0" fontId="34" fillId="0" borderId="24" xfId="0" applyNumberFormat="1" applyFont="1" applyBorder="1" applyAlignment="1"/>
    <xf numFmtId="0" fontId="38" fillId="0" borderId="24" xfId="0" applyNumberFormat="1" applyFont="1" applyBorder="1" applyAlignment="1"/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2" fillId="0" borderId="9" xfId="0" applyNumberFormat="1" applyFont="1" applyBorder="1" applyAlignment="1"/>
    <xf numFmtId="0" fontId="32" fillId="0" borderId="8" xfId="0" applyNumberFormat="1" applyFont="1" applyBorder="1" applyAlignment="1"/>
    <xf numFmtId="0" fontId="37" fillId="0" borderId="7" xfId="0" applyNumberFormat="1" applyFont="1" applyFill="1" applyBorder="1" applyAlignment="1">
      <alignment horizontal="center"/>
    </xf>
    <xf numFmtId="0" fontId="33" fillId="0" borderId="9" xfId="0" applyNumberFormat="1" applyFont="1" applyBorder="1" applyAlignment="1"/>
    <xf numFmtId="0" fontId="33" fillId="0" borderId="8" xfId="0" applyNumberFormat="1" applyFont="1" applyBorder="1" applyAlignment="1"/>
    <xf numFmtId="165" fontId="39" fillId="5" borderId="30" xfId="0" applyNumberFormat="1" applyFont="1" applyFill="1" applyBorder="1" applyAlignment="1">
      <alignment horizontal="centerContinuous" wrapText="1"/>
    </xf>
    <xf numFmtId="165" fontId="39" fillId="5" borderId="25" xfId="0" applyNumberFormat="1" applyFont="1" applyFill="1" applyBorder="1" applyAlignment="1">
      <alignment horizontal="centerContinuous" wrapText="1"/>
    </xf>
    <xf numFmtId="0" fontId="40" fillId="5" borderId="25" xfId="0" applyNumberFormat="1" applyFont="1" applyFill="1" applyBorder="1" applyAlignment="1">
      <alignment horizontal="centerContinuous"/>
    </xf>
    <xf numFmtId="0" fontId="40" fillId="5" borderId="31" xfId="0" applyNumberFormat="1" applyFont="1" applyFill="1" applyBorder="1" applyAlignment="1">
      <alignment horizontal="centerContinuous"/>
    </xf>
    <xf numFmtId="0" fontId="41" fillId="0" borderId="0" xfId="0" applyNumberFormat="1" applyFont="1" applyAlignment="1"/>
    <xf numFmtId="0" fontId="31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2" fillId="0" borderId="0" xfId="0" applyNumberFormat="1" applyFont="1" applyFill="1" applyAlignment="1">
      <alignment horizontal="left"/>
    </xf>
    <xf numFmtId="185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center"/>
    </xf>
    <xf numFmtId="0" fontId="43" fillId="0" borderId="0" xfId="0" applyNumberFormat="1" applyFont="1" applyAlignment="1">
      <alignment horizontal="left"/>
    </xf>
    <xf numFmtId="185" fontId="3" fillId="0" borderId="31" xfId="0" applyNumberFormat="1" applyFont="1" applyBorder="1" applyAlignment="1">
      <alignment horizontal="centerContinuous"/>
    </xf>
    <xf numFmtId="185" fontId="3" fillId="0" borderId="30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186" fontId="18" fillId="0" borderId="33" xfId="0" applyNumberFormat="1" applyFont="1" applyBorder="1" applyAlignment="1">
      <alignment horizontal="center"/>
    </xf>
    <xf numFmtId="184" fontId="18" fillId="0" borderId="33" xfId="0" applyNumberFormat="1" applyFont="1" applyBorder="1" applyAlignment="1">
      <alignment horizontal="center"/>
    </xf>
    <xf numFmtId="187" fontId="18" fillId="0" borderId="3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5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Border="1" applyAlignment="1">
      <alignment horizontal="left"/>
    </xf>
    <xf numFmtId="168" fontId="1" fillId="0" borderId="34" xfId="0" applyNumberFormat="1" applyFont="1" applyBorder="1" applyAlignment="1">
      <alignment horizontal="left"/>
    </xf>
    <xf numFmtId="185" fontId="25" fillId="0" borderId="0" xfId="0" applyNumberFormat="1" applyFont="1" applyFill="1" applyBorder="1" applyAlignment="1">
      <alignment horizontal="right"/>
    </xf>
    <xf numFmtId="168" fontId="25" fillId="0" borderId="0" xfId="0" applyNumberFormat="1" applyFont="1" applyAlignment="1">
      <alignment horizontal="left"/>
    </xf>
    <xf numFmtId="185" fontId="1" fillId="0" borderId="0" xfId="0" applyNumberFormat="1" applyFont="1" applyFill="1" applyBorder="1" applyAlignment="1"/>
    <xf numFmtId="168" fontId="1" fillId="0" borderId="5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0" fontId="47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3" fontId="6" fillId="0" borderId="2" xfId="0" applyNumberFormat="1" applyFont="1" applyFill="1" applyBorder="1" applyAlignment="1"/>
    <xf numFmtId="3" fontId="6" fillId="0" borderId="0" xfId="0" applyNumberFormat="1" applyFont="1" applyFill="1" applyAlignment="1"/>
    <xf numFmtId="168" fontId="0" fillId="0" borderId="0" xfId="0" applyNumberFormat="1" applyFont="1"/>
    <xf numFmtId="0" fontId="48" fillId="0" borderId="0" xfId="0" applyFont="1" applyAlignment="1">
      <alignment horizontal="center"/>
    </xf>
    <xf numFmtId="168" fontId="0" fillId="0" borderId="0" xfId="0" applyNumberFormat="1"/>
    <xf numFmtId="0" fontId="6" fillId="0" borderId="23" xfId="0" applyNumberFormat="1" applyFont="1" applyFill="1" applyBorder="1" applyAlignment="1">
      <alignment horizontal="center" vertical="center" wrapText="1"/>
    </xf>
    <xf numFmtId="0" fontId="49" fillId="0" borderId="23" xfId="0" applyNumberFormat="1" applyFont="1" applyFill="1" applyBorder="1" applyAlignment="1">
      <alignment horizontal="center" vertical="center" textRotation="90" wrapText="1"/>
    </xf>
    <xf numFmtId="168" fontId="6" fillId="0" borderId="23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center" vertical="center" wrapText="1"/>
    </xf>
    <xf numFmtId="3" fontId="49" fillId="0" borderId="2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top"/>
    </xf>
    <xf numFmtId="14" fontId="0" fillId="0" borderId="0" xfId="0" applyNumberFormat="1"/>
    <xf numFmtId="0" fontId="46" fillId="0" borderId="0" xfId="0" applyFont="1"/>
    <xf numFmtId="168" fontId="0" fillId="0" borderId="0" xfId="0" applyNumberFormat="1" applyFont="1" applyFill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Fill="1"/>
    <xf numFmtId="0" fontId="0" fillId="0" borderId="0" xfId="0" applyFill="1" applyAlignment="1">
      <alignment horizontal="center"/>
    </xf>
    <xf numFmtId="168" fontId="0" fillId="0" borderId="0" xfId="0" applyNumberFormat="1" applyFill="1"/>
    <xf numFmtId="10" fontId="0" fillId="0" borderId="0" xfId="1" applyNumberFormat="1" applyFont="1"/>
    <xf numFmtId="43" fontId="0" fillId="0" borderId="0" xfId="0" applyNumberFormat="1"/>
    <xf numFmtId="0" fontId="6" fillId="0" borderId="21" xfId="0" applyNumberFormat="1" applyFont="1" applyFill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horizontal="center"/>
    </xf>
    <xf numFmtId="168" fontId="0" fillId="0" borderId="21" xfId="0" applyNumberFormat="1" applyFont="1" applyBorder="1"/>
    <xf numFmtId="168" fontId="0" fillId="0" borderId="21" xfId="0" applyNumberFormat="1" applyBorder="1"/>
    <xf numFmtId="0" fontId="48" fillId="0" borderId="0" xfId="0" applyFont="1"/>
    <xf numFmtId="168" fontId="0" fillId="0" borderId="0" xfId="0" applyNumberFormat="1" applyFont="1" applyFill="1" applyAlignment="1">
      <alignment horizontal="right"/>
    </xf>
    <xf numFmtId="41" fontId="0" fillId="0" borderId="0" xfId="0" applyNumberFormat="1" applyFill="1" applyBorder="1"/>
    <xf numFmtId="0" fontId="0" fillId="0" borderId="0" xfId="0" applyFill="1" applyAlignment="1">
      <alignment horizontal="right"/>
    </xf>
    <xf numFmtId="168" fontId="0" fillId="0" borderId="0" xfId="0" applyNumberFormat="1" applyFill="1" applyBorder="1"/>
    <xf numFmtId="0" fontId="0" fillId="0" borderId="0" xfId="0" applyFill="1" applyAlignment="1">
      <alignment horizontal="right" indent="1"/>
    </xf>
    <xf numFmtId="0" fontId="48" fillId="0" borderId="0" xfId="0" applyFont="1" applyFill="1" applyAlignment="1">
      <alignment horizontal="center"/>
    </xf>
    <xf numFmtId="0" fontId="45" fillId="0" borderId="0" xfId="0" applyFont="1" applyFill="1"/>
    <xf numFmtId="0" fontId="45" fillId="0" borderId="0" xfId="0" applyFont="1" applyFill="1" applyAlignment="1">
      <alignment horizontal="right"/>
    </xf>
    <xf numFmtId="168" fontId="45" fillId="0" borderId="0" xfId="0" applyNumberFormat="1" applyFont="1" applyFill="1" applyBorder="1"/>
    <xf numFmtId="42" fontId="45" fillId="0" borderId="0" xfId="0" applyNumberFormat="1" applyFont="1" applyFill="1" applyBorder="1"/>
    <xf numFmtId="42" fontId="0" fillId="0" borderId="0" xfId="0" applyNumberFormat="1" applyFill="1"/>
    <xf numFmtId="0" fontId="47" fillId="0" borderId="0" xfId="0" applyFont="1" applyFill="1" applyAlignment="1">
      <alignment horizontal="right"/>
    </xf>
    <xf numFmtId="169" fontId="0" fillId="0" borderId="0" xfId="2" applyNumberFormat="1" applyFont="1"/>
    <xf numFmtId="169" fontId="0" fillId="0" borderId="5" xfId="3" applyNumberFormat="1" applyFont="1" applyBorder="1"/>
    <xf numFmtId="168" fontId="0" fillId="0" borderId="0" xfId="2" applyNumberFormat="1" applyFont="1"/>
    <xf numFmtId="0" fontId="0" fillId="0" borderId="0" xfId="0" applyAlignment="1">
      <alignment horizontal="left" indent="1"/>
    </xf>
    <xf numFmtId="169" fontId="0" fillId="0" borderId="0" xfId="3" applyNumberFormat="1" applyFont="1"/>
    <xf numFmtId="0" fontId="47" fillId="0" borderId="0" xfId="0" applyFont="1" applyAlignment="1">
      <alignment horizontal="center"/>
    </xf>
    <xf numFmtId="169" fontId="47" fillId="0" borderId="5" xfId="0" applyNumberFormat="1" applyFont="1" applyBorder="1" applyAlignment="1">
      <alignment horizontal="center"/>
    </xf>
    <xf numFmtId="0" fontId="47" fillId="0" borderId="0" xfId="0" applyFont="1" applyAlignment="1"/>
    <xf numFmtId="0" fontId="0" fillId="0" borderId="0" xfId="0" applyFont="1" applyAlignment="1"/>
    <xf numFmtId="169" fontId="0" fillId="0" borderId="21" xfId="0" applyNumberFormat="1" applyFont="1" applyBorder="1" applyAlignment="1">
      <alignment horizontal="center"/>
    </xf>
    <xf numFmtId="180" fontId="0" fillId="0" borderId="0" xfId="0" applyNumberFormat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/>
    <xf numFmtId="168" fontId="0" fillId="7" borderId="0" xfId="2" applyNumberFormat="1" applyFont="1" applyFill="1"/>
    <xf numFmtId="169" fontId="0" fillId="7" borderId="0" xfId="3" applyNumberFormat="1" applyFont="1" applyFill="1"/>
    <xf numFmtId="41" fontId="4" fillId="7" borderId="0" xfId="0" applyNumberFormat="1" applyFont="1" applyFill="1"/>
    <xf numFmtId="0" fontId="17" fillId="7" borderId="0" xfId="0" applyFont="1" applyFill="1"/>
    <xf numFmtId="42" fontId="4" fillId="7" borderId="0" xfId="0" applyNumberFormat="1" applyFont="1" applyFill="1"/>
    <xf numFmtId="0" fontId="4" fillId="7" borderId="0" xfId="0" applyFont="1" applyFill="1"/>
    <xf numFmtId="0" fontId="1" fillId="7" borderId="0" xfId="0" applyNumberFormat="1" applyFont="1" applyFill="1" applyAlignment="1">
      <alignment horizontal="center"/>
    </xf>
    <xf numFmtId="10" fontId="4" fillId="7" borderId="0" xfId="0" applyNumberFormat="1" applyFont="1" applyFill="1"/>
    <xf numFmtId="0" fontId="4" fillId="7" borderId="21" xfId="0" applyFont="1" applyFill="1" applyBorder="1"/>
    <xf numFmtId="168" fontId="4" fillId="7" borderId="0" xfId="0" applyNumberFormat="1" applyFont="1" applyFill="1"/>
    <xf numFmtId="168" fontId="4" fillId="7" borderId="21" xfId="0" applyNumberFormat="1" applyFont="1" applyFill="1" applyBorder="1"/>
    <xf numFmtId="178" fontId="4" fillId="7" borderId="23" xfId="0" applyNumberFormat="1" applyFont="1" applyFill="1" applyBorder="1"/>
    <xf numFmtId="41" fontId="1" fillId="7" borderId="0" xfId="0" applyNumberFormat="1" applyFont="1" applyFill="1" applyBorder="1" applyAlignment="1"/>
    <xf numFmtId="41" fontId="4" fillId="7" borderId="21" xfId="0" applyNumberFormat="1" applyFont="1" applyFill="1" applyBorder="1"/>
    <xf numFmtId="42" fontId="4" fillId="7" borderId="1" xfId="0" applyNumberFormat="1" applyFont="1" applyFill="1" applyBorder="1"/>
    <xf numFmtId="42" fontId="4" fillId="8" borderId="1" xfId="0" applyNumberFormat="1" applyFont="1" applyFill="1" applyBorder="1"/>
    <xf numFmtId="41" fontId="0" fillId="8" borderId="0" xfId="0" applyNumberFormat="1" applyFill="1"/>
    <xf numFmtId="169" fontId="0" fillId="0" borderId="0" xfId="0" applyNumberFormat="1" applyFont="1" applyBorder="1" applyAlignment="1">
      <alignment horizontal="center"/>
    </xf>
    <xf numFmtId="169" fontId="47" fillId="0" borderId="0" xfId="0" applyNumberFormat="1" applyFont="1" applyBorder="1" applyAlignment="1">
      <alignment horizontal="center"/>
    </xf>
    <xf numFmtId="169" fontId="0" fillId="0" borderId="0" xfId="3" applyNumberFormat="1" applyFont="1" applyBorder="1"/>
    <xf numFmtId="168" fontId="0" fillId="0" borderId="0" xfId="2" applyNumberFormat="1" applyFont="1" applyAlignment="1">
      <alignment horizontal="center"/>
    </xf>
    <xf numFmtId="180" fontId="0" fillId="0" borderId="0" xfId="0" applyNumberFormat="1"/>
    <xf numFmtId="188" fontId="0" fillId="0" borderId="0" xfId="1" applyNumberFormat="1" applyFont="1" applyAlignment="1">
      <alignment horizontal="center"/>
    </xf>
    <xf numFmtId="168" fontId="4" fillId="0" borderId="0" xfId="2" applyNumberFormat="1" applyFont="1"/>
    <xf numFmtId="0" fontId="3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169" fontId="0" fillId="0" borderId="0" xfId="0" applyNumberFormat="1"/>
    <xf numFmtId="42" fontId="0" fillId="0" borderId="0" xfId="0" applyNumberFormat="1"/>
    <xf numFmtId="0" fontId="47" fillId="0" borderId="0" xfId="0" applyFont="1" applyAlignment="1">
      <alignment horizontal="left"/>
    </xf>
    <xf numFmtId="168" fontId="47" fillId="0" borderId="0" xfId="0" applyNumberFormat="1" applyFont="1" applyAlignment="1">
      <alignment horizontal="center"/>
    </xf>
    <xf numFmtId="0" fontId="32" fillId="0" borderId="0" xfId="0" applyFont="1" applyAlignment="1">
      <alignment horizontal="left" indent="1"/>
    </xf>
    <xf numFmtId="0" fontId="32" fillId="0" borderId="0" xfId="0" applyFont="1" applyFill="1" applyAlignment="1">
      <alignment horizontal="left" indent="1"/>
    </xf>
    <xf numFmtId="0" fontId="0" fillId="0" borderId="0" xfId="0" applyFont="1" applyAlignment="1">
      <alignment horizontal="left" indent="1"/>
    </xf>
    <xf numFmtId="41" fontId="13" fillId="5" borderId="0" xfId="0" applyNumberFormat="1" applyFont="1" applyFill="1" applyAlignment="1" applyProtection="1">
      <protection locked="0"/>
    </xf>
    <xf numFmtId="168" fontId="0" fillId="9" borderId="0" xfId="0" applyNumberFormat="1" applyFont="1" applyFill="1"/>
    <xf numFmtId="3" fontId="6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/>
    </xf>
    <xf numFmtId="0" fontId="51" fillId="0" borderId="0" xfId="0" applyFont="1"/>
    <xf numFmtId="0" fontId="50" fillId="10" borderId="0" xfId="0" applyFont="1" applyFill="1" applyAlignment="1">
      <alignment horizontal="left"/>
    </xf>
    <xf numFmtId="0" fontId="50" fillId="10" borderId="0" xfId="0" applyFont="1" applyFill="1" applyAlignment="1">
      <alignment horizontal="center"/>
    </xf>
    <xf numFmtId="0" fontId="47" fillId="10" borderId="0" xfId="0" applyFont="1" applyFill="1" applyAlignment="1">
      <alignment horizontal="center"/>
    </xf>
    <xf numFmtId="168" fontId="47" fillId="10" borderId="0" xfId="0" applyNumberFormat="1" applyFont="1" applyFill="1" applyAlignment="1">
      <alignment horizontal="center"/>
    </xf>
    <xf numFmtId="0" fontId="50" fillId="10" borderId="0" xfId="0" applyFont="1" applyFill="1"/>
    <xf numFmtId="0" fontId="32" fillId="10" borderId="0" xfId="0" applyFont="1" applyFill="1" applyAlignment="1">
      <alignment horizontal="center"/>
    </xf>
    <xf numFmtId="168" fontId="0" fillId="10" borderId="0" xfId="2" applyNumberFormat="1" applyFont="1" applyFill="1"/>
    <xf numFmtId="168" fontId="0" fillId="10" borderId="0" xfId="2" applyNumberFormat="1" applyFont="1" applyFill="1" applyAlignment="1">
      <alignment horizontal="center"/>
    </xf>
    <xf numFmtId="169" fontId="0" fillId="10" borderId="0" xfId="3" applyNumberFormat="1" applyFont="1" applyFill="1"/>
    <xf numFmtId="42" fontId="50" fillId="10" borderId="0" xfId="0" applyNumberFormat="1" applyFont="1" applyFill="1" applyAlignment="1">
      <alignment horizontal="center"/>
    </xf>
    <xf numFmtId="0" fontId="46" fillId="0" borderId="0" xfId="0" applyFont="1" applyAlignment="1">
      <alignment horizontal="left" indent="1"/>
    </xf>
    <xf numFmtId="0" fontId="46" fillId="0" borderId="0" xfId="0" applyFont="1" applyAlignment="1">
      <alignment horizontal="center"/>
    </xf>
    <xf numFmtId="168" fontId="46" fillId="7" borderId="0" xfId="2" applyNumberFormat="1" applyFont="1" applyFill="1"/>
    <xf numFmtId="168" fontId="46" fillId="0" borderId="0" xfId="2" applyNumberFormat="1" applyFont="1"/>
    <xf numFmtId="0" fontId="46" fillId="0" borderId="0" xfId="0" applyFont="1" applyAlignment="1">
      <alignment horizontal="left"/>
    </xf>
    <xf numFmtId="169" fontId="46" fillId="0" borderId="0" xfId="3" applyNumberFormat="1" applyFont="1" applyBorder="1"/>
    <xf numFmtId="169" fontId="46" fillId="0" borderId="0" xfId="2" applyNumberFormat="1" applyFont="1"/>
    <xf numFmtId="169" fontId="46" fillId="0" borderId="5" xfId="3" applyNumberFormat="1" applyFont="1" applyBorder="1"/>
    <xf numFmtId="41" fontId="25" fillId="11" borderId="0" xfId="0" applyNumberFormat="1" applyFont="1" applyFill="1" applyAlignment="1" applyProtection="1">
      <protection locked="0"/>
    </xf>
    <xf numFmtId="0" fontId="25" fillId="11" borderId="0" xfId="0" applyFont="1" applyFill="1"/>
    <xf numFmtId="0" fontId="1" fillId="11" borderId="0" xfId="0" applyNumberFormat="1" applyFont="1" applyFill="1" applyAlignment="1">
      <alignment horizontal="center"/>
    </xf>
    <xf numFmtId="0" fontId="1" fillId="11" borderId="0" xfId="0" applyNumberFormat="1" applyFont="1" applyFill="1" applyAlignment="1"/>
    <xf numFmtId="42" fontId="4" fillId="11" borderId="0" xfId="0" applyNumberFormat="1" applyFont="1" applyFill="1"/>
    <xf numFmtId="0" fontId="1" fillId="11" borderId="0" xfId="0" applyNumberFormat="1" applyFont="1" applyFill="1" applyAlignment="1">
      <alignment horizontal="left"/>
    </xf>
    <xf numFmtId="10" fontId="4" fillId="11" borderId="0" xfId="0" applyNumberFormat="1" applyFont="1" applyFill="1"/>
    <xf numFmtId="0" fontId="4" fillId="11" borderId="21" xfId="0" applyFont="1" applyFill="1" applyBorder="1"/>
    <xf numFmtId="168" fontId="4" fillId="11" borderId="0" xfId="0" applyNumberFormat="1" applyFont="1" applyFill="1"/>
    <xf numFmtId="0" fontId="4" fillId="11" borderId="0" xfId="0" applyFont="1" applyFill="1"/>
    <xf numFmtId="168" fontId="4" fillId="11" borderId="21" xfId="0" applyNumberFormat="1" applyFont="1" applyFill="1" applyBorder="1"/>
    <xf numFmtId="178" fontId="4" fillId="11" borderId="23" xfId="0" applyNumberFormat="1" applyFont="1" applyFill="1" applyBorder="1"/>
    <xf numFmtId="41" fontId="1" fillId="11" borderId="0" xfId="0" applyNumberFormat="1" applyFont="1" applyFill="1" applyBorder="1" applyAlignment="1"/>
    <xf numFmtId="0" fontId="4" fillId="11" borderId="0" xfId="0" applyFont="1" applyFill="1" applyAlignment="1">
      <alignment horizontal="left" indent="1"/>
    </xf>
    <xf numFmtId="41" fontId="4" fillId="11" borderId="0" xfId="0" applyNumberFormat="1" applyFont="1" applyFill="1"/>
    <xf numFmtId="41" fontId="4" fillId="11" borderId="21" xfId="0" applyNumberFormat="1" applyFont="1" applyFill="1" applyBorder="1"/>
    <xf numFmtId="42" fontId="4" fillId="11" borderId="1" xfId="0" applyNumberFormat="1" applyFont="1" applyFill="1" applyBorder="1"/>
    <xf numFmtId="0" fontId="4" fillId="12" borderId="0" xfId="0" applyFont="1" applyFill="1" applyAlignment="1">
      <alignment horizontal="center"/>
    </xf>
    <xf numFmtId="0" fontId="19" fillId="13" borderId="3" xfId="0" applyFont="1" applyFill="1" applyBorder="1"/>
    <xf numFmtId="0" fontId="19" fillId="13" borderId="21" xfId="0" applyFont="1" applyFill="1" applyBorder="1"/>
    <xf numFmtId="0" fontId="19" fillId="13" borderId="38" xfId="0" applyFont="1" applyFill="1" applyBorder="1"/>
    <xf numFmtId="0" fontId="19" fillId="13" borderId="4" xfId="0" applyFont="1" applyFill="1" applyBorder="1"/>
    <xf numFmtId="0" fontId="19" fillId="13" borderId="0" xfId="0" applyFont="1" applyFill="1" applyBorder="1"/>
    <xf numFmtId="0" fontId="19" fillId="13" borderId="35" xfId="0" applyFont="1" applyFill="1" applyBorder="1"/>
    <xf numFmtId="41" fontId="19" fillId="13" borderId="0" xfId="0" applyNumberFormat="1" applyFont="1" applyFill="1" applyBorder="1"/>
    <xf numFmtId="0" fontId="19" fillId="13" borderId="36" xfId="0" applyFont="1" applyFill="1" applyBorder="1"/>
    <xf numFmtId="0" fontId="19" fillId="13" borderId="23" xfId="0" applyFont="1" applyFill="1" applyBorder="1"/>
    <xf numFmtId="0" fontId="19" fillId="13" borderId="37" xfId="0" applyFont="1" applyFill="1" applyBorder="1"/>
    <xf numFmtId="41" fontId="19" fillId="13" borderId="23" xfId="0" applyNumberFormat="1" applyFont="1" applyFill="1" applyBorder="1"/>
    <xf numFmtId="0" fontId="27" fillId="13" borderId="0" xfId="0" applyFont="1" applyFill="1" applyBorder="1"/>
    <xf numFmtId="189" fontId="27" fillId="13" borderId="0" xfId="0" applyNumberFormat="1" applyFont="1" applyFill="1" applyBorder="1"/>
    <xf numFmtId="41" fontId="0" fillId="0" borderId="0" xfId="5" applyFont="1"/>
    <xf numFmtId="9" fontId="0" fillId="0" borderId="0" xfId="1" applyFont="1"/>
    <xf numFmtId="41" fontId="0" fillId="0" borderId="23" xfId="5" applyFont="1" applyBorder="1" applyAlignment="1">
      <alignment horizontal="center"/>
    </xf>
    <xf numFmtId="41" fontId="0" fillId="0" borderId="34" xfId="5" applyFont="1" applyBorder="1" applyAlignment="1">
      <alignment horizontal="center"/>
    </xf>
    <xf numFmtId="0" fontId="0" fillId="0" borderId="34" xfId="5" applyNumberFormat="1" applyFont="1" applyBorder="1" applyAlignment="1">
      <alignment horizontal="center"/>
    </xf>
    <xf numFmtId="0" fontId="27" fillId="13" borderId="0" xfId="0" applyFont="1" applyFill="1" applyBorder="1" applyAlignment="1">
      <alignment horizontal="center"/>
    </xf>
    <xf numFmtId="0" fontId="27" fillId="13" borderId="23" xfId="0" applyFont="1" applyFill="1" applyBorder="1" applyAlignment="1">
      <alignment horizontal="center"/>
    </xf>
    <xf numFmtId="0" fontId="0" fillId="13" borderId="0" xfId="0" applyFill="1"/>
    <xf numFmtId="0" fontId="1" fillId="0" borderId="0" xfId="4" applyFont="1"/>
    <xf numFmtId="0" fontId="53" fillId="0" borderId="0" xfId="4" applyFont="1"/>
    <xf numFmtId="41" fontId="3" fillId="0" borderId="1" xfId="4" applyNumberFormat="1" applyFont="1" applyBorder="1"/>
    <xf numFmtId="0" fontId="1" fillId="0" borderId="0" xfId="4" applyFont="1" applyAlignment="1">
      <alignment horizontal="right"/>
    </xf>
    <xf numFmtId="41" fontId="1" fillId="0" borderId="0" xfId="4" applyNumberFormat="1" applyFont="1"/>
    <xf numFmtId="41" fontId="53" fillId="0" borderId="0" xfId="4" applyNumberFormat="1" applyFont="1"/>
    <xf numFmtId="0" fontId="53" fillId="0" borderId="4" xfId="4" applyFont="1" applyBorder="1"/>
    <xf numFmtId="0" fontId="3" fillId="0" borderId="0" xfId="4" applyFont="1"/>
    <xf numFmtId="2" fontId="1" fillId="0" borderId="0" xfId="4" applyNumberFormat="1" applyFont="1"/>
    <xf numFmtId="41" fontId="3" fillId="0" borderId="0" xfId="4" applyNumberFormat="1" applyFont="1"/>
    <xf numFmtId="0" fontId="54" fillId="0" borderId="0" xfId="4" applyFont="1"/>
    <xf numFmtId="10" fontId="1" fillId="0" borderId="0" xfId="4" applyNumberFormat="1" applyFont="1"/>
    <xf numFmtId="10" fontId="1" fillId="0" borderId="0" xfId="6" applyNumberFormat="1" applyFont="1"/>
    <xf numFmtId="190" fontId="1" fillId="0" borderId="0" xfId="4" applyNumberFormat="1" applyFont="1"/>
    <xf numFmtId="10" fontId="1" fillId="0" borderId="23" xfId="6" applyNumberFormat="1" applyFont="1" applyBorder="1"/>
    <xf numFmtId="0" fontId="1" fillId="0" borderId="23" xfId="4" applyFont="1" applyBorder="1"/>
    <xf numFmtId="3" fontId="1" fillId="0" borderId="0" xfId="4" applyNumberFormat="1" applyFont="1"/>
    <xf numFmtId="5" fontId="3" fillId="0" borderId="0" xfId="4" applyNumberFormat="1" applyFont="1"/>
    <xf numFmtId="2" fontId="3" fillId="0" borderId="0" xfId="4" quotePrefix="1" applyNumberFormat="1" applyFont="1"/>
    <xf numFmtId="9" fontId="1" fillId="0" borderId="0" xfId="4" applyNumberFormat="1" applyFont="1"/>
    <xf numFmtId="0" fontId="1" fillId="0" borderId="23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3" fillId="0" borderId="23" xfId="4" applyFont="1" applyBorder="1"/>
    <xf numFmtId="0" fontId="3" fillId="0" borderId="23" xfId="4" applyFont="1" applyBorder="1" applyAlignment="1">
      <alignment horizontal="center"/>
    </xf>
    <xf numFmtId="186" fontId="1" fillId="0" borderId="0" xfId="4" applyNumberFormat="1" applyFont="1"/>
    <xf numFmtId="0" fontId="3" fillId="0" borderId="0" xfId="4" applyFont="1" applyAlignment="1">
      <alignment horizontal="center"/>
    </xf>
    <xf numFmtId="0" fontId="53" fillId="0" borderId="23" xfId="4" applyFont="1" applyBorder="1"/>
    <xf numFmtId="0" fontId="54" fillId="0" borderId="23" xfId="4" applyFont="1" applyBorder="1"/>
    <xf numFmtId="0" fontId="5" fillId="0" borderId="23" xfId="4" applyFont="1" applyBorder="1" applyAlignment="1">
      <alignment horizontal="center"/>
    </xf>
    <xf numFmtId="0" fontId="8" fillId="0" borderId="23" xfId="4" applyFont="1" applyBorder="1"/>
    <xf numFmtId="42" fontId="3" fillId="0" borderId="0" xfId="4" applyNumberFormat="1" applyFont="1"/>
    <xf numFmtId="0" fontId="53" fillId="0" borderId="0" xfId="4" applyFont="1" applyFill="1" applyBorder="1"/>
    <xf numFmtId="0" fontId="1" fillId="0" borderId="0" xfId="4" applyFont="1" applyFill="1" applyBorder="1"/>
    <xf numFmtId="41" fontId="3" fillId="0" borderId="21" xfId="4" applyNumberFormat="1" applyFont="1" applyBorder="1"/>
    <xf numFmtId="41" fontId="1" fillId="0" borderId="21" xfId="4" applyNumberFormat="1" applyFont="1" applyBorder="1"/>
    <xf numFmtId="175" fontId="0" fillId="0" borderId="0" xfId="0" applyNumberFormat="1"/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91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23" xfId="0" quotePrefix="1" applyFont="1" applyBorder="1" applyAlignment="1" applyProtection="1">
      <alignment horizontal="center"/>
      <protection locked="0"/>
    </xf>
    <xf numFmtId="0" fontId="3" fillId="0" borderId="0" xfId="0" applyFont="1"/>
    <xf numFmtId="168" fontId="1" fillId="0" borderId="0" xfId="0" quotePrefix="1" applyNumberFormat="1" applyFont="1" applyAlignment="1">
      <alignment horizontal="left"/>
    </xf>
    <xf numFmtId="42" fontId="3" fillId="0" borderId="5" xfId="0" quotePrefix="1" applyNumberFormat="1" applyFont="1" applyBorder="1" applyAlignment="1">
      <alignment horizontal="left"/>
    </xf>
    <xf numFmtId="1" fontId="1" fillId="0" borderId="0" xfId="0" quotePrefix="1" applyNumberFormat="1" applyFont="1" applyAlignment="1">
      <alignment horizontal="left"/>
    </xf>
    <xf numFmtId="9" fontId="1" fillId="0" borderId="0" xfId="0" quotePrefix="1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42" fontId="3" fillId="0" borderId="0" xfId="0" quotePrefix="1" applyNumberFormat="1" applyFont="1" applyAlignment="1">
      <alignment horizontal="left"/>
    </xf>
    <xf numFmtId="0" fontId="27" fillId="0" borderId="0" xfId="0" applyFont="1" applyFill="1" applyBorder="1" applyAlignment="1">
      <alignment horizontal="centerContinuous"/>
    </xf>
    <xf numFmtId="0" fontId="16" fillId="0" borderId="0" xfId="0" applyFont="1" applyFill="1" applyBorder="1"/>
    <xf numFmtId="41" fontId="1" fillId="0" borderId="0" xfId="0" applyNumberFormat="1" applyFont="1" applyAlignment="1">
      <alignment horizontal="left"/>
    </xf>
    <xf numFmtId="41" fontId="1" fillId="0" borderId="23" xfId="0" applyNumberFormat="1" applyFont="1" applyBorder="1" applyAlignment="1">
      <alignment horizontal="left"/>
    </xf>
    <xf numFmtId="41" fontId="1" fillId="0" borderId="23" xfId="0" applyNumberFormat="1" applyFont="1" applyBorder="1"/>
    <xf numFmtId="181" fontId="3" fillId="0" borderId="15" xfId="0" applyNumberFormat="1" applyFont="1" applyBorder="1" applyAlignment="1">
      <alignment horizontal="right"/>
    </xf>
    <xf numFmtId="0" fontId="3" fillId="0" borderId="0" xfId="0" applyFont="1" applyAlignment="1" applyProtection="1">
      <alignment horizontal="centerContinuous"/>
      <protection locked="0"/>
    </xf>
    <xf numFmtId="165" fontId="3" fillId="0" borderId="0" xfId="0" applyNumberFormat="1" applyFont="1" applyAlignment="1" applyProtection="1">
      <alignment horizontal="centerContinuous"/>
      <protection locked="0"/>
    </xf>
    <xf numFmtId="181" fontId="3" fillId="0" borderId="2" xfId="0" applyNumberFormat="1" applyFont="1" applyBorder="1" applyAlignment="1">
      <alignment horizontal="center"/>
    </xf>
    <xf numFmtId="182" fontId="3" fillId="0" borderId="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left"/>
    </xf>
    <xf numFmtId="169" fontId="1" fillId="0" borderId="0" xfId="0" applyNumberFormat="1" applyFont="1"/>
    <xf numFmtId="169" fontId="1" fillId="0" borderId="21" xfId="0" applyNumberFormat="1" applyFont="1" applyBorder="1"/>
    <xf numFmtId="168" fontId="12" fillId="0" borderId="0" xfId="0" applyNumberFormat="1" applyFont="1" applyAlignment="1">
      <alignment horizontal="centerContinuous"/>
    </xf>
    <xf numFmtId="168" fontId="13" fillId="0" borderId="0" xfId="0" applyNumberFormat="1" applyFont="1" applyAlignment="1">
      <alignment horizontal="centerContinuous"/>
    </xf>
    <xf numFmtId="168" fontId="1" fillId="0" borderId="0" xfId="0" applyNumberFormat="1" applyFont="1" applyAlignment="1">
      <alignment horizontal="centerContinuous"/>
    </xf>
    <xf numFmtId="168" fontId="1" fillId="0" borderId="21" xfId="0" applyNumberFormat="1" applyFont="1" applyBorder="1" applyAlignment="1">
      <alignment horizontal="left" wrapText="1"/>
    </xf>
    <xf numFmtId="9" fontId="1" fillId="0" borderId="0" xfId="0" applyNumberFormat="1" applyFont="1"/>
    <xf numFmtId="41" fontId="1" fillId="0" borderId="0" xfId="0" applyNumberFormat="1" applyFont="1"/>
    <xf numFmtId="3" fontId="1" fillId="0" borderId="0" xfId="0" applyNumberFormat="1" applyFont="1"/>
    <xf numFmtId="9" fontId="1" fillId="0" borderId="0" xfId="0" applyNumberFormat="1" applyFont="1" applyAlignment="1">
      <alignment horizontal="center"/>
    </xf>
    <xf numFmtId="37" fontId="1" fillId="0" borderId="23" xfId="0" applyNumberFormat="1" applyFont="1" applyBorder="1"/>
    <xf numFmtId="169" fontId="1" fillId="0" borderId="1" xfId="0" applyNumberFormat="1" applyFont="1" applyBorder="1"/>
    <xf numFmtId="165" fontId="1" fillId="0" borderId="0" xfId="0" applyNumberFormat="1" applyFont="1" applyAlignment="1">
      <alignment horizontal="left"/>
    </xf>
    <xf numFmtId="43" fontId="1" fillId="0" borderId="0" xfId="0" applyNumberFormat="1" applyFont="1"/>
    <xf numFmtId="168" fontId="1" fillId="0" borderId="21" xfId="0" applyNumberFormat="1" applyFont="1" applyBorder="1"/>
    <xf numFmtId="37" fontId="1" fillId="0" borderId="0" xfId="0" applyNumberFormat="1" applyFont="1" applyAlignment="1">
      <alignment horizontal="left" indent="1"/>
    </xf>
    <xf numFmtId="41" fontId="2" fillId="0" borderId="0" xfId="0" applyNumberFormat="1" applyFont="1" applyAlignment="1">
      <alignment horizontal="center"/>
    </xf>
    <xf numFmtId="42" fontId="4" fillId="14" borderId="0" xfId="0" applyNumberFormat="1" applyFont="1" applyFill="1"/>
    <xf numFmtId="37" fontId="1" fillId="14" borderId="0" xfId="0" applyNumberFormat="1" applyFont="1" applyFill="1" applyAlignment="1">
      <alignment horizontal="left" indent="1"/>
    </xf>
    <xf numFmtId="0" fontId="4" fillId="14" borderId="0" xfId="0" applyFont="1" applyFill="1"/>
    <xf numFmtId="41" fontId="1" fillId="14" borderId="0" xfId="0" applyNumberFormat="1" applyFont="1" applyFill="1" applyBorder="1"/>
    <xf numFmtId="41" fontId="1" fillId="14" borderId="0" xfId="0" applyNumberFormat="1" applyFont="1" applyFill="1" applyAlignment="1" applyProtection="1">
      <alignment horizontal="right"/>
      <protection locked="0"/>
    </xf>
    <xf numFmtId="41" fontId="1" fillId="14" borderId="0" xfId="0" applyNumberFormat="1" applyFont="1" applyFill="1" applyAlignment="1"/>
    <xf numFmtId="49" fontId="1" fillId="14" borderId="0" xfId="0" applyNumberFormat="1" applyFont="1" applyFill="1" applyBorder="1" applyAlignment="1">
      <alignment horizontal="left"/>
    </xf>
    <xf numFmtId="42" fontId="1" fillId="14" borderId="0" xfId="0" applyNumberFormat="1" applyFont="1" applyFill="1" applyBorder="1" applyAlignment="1"/>
    <xf numFmtId="42" fontId="1" fillId="14" borderId="0" xfId="0" applyNumberFormat="1" applyFont="1" applyFill="1" applyAlignment="1" applyProtection="1">
      <alignment horizontal="right"/>
      <protection locked="0"/>
    </xf>
    <xf numFmtId="42" fontId="1" fillId="14" borderId="0" xfId="0" applyNumberFormat="1" applyFont="1" applyFill="1" applyAlignment="1"/>
    <xf numFmtId="42" fontId="1" fillId="14" borderId="0" xfId="0" applyNumberFormat="1" applyFont="1" applyFill="1" applyBorder="1"/>
    <xf numFmtId="41" fontId="1" fillId="14" borderId="0" xfId="0" applyNumberFormat="1" applyFont="1" applyFill="1" applyBorder="1" applyAlignment="1"/>
    <xf numFmtId="41" fontId="1" fillId="14" borderId="23" xfId="0" applyNumberFormat="1" applyFont="1" applyFill="1" applyBorder="1" applyAlignment="1"/>
    <xf numFmtId="41" fontId="1" fillId="14" borderId="23" xfId="0" applyNumberFormat="1" applyFont="1" applyFill="1" applyBorder="1" applyAlignment="1" applyProtection="1">
      <alignment horizontal="right"/>
      <protection locked="0"/>
    </xf>
    <xf numFmtId="41" fontId="4" fillId="14" borderId="0" xfId="0" applyNumberFormat="1" applyFont="1" applyFill="1"/>
    <xf numFmtId="0" fontId="4" fillId="15" borderId="0" xfId="0" applyFont="1" applyFill="1"/>
    <xf numFmtId="166" fontId="1" fillId="15" borderId="21" xfId="0" applyNumberFormat="1" applyFont="1" applyFill="1" applyBorder="1" applyAlignment="1" applyProtection="1">
      <protection locked="0"/>
    </xf>
    <xf numFmtId="41" fontId="32" fillId="0" borderId="0" xfId="0" applyNumberFormat="1" applyFont="1"/>
    <xf numFmtId="0" fontId="28" fillId="13" borderId="0" xfId="0" quotePrefix="1" applyFont="1" applyFill="1" applyBorder="1" applyAlignment="1">
      <alignment horizontal="center"/>
    </xf>
    <xf numFmtId="0" fontId="28" fillId="13" borderId="0" xfId="0" applyFont="1" applyFill="1" applyBorder="1" applyAlignment="1">
      <alignment horizontal="center"/>
    </xf>
    <xf numFmtId="41" fontId="1" fillId="14" borderId="0" xfId="0" applyNumberFormat="1" applyFont="1" applyFill="1" applyAlignment="1" applyProtection="1">
      <protection locked="0"/>
    </xf>
    <xf numFmtId="0" fontId="16" fillId="14" borderId="0" xfId="0" applyFont="1" applyFill="1"/>
    <xf numFmtId="41" fontId="1" fillId="14" borderId="0" xfId="0" applyNumberFormat="1" applyFont="1" applyFill="1" applyBorder="1" applyAlignment="1">
      <alignment horizontal="right"/>
    </xf>
    <xf numFmtId="42" fontId="1" fillId="14" borderId="0" xfId="0" applyNumberFormat="1" applyFont="1" applyFill="1" applyAlignment="1">
      <alignment horizontal="left" wrapText="1"/>
    </xf>
    <xf numFmtId="180" fontId="1" fillId="14" borderId="0" xfId="0" applyNumberFormat="1" applyFont="1" applyFill="1" applyAlignment="1">
      <alignment horizontal="left"/>
    </xf>
    <xf numFmtId="0" fontId="1" fillId="0" borderId="0" xfId="4" applyFont="1" applyFill="1"/>
    <xf numFmtId="2" fontId="1" fillId="0" borderId="0" xfId="4" quotePrefix="1" applyNumberFormat="1" applyFont="1"/>
    <xf numFmtId="41" fontId="4" fillId="0" borderId="23" xfId="0" applyNumberFormat="1" applyFont="1" applyFill="1" applyBorder="1"/>
    <xf numFmtId="0" fontId="55" fillId="0" borderId="0" xfId="0" applyFont="1" applyAlignment="1">
      <alignment horizontal="left" vertical="center"/>
    </xf>
    <xf numFmtId="0" fontId="56" fillId="0" borderId="0" xfId="0" applyFont="1"/>
    <xf numFmtId="0" fontId="21" fillId="0" borderId="0" xfId="4" applyFont="1"/>
    <xf numFmtId="10" fontId="21" fillId="0" borderId="0" xfId="4" applyNumberFormat="1" applyFont="1"/>
    <xf numFmtId="42" fontId="1" fillId="16" borderId="0" xfId="0" applyNumberFormat="1" applyFont="1" applyFill="1" applyBorder="1" applyAlignment="1"/>
    <xf numFmtId="41" fontId="1" fillId="16" borderId="0" xfId="0" applyNumberFormat="1" applyFont="1" applyFill="1" applyBorder="1" applyAlignment="1"/>
    <xf numFmtId="0" fontId="57" fillId="0" borderId="0" xfId="4" applyFont="1"/>
    <xf numFmtId="0" fontId="60" fillId="0" borderId="0" xfId="4" applyFont="1"/>
    <xf numFmtId="192" fontId="3" fillId="0" borderId="1" xfId="4" applyNumberFormat="1" applyFont="1" applyBorder="1"/>
    <xf numFmtId="10" fontId="61" fillId="0" borderId="0" xfId="1" applyNumberFormat="1" applyFont="1"/>
    <xf numFmtId="193" fontId="0" fillId="0" borderId="0" xfId="0" applyNumberFormat="1"/>
    <xf numFmtId="41" fontId="62" fillId="17" borderId="1" xfId="4" applyNumberFormat="1" applyFont="1" applyFill="1" applyBorder="1"/>
    <xf numFmtId="0" fontId="57" fillId="17" borderId="0" xfId="4" applyFont="1" applyFill="1"/>
    <xf numFmtId="41" fontId="57" fillId="17" borderId="0" xfId="4" applyNumberFormat="1" applyFont="1" applyFill="1"/>
    <xf numFmtId="0" fontId="62" fillId="17" borderId="23" xfId="4" applyFont="1" applyFill="1" applyBorder="1"/>
    <xf numFmtId="0" fontId="8" fillId="17" borderId="23" xfId="4" applyFont="1" applyFill="1" applyBorder="1"/>
    <xf numFmtId="0" fontId="62" fillId="17" borderId="0" xfId="4" applyFont="1" applyFill="1"/>
    <xf numFmtId="0" fontId="3" fillId="17" borderId="0" xfId="4" applyFont="1" applyFill="1"/>
    <xf numFmtId="0" fontId="1" fillId="17" borderId="0" xfId="4" applyFont="1" applyFill="1"/>
    <xf numFmtId="10" fontId="59" fillId="17" borderId="0" xfId="4" applyNumberFormat="1" applyFont="1" applyFill="1"/>
    <xf numFmtId="0" fontId="57" fillId="17" borderId="0" xfId="4" applyFont="1" applyFill="1" applyAlignment="1">
      <alignment horizontal="right"/>
    </xf>
    <xf numFmtId="0" fontId="57" fillId="17" borderId="23" xfId="4" applyFont="1" applyFill="1" applyBorder="1"/>
    <xf numFmtId="10" fontId="57" fillId="17" borderId="0" xfId="4" applyNumberFormat="1" applyFont="1" applyFill="1"/>
    <xf numFmtId="10" fontId="57" fillId="17" borderId="0" xfId="6" applyNumberFormat="1" applyFont="1" applyFill="1"/>
    <xf numFmtId="10" fontId="57" fillId="17" borderId="23" xfId="6" applyNumberFormat="1" applyFont="1" applyFill="1" applyBorder="1"/>
    <xf numFmtId="190" fontId="57" fillId="17" borderId="0" xfId="4" applyNumberFormat="1" applyFont="1" applyFill="1"/>
    <xf numFmtId="0" fontId="53" fillId="17" borderId="0" xfId="4" applyFont="1" applyFill="1"/>
    <xf numFmtId="0" fontId="60" fillId="17" borderId="0" xfId="4" applyFont="1" applyFill="1" applyAlignment="1">
      <alignment horizontal="centerContinuous"/>
    </xf>
    <xf numFmtId="0" fontId="60" fillId="17" borderId="23" xfId="4" applyFont="1" applyFill="1" applyBorder="1"/>
    <xf numFmtId="0" fontId="60" fillId="17" borderId="0" xfId="4" applyFont="1" applyFill="1"/>
    <xf numFmtId="41" fontId="60" fillId="17" borderId="0" xfId="4" applyNumberFormat="1" applyFont="1" applyFill="1"/>
    <xf numFmtId="10" fontId="57" fillId="17" borderId="0" xfId="0" applyNumberFormat="1" applyFont="1" applyFill="1"/>
    <xf numFmtId="0" fontId="27" fillId="17" borderId="0" xfId="0" applyFont="1" applyFill="1" applyBorder="1"/>
    <xf numFmtId="0" fontId="63" fillId="17" borderId="0" xfId="0" applyFont="1" applyFill="1" applyBorder="1"/>
    <xf numFmtId="41" fontId="63" fillId="17" borderId="0" xfId="0" applyNumberFormat="1" applyFont="1" applyFill="1" applyBorder="1"/>
    <xf numFmtId="42" fontId="1" fillId="0" borderId="0" xfId="0" applyNumberFormat="1" applyFont="1" applyFill="1" applyAlignment="1">
      <alignment horizontal="center" vertical="center"/>
    </xf>
    <xf numFmtId="42" fontId="1" fillId="0" borderId="23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41" fontId="0" fillId="0" borderId="24" xfId="5" applyFont="1" applyBorder="1" applyAlignment="1">
      <alignment horizontal="center"/>
    </xf>
    <xf numFmtId="41" fontId="0" fillId="0" borderId="34" xfId="5" applyFont="1" applyBorder="1" applyAlignment="1">
      <alignment horizontal="center"/>
    </xf>
    <xf numFmtId="41" fontId="0" fillId="0" borderId="12" xfId="5" applyFont="1" applyBorder="1" applyAlignment="1">
      <alignment horizontal="center"/>
    </xf>
  </cellXfs>
  <cellStyles count="7">
    <cellStyle name="Comma" xfId="2" builtinId="3"/>
    <cellStyle name="Comma [0]" xfId="5" builtinId="6"/>
    <cellStyle name="Currency" xfId="3" builtinId="4"/>
    <cellStyle name="Normal" xfId="0" builtinId="0"/>
    <cellStyle name="Normal 2 2" xfId="4"/>
    <cellStyle name="Percent" xfId="1" builtinId="5"/>
    <cellStyle name="Percent 2" xfId="6"/>
  </cellStyles>
  <dxfs count="28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E66300"/>
      <color rgb="FFB04B00"/>
      <color rgb="FFFAA100"/>
      <color rgb="FF619DF5"/>
      <color rgb="FF0000FF"/>
      <color rgb="FFCCFF33"/>
      <color rgb="FFCCFF99"/>
      <color rgb="FFFFFF99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2.xml"/><Relationship Id="rId21" Type="http://schemas.openxmlformats.org/officeDocument/2006/relationships/externalLink" Target="externalLinks/externalLink7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63" Type="http://schemas.openxmlformats.org/officeDocument/2006/relationships/externalLink" Target="externalLinks/externalLink49.xml"/><Relationship Id="rId68" Type="http://schemas.openxmlformats.org/officeDocument/2006/relationships/externalLink" Target="externalLinks/externalLink54.xml"/><Relationship Id="rId16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52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7.xml"/><Relationship Id="rId19" Type="http://schemas.openxmlformats.org/officeDocument/2006/relationships/externalLink" Target="externalLinks/externalLink5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0.xml"/><Relationship Id="rId69" Type="http://schemas.openxmlformats.org/officeDocument/2006/relationships/externalLink" Target="externalLinks/externalLink55.xml"/><Relationship Id="rId77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53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48.xml"/><Relationship Id="rId70" Type="http://schemas.openxmlformats.org/officeDocument/2006/relationships/externalLink" Target="externalLinks/externalLink56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externalLink" Target="externalLinks/externalLink46.xml"/><Relationship Id="rId65" Type="http://schemas.openxmlformats.org/officeDocument/2006/relationships/externalLink" Target="externalLinks/externalLink51.xml"/><Relationship Id="rId73" Type="http://schemas.openxmlformats.org/officeDocument/2006/relationships/sharedStrings" Target="sharedStrings.xml"/><Relationship Id="rId78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9" Type="http://schemas.openxmlformats.org/officeDocument/2006/relationships/externalLink" Target="externalLinks/externalLink25.xml"/><Relationship Id="rId34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76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Dirty%20Workpapers%202019%20GRC\NEW-PSE-WP-SEF-4.00E-ELECTRIC-MODEL-19GRC-06-2019%20-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JK-3.01E-3.01G-IncomeStatement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5.01-5.02-E-n-G-WC-RB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d\Desktop\3022-64%20UE-190529\dir\_wps\190529-30-PSE-WP-SEF-14.00E-ELECTRIC-MODEL-SUPPLEMENTAL-19GRC-09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5E-StormDamag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1E-PowerCosts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2E-MontanaTax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3E-WildHorseSolar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6E-RegAssetsLiab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8E-RemoveEIM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10E-EMS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Attrition%20Change\190529-30-PSE-WP-SEF-4.00E-ELECTRIC-MODEL-19GRC-09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7E-Colstrip2025Treatment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1E-RevExp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2E-TempNorm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3E-FedIncTax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6E-6.06G-InjuriesDamages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9E-6.09G-ExciseTaxFilingFee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0E-6.10G-DnOInsurance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1E-6.11G-InterestCustDep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3E-6.13G-Pension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4E-6.14G-PropLiabIns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22_pse/3022-64%20UE-190529/3022-64%20UE-190529/dir/_exh/_xls/Mullins%20Exh%20No%20BGM-4%20-%20Natural%20Gas%20Rev%20Req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9E-6.19G-AMA-EOP-Deprec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8E-6.28G-ContractEsc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5E-PassThrough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7E-BadDebt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8E-6.08G-Incentive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5E-6.15G-WageIncr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6E-6.16G-InvestPlan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7E-6.17G-EmployeeInsurance-19GRC-06-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190529-30-PSE-WP-SEF-16.20E-DefdGainLoss-SUPPLEMENTAL-19GRC-09-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1E-6.21G-EnviromtlRemed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rk/30_ava/3046-8%20-%20UE-160228%202016%20GRC/disc/BR1/Attachment%20Bench%20Request%201/Exhibit%20No.%20BGM-13R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3E-6.23G-AnnualizeRent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5E-6.25G-CreditCard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6E-6.26G-UnprotectedEDIT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2E-6.12G-RateCaseExp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2E-AMI-19GRC-06-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4E-6.24G-GTZ-19GRC-06-2019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9E-6.29G-HRTops-19GRC-06-2019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5.03E-5.06G-AllocMethod-19GRC-06-2019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RJA-3-and-4-Attrition-Study-19GRC-06-2019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Original%20Response\190529-30%20PSE%20Resp%20AWEC%20DR%20020\190529-30%20PSE%20Resp%20AWEC%20DR%20020_Attach%20A\NEW-PSE-WP-SEF-6.24E-6.24G-GTZ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d\Desktop\avista\3046-9%20-%202018%20GRC\dir\_wps\_fnl\UE-170485%20-%20UG-170486_Exh%20BGM-3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9.01E-9.01G-AttritionBaseAmounts-19GRC-06-2019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3.02E-3.02G-Cost-of-Capital-19GRC-06-2019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11.01E-Exhibit-A-1-19GRC-06-2019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RevReq-COS-Attrition%20WP\NEW-PSE-WP-SEF-4.00E-ELECTRIC-MODEL-19GRC-06-2019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3.02E-3.02G-Conversion-Factor-19GRC-06-2019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JAP14-ELECTRIC-BILL-IMPACTS-19GRC-06-2019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RevReq-COS-Attrition%20WP\NEW-PSE-WP-JAP14-ELECTRIC-BILL-IMPACT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ullins%20Exh%20BGM-10R%20-%20Natural%20Gas%20Rev%20Req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ullins%20Exh%20BGM-13RC%20-Colstrip%20Tabl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_src/190529-30-PSE-WP-SEF-14.00E-ELECTRIC-MODEL-9.4ROE-SUPPLEMENTAL-19GRC-09-2019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init/190529-30-PSE-WP-SEF-4.00E-ELECTRIC-MODEL-19GRC-06-2019%20-9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 refreshError="1"/>
      <sheetData sheetId="2">
        <row r="12">
          <cell r="G12">
            <v>1147259983</v>
          </cell>
        </row>
      </sheetData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AWEC DR 20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</row>
        <row r="11">
          <cell r="C11">
            <v>-4244925258.0010071</v>
          </cell>
        </row>
        <row r="12">
          <cell r="C12">
            <v>285841342.02833331</v>
          </cell>
        </row>
        <row r="13">
          <cell r="C13">
            <v>-1443684469.5857882</v>
          </cell>
        </row>
        <row r="14">
          <cell r="C14">
            <v>145303204.9988502</v>
          </cell>
        </row>
        <row r="15">
          <cell r="C15">
            <v>-106223263.53024991</v>
          </cell>
        </row>
        <row r="24">
          <cell r="D24">
            <v>-211404.37544425417</v>
          </cell>
        </row>
      </sheetData>
      <sheetData sheetId="1">
        <row r="11">
          <cell r="C11">
            <v>4100600279.3772311</v>
          </cell>
        </row>
      </sheetData>
      <sheetData sheetId="2"/>
      <sheetData sheetId="3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4">
        <row r="19">
          <cell r="G19">
            <v>4300940372.1867046</v>
          </cell>
        </row>
      </sheetData>
      <sheetData sheetId="5"/>
      <sheetData sheetId="6">
        <row r="51">
          <cell r="AB51">
            <v>-95934500</v>
          </cell>
        </row>
      </sheetData>
      <sheetData sheetId="7">
        <row r="3">
          <cell r="A3">
            <v>43465</v>
          </cell>
        </row>
      </sheetData>
      <sheetData sheetId="8"/>
      <sheetData sheetId="9"/>
      <sheetData sheetId="10"/>
      <sheetData sheetId="11"/>
      <sheetData sheetId="12">
        <row r="35">
          <cell r="E35">
            <v>0.66190000000000004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P.P. EDFIT"/>
      <sheetName val="Colstrip"/>
      <sheetName val="046"/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L14">
            <v>3.8733999999999998E-2</v>
          </cell>
        </row>
      </sheetData>
      <sheetData sheetId="7" refreshError="1"/>
      <sheetData sheetId="8">
        <row r="9">
          <cell r="BD9">
            <v>7.0599999999999987</v>
          </cell>
        </row>
        <row r="46">
          <cell r="BD46">
            <v>9100115.4800387621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/>
      <sheetData sheetId="2"/>
      <sheetData sheetId="3">
        <row r="21">
          <cell r="B21">
            <v>3739.0766666666664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 refreshError="1">
        <row r="10">
          <cell r="D10">
            <v>79334191.840000004</v>
          </cell>
          <cell r="E10">
            <v>79334191.840000004</v>
          </cell>
          <cell r="G10">
            <v>37464673.568808615</v>
          </cell>
        </row>
        <row r="11">
          <cell r="D11">
            <v>124839938.45000002</v>
          </cell>
          <cell r="E11">
            <v>125903300.81000002</v>
          </cell>
          <cell r="G11">
            <v>143861738.84365448</v>
          </cell>
        </row>
        <row r="12">
          <cell r="D12">
            <v>574163746.96999896</v>
          </cell>
          <cell r="E12">
            <v>583907969.91446161</v>
          </cell>
          <cell r="G12">
            <v>433447888.18948001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426253.88751197996</v>
          </cell>
        </row>
        <row r="15">
          <cell r="D15">
            <v>115807777.5999999</v>
          </cell>
          <cell r="E15">
            <v>115807777.5999999</v>
          </cell>
          <cell r="G15">
            <v>112334321.32462588</v>
          </cell>
        </row>
        <row r="16">
          <cell r="D16">
            <v>-155333122.24000001</v>
          </cell>
          <cell r="E16">
            <v>-155333122.24000001</v>
          </cell>
          <cell r="G16">
            <v>-5469488.0226492053</v>
          </cell>
        </row>
        <row r="17">
          <cell r="D17">
            <v>-69470811.980000019</v>
          </cell>
          <cell r="E17">
            <v>-69470811.980000019</v>
          </cell>
          <cell r="G17">
            <v>-21415123.754653782</v>
          </cell>
        </row>
        <row r="21">
          <cell r="D21">
            <v>127167992.89</v>
          </cell>
          <cell r="E21">
            <v>127167992.89</v>
          </cell>
          <cell r="G21">
            <v>108520132.47835678</v>
          </cell>
        </row>
        <row r="22">
          <cell r="D22">
            <v>876514.03</v>
          </cell>
          <cell r="E22">
            <v>876514.03</v>
          </cell>
          <cell r="G22">
            <v>876514.03</v>
          </cell>
        </row>
        <row r="23">
          <cell r="D23">
            <v>-7201724.9500000002</v>
          </cell>
          <cell r="E23">
            <v>-7201724.9500000002</v>
          </cell>
          <cell r="G23">
            <v>-8666881.7085096519</v>
          </cell>
        </row>
        <row r="24">
          <cell r="D24">
            <v>0</v>
          </cell>
          <cell r="E24">
            <v>4958988.8</v>
          </cell>
          <cell r="G24">
            <v>4733258.1026060628</v>
          </cell>
        </row>
      </sheetData>
      <sheetData sheetId="1" refreshError="1"/>
      <sheetData sheetId="2" refreshError="1">
        <row r="8">
          <cell r="J8">
            <v>0.95430283896288137</v>
          </cell>
        </row>
        <row r="13">
          <cell r="E13">
            <v>79334191.840000004</v>
          </cell>
          <cell r="F13">
            <v>39258683.972400762</v>
          </cell>
        </row>
        <row r="14">
          <cell r="E14">
            <v>125903300.81000002</v>
          </cell>
          <cell r="F14">
            <v>150750613.92461199</v>
          </cell>
        </row>
        <row r="15">
          <cell r="E15">
            <v>588866958.71446157</v>
          </cell>
          <cell r="F15">
            <v>454203708.18611747</v>
          </cell>
        </row>
        <row r="16">
          <cell r="E16">
            <v>11072849.4899999</v>
          </cell>
          <cell r="F16">
            <v>9989396.959999999</v>
          </cell>
          <cell r="G16">
            <v>-1833483.02</v>
          </cell>
          <cell r="H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117713493.80738376</v>
          </cell>
        </row>
        <row r="19">
          <cell r="E19">
            <v>-155333122.24000001</v>
          </cell>
          <cell r="F19">
            <v>-5731396.5749000004</v>
          </cell>
        </row>
        <row r="20">
          <cell r="E20">
            <v>-69470811.980000019</v>
          </cell>
          <cell r="F20">
            <v>-22440595.249540851</v>
          </cell>
        </row>
        <row r="24">
          <cell r="E24">
            <v>127167992.89</v>
          </cell>
          <cell r="F24">
            <v>116281330.74835677</v>
          </cell>
          <cell r="G24">
            <v>-6141737.9100000001</v>
          </cell>
          <cell r="H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F27">
            <v>4959912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7">
          <cell r="D17">
            <v>743505.45588643628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1">
          <cell r="D21">
            <v>696627809.45446146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</row>
        <row r="12">
          <cell r="D12">
            <v>0</v>
          </cell>
          <cell r="E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 refreshError="1"/>
      <sheetData sheetId="1" refreshError="1"/>
      <sheetData sheetId="2" refreshError="1"/>
      <sheetData sheetId="3" refreshError="1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  <row r="29">
          <cell r="D29"/>
          <cell r="E29"/>
          <cell r="F29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2">
          <cell r="M12">
            <v>8.4790000000000004E-3</v>
          </cell>
        </row>
      </sheetData>
      <sheetData sheetId="2"/>
      <sheetData sheetId="3">
        <row r="14">
          <cell r="AG14">
            <v>2005372296.2612319</v>
          </cell>
        </row>
      </sheetData>
      <sheetData sheetId="4">
        <row r="12">
          <cell r="E12">
            <v>2.9399999999999999E-2</v>
          </cell>
        </row>
      </sheetData>
      <sheetData sheetId="5">
        <row r="26">
          <cell r="H26">
            <v>-18227053.410000004</v>
          </cell>
        </row>
      </sheetData>
      <sheetData sheetId="6">
        <row r="16">
          <cell r="M16">
            <v>1433345.375</v>
          </cell>
        </row>
      </sheetData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 refreshError="1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 refreshError="1">
        <row r="9">
          <cell r="D9">
            <v>20655081094.767998</v>
          </cell>
          <cell r="E9">
            <v>20790328792.745289</v>
          </cell>
          <cell r="F9">
            <v>135247697.97729111</v>
          </cell>
          <cell r="G9">
            <v>20790328792.745289</v>
          </cell>
        </row>
        <row r="11">
          <cell r="D11">
            <v>3.901848296808768E-2</v>
          </cell>
          <cell r="E11">
            <v>3.901848296808768E-2</v>
          </cell>
          <cell r="F11">
            <v>3.901848296808768E-2</v>
          </cell>
          <cell r="G11">
            <v>3.9456616779765467E-2</v>
          </cell>
        </row>
        <row r="13">
          <cell r="F13">
            <v>5277160</v>
          </cell>
          <cell r="G13">
            <v>820316035.90067494</v>
          </cell>
        </row>
        <row r="25">
          <cell r="F25">
            <v>3019</v>
          </cell>
          <cell r="H25">
            <v>0</v>
          </cell>
        </row>
        <row r="26">
          <cell r="F26">
            <v>5274141</v>
          </cell>
          <cell r="H26">
            <v>9108946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>
        <row r="13">
          <cell r="D13">
            <v>-1380897.52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>
        <row r="12">
          <cell r="D12">
            <v>34660463.048212998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>
        <row r="12">
          <cell r="D12">
            <v>60814.661506623946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>
        <row r="14">
          <cell r="D14">
            <v>2033423.3546339665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>
        <row r="10">
          <cell r="D10">
            <v>149851.99538199999</v>
          </cell>
        </row>
      </sheetData>
      <sheetData sheetId="2">
        <row r="16">
          <cell r="O16">
            <v>-183830.53319549991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4">
          <cell r="E44">
            <v>3895439.2738404199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4 (1)"/>
      <sheetName val="BGM-4 (2)  Detailed Summary"/>
      <sheetName val="BGM-4 (3) Common Adj"/>
      <sheetName val="Impacts"/>
      <sheetName val="Rllfwd"/>
      <sheetName val="COC, Def, ConvF"/>
      <sheetName val="COC-Restating"/>
      <sheetName val="Summary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>
        <row r="12">
          <cell r="M12">
            <v>5.1240000000000001E-3</v>
          </cell>
        </row>
      </sheetData>
      <sheetData sheetId="6"/>
      <sheetData sheetId="7"/>
      <sheetData sheetId="8"/>
      <sheetData sheetId="9"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UG-190530</v>
          </cell>
        </row>
        <row r="8">
          <cell r="C8" t="str">
            <v>PUGET SOUND ENERGY - NATURAL GAS - AWEC REPLY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>
        <row r="14">
          <cell r="D14">
            <v>107878753.22000001</v>
          </cell>
        </row>
      </sheetData>
      <sheetData sheetId="2"/>
      <sheetData sheetId="3">
        <row r="668">
          <cell r="H668">
            <v>453621.67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I1" t="str">
            <v>C390.1</v>
          </cell>
        </row>
      </sheetData>
      <sheetData sheetId="10">
        <row r="10">
          <cell r="D10">
            <v>7505.2800000000025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>
        <row r="10">
          <cell r="D10">
            <v>1477.51</v>
          </cell>
        </row>
      </sheetData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>
        <row r="14">
          <cell r="D14">
            <v>6401.1338036276547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>
        <row r="13">
          <cell r="D13">
            <v>87900.023997021053</v>
          </cell>
        </row>
      </sheetData>
      <sheetData sheetId="2"/>
      <sheetData sheetId="3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</sheetData>
      <sheetData sheetId="6"/>
      <sheetData sheetId="7">
        <row r="30">
          <cell r="D30">
            <v>0.03</v>
          </cell>
        </row>
      </sheetData>
      <sheetData sheetId="8"/>
      <sheetData sheetId="9"/>
      <sheetData sheetId="10">
        <row r="13">
          <cell r="N13">
            <v>49.669871095118467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>
        <row r="14">
          <cell r="D14">
            <v>4258316.1606000001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>
        <row r="14">
          <cell r="D14">
            <v>8855913.9655213989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 SUPPLEMENTAL Filing"/>
      <sheetName val="Shuffleton Gain"/>
      <sheetName val="Summary Orig Filing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  <cell r="G16">
            <v>-4297707.3533333326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3R"/>
      <sheetName val="Exh. No. BGM-13R -2"/>
      <sheetName val="Exh. No. BGM-13R -3"/>
      <sheetName val="Exh. No. BGM-13R -4"/>
      <sheetName val="Exh. No. BGM-13R -5"/>
      <sheetName val="DEBT CALC"/>
      <sheetName val="LEAD SHEETS-DO NOT ENTER"/>
      <sheetName val="ADJ SUMMARY"/>
      <sheetName val="ROO INPUT"/>
      <sheetName val="COMPARISON"/>
    </sheetNames>
    <sheetDataSet>
      <sheetData sheetId="0">
        <row r="25">
          <cell r="W25">
            <v>330.47300000000001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>
        <row r="11">
          <cell r="D11">
            <v>525851.89837950014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>
        <row r="16">
          <cell r="D16">
            <v>597372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>
        <row r="14">
          <cell r="D14">
            <v>-2890521.5106920004</v>
          </cell>
        </row>
      </sheetData>
      <sheetData sheetId="2">
        <row r="91">
          <cell r="H91">
            <v>-14817850.210000001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>
        <row r="12">
          <cell r="D12">
            <v>-6029.4623969999993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F30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NEW-PSE-WP-SEF-5.03E-5"/>
    </sheetNames>
    <sheetDataSet>
      <sheetData sheetId="0">
        <row r="8">
          <cell r="E8">
            <v>1149789</v>
          </cell>
        </row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5">
          <cell r="M115">
            <v>1.0145780706566871</v>
          </cell>
        </row>
        <row r="116">
          <cell r="M116">
            <v>117442323.82584529</v>
          </cell>
        </row>
      </sheetData>
      <sheetData sheetId="1">
        <row r="32">
          <cell r="H32">
            <v>1.4512573220204494E-2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1">
          <cell r="D31">
            <v>2.5146037645821018E-2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</row>
        <row r="38">
          <cell r="Q38">
            <v>-76439.133800666779</v>
          </cell>
        </row>
      </sheetData>
      <sheetData sheetId="1">
        <row r="16">
          <cell r="D16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3 2"/>
      <sheetName val="Exh. No. BGM-3 3"/>
      <sheetName val="Exh. No. BGM-3 4"/>
      <sheetName val="Acerno_Cache_XXXXX"/>
      <sheetName val="Workpapers-&gt;"/>
      <sheetName val="ADJ SUMMARY"/>
      <sheetName val="LEAD SHEETS-DO NOT ENTER"/>
      <sheetName val="ROO INPUT"/>
      <sheetName val="DEBT CALC"/>
      <sheetName val="COMPARISON"/>
      <sheetName val="PROPOSED RATES-2018-NOT USED"/>
      <sheetName val="RETAIL REVENUE CREDIT-not used"/>
      <sheetName val="PROPOSED RATES-2019-not used"/>
    </sheetNames>
    <sheetDataSet>
      <sheetData sheetId="0">
        <row r="24">
          <cell r="E24">
            <v>196.52699999999999</v>
          </cell>
        </row>
      </sheetData>
      <sheetData sheetId="1">
        <row r="24">
          <cell r="E24">
            <v>0.61941299999999999</v>
          </cell>
        </row>
      </sheetData>
      <sheetData sheetId="2">
        <row r="7">
          <cell r="F7" t="str">
            <v xml:space="preserve">Deferred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p1"/>
      <sheetName val="Exh p2"/>
      <sheetName val="wp's ==&gt;"/>
      <sheetName val="TY Sales"/>
      <sheetName val="3.01E Lead Sheet "/>
      <sheetName val="Other Taxes"/>
      <sheetName val="PSNCG"/>
      <sheetName val="Exh.A-1"/>
    </sheetNames>
    <sheetDataSet>
      <sheetData sheetId="0">
        <row r="59">
          <cell r="O59">
            <v>-23391891.903797138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706161157.80466747</v>
          </cell>
        </row>
        <row r="37">
          <cell r="G37">
            <v>0.95111500000000004</v>
          </cell>
        </row>
        <row r="39">
          <cell r="C39">
            <v>20503307.194246825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2">
          <cell r="C12">
            <v>5428588080.5290194</v>
          </cell>
        </row>
        <row r="13">
          <cell r="C13">
            <v>7.6200000000000004E-2</v>
          </cell>
        </row>
        <row r="17">
          <cell r="C17">
            <v>335137126.10927796</v>
          </cell>
        </row>
        <row r="20">
          <cell r="C20">
            <v>0.75138099999999997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>
        <row r="14">
          <cell r="E14">
            <v>2E-3</v>
          </cell>
        </row>
      </sheetData>
      <sheetData sheetId="2"/>
      <sheetData sheetId="3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0 (1)"/>
      <sheetName val="Exh. No. BGM-10 (1A)"/>
      <sheetName val="BGM-10 (2)  Detailed Summary"/>
      <sheetName val="BGM-10 (3) Common Adj"/>
      <sheetName val="Impacts"/>
      <sheetName val="Rllfwd"/>
      <sheetName val="COC, Def, ConvF"/>
      <sheetName val="COC-Restating"/>
      <sheetName val="Summary"/>
      <sheetName val="Gas Adj"/>
      <sheetName val="Named Ranges G"/>
    </sheetNames>
    <sheetDataSet>
      <sheetData sheetId="0">
        <row r="12">
          <cell r="AC12">
            <v>-1515.8550114065422</v>
          </cell>
        </row>
        <row r="13">
          <cell r="AC13">
            <v>-68.796866304055584</v>
          </cell>
        </row>
        <row r="37">
          <cell r="AC37">
            <v>545.76655962088807</v>
          </cell>
        </row>
        <row r="48">
          <cell r="AC48">
            <v>-3794.1747771751075</v>
          </cell>
        </row>
        <row r="50">
          <cell r="AC50">
            <v>-2768.0178775772138</v>
          </cell>
        </row>
        <row r="51">
          <cell r="AC51">
            <v>-749.76044180388612</v>
          </cell>
        </row>
        <row r="53">
          <cell r="AC53">
            <v>-640.67631155364563</v>
          </cell>
        </row>
        <row r="56">
          <cell r="AC56">
            <v>-2641.6784830068282</v>
          </cell>
        </row>
        <row r="57">
          <cell r="AC57">
            <v>-3633.5845428780221</v>
          </cell>
        </row>
        <row r="66">
          <cell r="T66">
            <v>65580.770633046966</v>
          </cell>
        </row>
      </sheetData>
      <sheetData sheetId="1">
        <row r="65">
          <cell r="M65">
            <v>86128.338711612392</v>
          </cell>
          <cell r="AA65">
            <v>5323.0261692019121</v>
          </cell>
        </row>
      </sheetData>
      <sheetData sheetId="2"/>
      <sheetData sheetId="3"/>
      <sheetData sheetId="4"/>
      <sheetData sheetId="5">
        <row r="9">
          <cell r="K9">
            <v>-9541.6878385753771</v>
          </cell>
        </row>
        <row r="10">
          <cell r="K10">
            <v>51777.530559417442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"/>
      <sheetName val="Table 3C"/>
      <sheetName val="Table 4"/>
      <sheetName val="Table 5"/>
      <sheetName val="Table 6C"/>
      <sheetName val="Table 7C"/>
      <sheetName val="Table 8C"/>
    </sheetNames>
    <sheetDataSet>
      <sheetData sheetId="0"/>
      <sheetData sheetId="1"/>
      <sheetData sheetId="2"/>
      <sheetData sheetId="3"/>
      <sheetData sheetId="4"/>
      <sheetData sheetId="5">
        <row r="10">
          <cell r="F10">
            <v>-111946494.45999984</v>
          </cell>
        </row>
        <row r="13">
          <cell r="F13">
            <v>98349714</v>
          </cell>
        </row>
        <row r="15">
          <cell r="F15">
            <v>-98349714</v>
          </cell>
        </row>
        <row r="18">
          <cell r="F18">
            <v>-11323061.907288032</v>
          </cell>
        </row>
      </sheetData>
      <sheetData sheetId="6">
        <row r="14">
          <cell r="F14">
            <v>-26739954.831603054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P.P. EDFIT"/>
      <sheetName val="Colstrip"/>
      <sheetName val="046"/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4">
          <cell r="BK64">
            <v>87284096.076229349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 refreshError="1"/>
      <sheetData sheetId="1" refreshError="1"/>
      <sheetData sheetId="2">
        <row r="64">
          <cell r="BK64">
            <v>90775476.454726487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B39"/>
  <sheetViews>
    <sheetView tabSelected="1" workbookViewId="0">
      <selection activeCell="G6" sqref="F6:G6"/>
    </sheetView>
  </sheetViews>
  <sheetFormatPr defaultRowHeight="15" x14ac:dyDescent="0.25"/>
  <cols>
    <col min="2" max="2" width="1.7109375" customWidth="1"/>
    <col min="3" max="3" width="7.5703125" customWidth="1"/>
    <col min="4" max="4" width="28.28515625" customWidth="1"/>
    <col min="5" max="5" width="1.7109375" customWidth="1"/>
    <col min="6" max="6" width="14" bestFit="1" customWidth="1"/>
    <col min="7" max="7" width="1.7109375" customWidth="1"/>
    <col min="8" max="8" width="14.5703125" bestFit="1" customWidth="1"/>
    <col min="9" max="9" width="1.7109375" customWidth="1"/>
    <col min="13" max="13" width="15.140625" bestFit="1" customWidth="1"/>
    <col min="14" max="14" width="11.28515625" customWidth="1"/>
    <col min="15" max="15" width="11.5703125" bestFit="1" customWidth="1"/>
    <col min="16" max="16" width="13.140625" customWidth="1"/>
    <col min="18" max="18" width="12.28515625" bestFit="1" customWidth="1"/>
    <col min="19" max="19" width="10.5703125" bestFit="1" customWidth="1"/>
    <col min="20" max="20" width="13.7109375" customWidth="1"/>
    <col min="21" max="21" width="13.28515625" customWidth="1"/>
    <col min="24" max="24" width="9.7109375" bestFit="1" customWidth="1"/>
    <col min="25" max="25" width="12.28515625" bestFit="1" customWidth="1"/>
    <col min="26" max="26" width="12.28515625" customWidth="1"/>
    <col min="28" max="28" width="12.28515625" bestFit="1" customWidth="1"/>
  </cols>
  <sheetData>
    <row r="2" spans="2:21" ht="18.75" x14ac:dyDescent="0.3">
      <c r="B2" s="880" t="s">
        <v>1005</v>
      </c>
    </row>
    <row r="3" spans="2:21" ht="15.75" x14ac:dyDescent="0.25">
      <c r="B3" s="879" t="s">
        <v>1006</v>
      </c>
    </row>
    <row r="4" spans="2:21" x14ac:dyDescent="0.25">
      <c r="B4" s="912" t="s">
        <v>1020</v>
      </c>
      <c r="C4" s="912"/>
      <c r="D4" s="912"/>
    </row>
    <row r="5" spans="2:21" x14ac:dyDescent="0.25">
      <c r="M5" t="s">
        <v>848</v>
      </c>
      <c r="N5" s="615">
        <f>+'COC-Restating'!E14</f>
        <v>7.5999999999999998E-2</v>
      </c>
    </row>
    <row r="6" spans="2:21" x14ac:dyDescent="0.25">
      <c r="M6" t="s">
        <v>849</v>
      </c>
      <c r="N6">
        <f>+'BGM-9 (2) Detailed Summary'!D62</f>
        <v>0.75138099999999997</v>
      </c>
    </row>
    <row r="7" spans="2:21" ht="7.5" customHeight="1" x14ac:dyDescent="0.25">
      <c r="B7" s="743"/>
      <c r="C7" s="744"/>
      <c r="D7" s="744"/>
      <c r="E7" s="744"/>
      <c r="F7" s="744"/>
      <c r="G7" s="744"/>
      <c r="H7" s="744"/>
      <c r="I7" s="745"/>
    </row>
    <row r="8" spans="2:21" x14ac:dyDescent="0.25">
      <c r="B8" s="746"/>
      <c r="C8" s="747"/>
      <c r="D8" s="747"/>
      <c r="E8" s="747"/>
      <c r="F8" s="762" t="s">
        <v>843</v>
      </c>
      <c r="G8" s="761"/>
      <c r="H8" s="762" t="s">
        <v>844</v>
      </c>
      <c r="I8" s="748"/>
    </row>
    <row r="9" spans="2:21" ht="7.5" customHeight="1" x14ac:dyDescent="0.25">
      <c r="B9" s="746"/>
      <c r="C9" s="747"/>
      <c r="D9" s="747"/>
      <c r="E9" s="747"/>
      <c r="F9" s="747"/>
      <c r="G9" s="747"/>
      <c r="H9" s="747"/>
      <c r="I9" s="748"/>
    </row>
    <row r="10" spans="2:21" x14ac:dyDescent="0.25">
      <c r="B10" s="746"/>
      <c r="C10" s="754" t="s">
        <v>841</v>
      </c>
      <c r="D10" s="754"/>
      <c r="E10" s="754"/>
      <c r="F10" s="755">
        <f>+'Exh. No. BGM-9 (1A)'!M78</f>
        <v>104502.62333893681</v>
      </c>
      <c r="G10" s="755"/>
      <c r="H10" s="755">
        <f>+'[6]Exh. No. BGM-10 (1A)'!$M$65</f>
        <v>86128.338711612392</v>
      </c>
      <c r="I10" s="748"/>
      <c r="M10" s="491">
        <f>+F10*1000</f>
        <v>104502623.33893682</v>
      </c>
      <c r="N10" s="491"/>
      <c r="O10" s="491">
        <f>+H10*1000</f>
        <v>86128338.711612388</v>
      </c>
    </row>
    <row r="11" spans="2:21" ht="7.5" customHeight="1" x14ac:dyDescent="0.25">
      <c r="B11" s="746"/>
      <c r="C11" s="747"/>
      <c r="D11" s="747"/>
      <c r="E11" s="747"/>
      <c r="F11" s="749"/>
      <c r="G11" s="749"/>
      <c r="H11" s="749"/>
      <c r="I11" s="748"/>
      <c r="M11" s="491"/>
      <c r="N11" s="491"/>
      <c r="O11" s="491"/>
    </row>
    <row r="12" spans="2:21" x14ac:dyDescent="0.25">
      <c r="B12" s="746"/>
      <c r="C12" s="747" t="s">
        <v>842</v>
      </c>
      <c r="D12" s="747"/>
      <c r="E12" s="747"/>
      <c r="F12" s="749"/>
      <c r="G12" s="749"/>
      <c r="H12" s="749"/>
      <c r="I12" s="748"/>
      <c r="M12" s="491"/>
      <c r="N12" s="491"/>
      <c r="O12" s="491"/>
    </row>
    <row r="13" spans="2:21" x14ac:dyDescent="0.25">
      <c r="B13" s="746"/>
      <c r="C13" s="911"/>
      <c r="D13" s="912" t="s">
        <v>1016</v>
      </c>
      <c r="E13" s="911"/>
      <c r="F13" s="913">
        <f>-'Exh. No. BGM-9 (1A)'!AA78</f>
        <v>-13727.146884210611</v>
      </c>
      <c r="G13" s="913"/>
      <c r="H13" s="913">
        <f>-'[6]Exh. No. BGM-10 (1A)'!$AA$65</f>
        <v>-5323.0261692019121</v>
      </c>
      <c r="I13" s="748"/>
      <c r="M13" s="491"/>
      <c r="N13" s="491"/>
      <c r="O13" s="491"/>
    </row>
    <row r="14" spans="2:21" x14ac:dyDescent="0.25">
      <c r="B14" s="746"/>
      <c r="C14" s="763"/>
      <c r="D14" s="747" t="s">
        <v>960</v>
      </c>
      <c r="E14" s="747"/>
      <c r="F14" s="749">
        <f>+SUM(Rllfwd!K9:K12)/1000</f>
        <v>-3491.3805570624563</v>
      </c>
      <c r="G14" s="749"/>
      <c r="H14" s="749">
        <f>+SUM([6]Rllfwd!$K$9:$K$10)/1000</f>
        <v>42.235842720842065</v>
      </c>
      <c r="I14" s="748"/>
      <c r="M14" s="491">
        <f>+F14*1000</f>
        <v>-3491380.5570624564</v>
      </c>
      <c r="N14" s="491"/>
      <c r="O14" s="491">
        <f t="shared" ref="O14:O31" si="0">+H14*1000</f>
        <v>42235.842720842062</v>
      </c>
      <c r="U14" s="491"/>
    </row>
    <row r="15" spans="2:21" x14ac:dyDescent="0.25">
      <c r="B15" s="746"/>
      <c r="C15" s="869" t="s">
        <v>958</v>
      </c>
      <c r="D15" s="747" t="s">
        <v>850</v>
      </c>
      <c r="E15" s="747"/>
      <c r="F15" s="749">
        <f>+M15/1000</f>
        <v>-11323.061907288031</v>
      </c>
      <c r="G15" s="747"/>
      <c r="H15" s="749">
        <v>0</v>
      </c>
      <c r="I15" s="748"/>
      <c r="M15" s="491">
        <f>+'[7]Table 7C'!F18</f>
        <v>-11323061.907288032</v>
      </c>
      <c r="N15" s="491"/>
      <c r="O15" s="491">
        <f>+H15*1000</f>
        <v>0</v>
      </c>
      <c r="P15" s="491"/>
      <c r="Q15" s="491"/>
      <c r="R15" s="491"/>
      <c r="S15" s="491"/>
      <c r="T15" s="491"/>
      <c r="U15" s="491"/>
    </row>
    <row r="16" spans="2:21" x14ac:dyDescent="0.25">
      <c r="B16" s="746"/>
      <c r="C16" s="869" t="s">
        <v>958</v>
      </c>
      <c r="D16" s="747" t="s">
        <v>846</v>
      </c>
      <c r="E16" s="747"/>
      <c r="F16" s="749">
        <f>+'Exh. No. BGM-9 (1)'!AC35-F15</f>
        <v>-23141.000806666751</v>
      </c>
      <c r="G16" s="747"/>
      <c r="H16" s="749">
        <v>0</v>
      </c>
      <c r="I16" s="748"/>
      <c r="M16" s="491">
        <f>+F16*1000</f>
        <v>-23141000.80666675</v>
      </c>
      <c r="N16" s="491"/>
      <c r="O16" s="491">
        <f>+H16*1000</f>
        <v>0</v>
      </c>
      <c r="P16" s="491"/>
      <c r="Q16" s="491"/>
      <c r="R16" s="491"/>
      <c r="S16" s="491"/>
      <c r="T16" s="491"/>
      <c r="U16" s="491"/>
    </row>
    <row r="17" spans="2:28" x14ac:dyDescent="0.25">
      <c r="B17" s="746"/>
      <c r="C17" s="869" t="s">
        <v>956</v>
      </c>
      <c r="D17" s="747" t="s">
        <v>961</v>
      </c>
      <c r="E17" s="747"/>
      <c r="F17" s="749">
        <f>+'Exh. No. BGM-9 (1)'!AC12</f>
        <v>-5772.8096982344105</v>
      </c>
      <c r="G17" s="747"/>
      <c r="H17" s="749">
        <f>+'[6]Exh. No. BGM-10 (1)'!$AC$12</f>
        <v>-1515.8550114065422</v>
      </c>
      <c r="I17" s="748"/>
      <c r="M17" s="491">
        <f>+F17*1000</f>
        <v>-5772809.69823441</v>
      </c>
      <c r="N17" s="491"/>
      <c r="O17" s="491">
        <f t="shared" si="0"/>
        <v>-1515855.0114065423</v>
      </c>
      <c r="P17" s="491"/>
      <c r="Q17" s="491"/>
      <c r="R17" s="491"/>
      <c r="S17" s="491"/>
      <c r="T17" s="491"/>
      <c r="U17" s="491"/>
    </row>
    <row r="18" spans="2:28" x14ac:dyDescent="0.25">
      <c r="B18" s="746"/>
      <c r="C18" s="869" t="s">
        <v>957</v>
      </c>
      <c r="D18" s="747" t="s">
        <v>845</v>
      </c>
      <c r="E18" s="747"/>
      <c r="F18" s="749">
        <f t="shared" ref="F18" si="1">+P18</f>
        <v>0</v>
      </c>
      <c r="G18" s="747"/>
      <c r="H18" s="749">
        <f>+'[6]Exh. No. BGM-10 (1)'!$AC$50</f>
        <v>-2768.0178775772138</v>
      </c>
      <c r="I18" s="748"/>
      <c r="M18" s="491">
        <f>+F18*1000</f>
        <v>0</v>
      </c>
      <c r="N18" s="491"/>
      <c r="O18" s="491">
        <f t="shared" si="0"/>
        <v>-2768017.8775772136</v>
      </c>
      <c r="P18" s="491"/>
      <c r="Q18" s="491"/>
      <c r="R18" s="491"/>
      <c r="S18" s="491"/>
      <c r="T18" s="491"/>
      <c r="U18" s="491"/>
      <c r="X18" s="491"/>
      <c r="Y18" s="491"/>
      <c r="Z18" s="491"/>
      <c r="AA18" s="491">
        <v>722630.37767299998</v>
      </c>
      <c r="AB18" s="491">
        <v>2890521.5106920004</v>
      </c>
    </row>
    <row r="19" spans="2:28" x14ac:dyDescent="0.25">
      <c r="B19" s="746"/>
      <c r="C19" s="870" t="s">
        <v>941</v>
      </c>
      <c r="D19" s="747" t="s">
        <v>962</v>
      </c>
      <c r="E19" s="747"/>
      <c r="F19" s="749">
        <f>+'Exh. No. BGM-9 (1)'!AC69</f>
        <v>-5190.3204645845453</v>
      </c>
      <c r="G19" s="747"/>
      <c r="H19" s="749">
        <f>+'[6]Exh. No. BGM-10 (1)'!$AC$56</f>
        <v>-2641.6784830068282</v>
      </c>
      <c r="I19" s="748"/>
      <c r="M19" s="491">
        <f>+F19*1000</f>
        <v>-5190320.4645845452</v>
      </c>
      <c r="N19" s="491"/>
      <c r="O19" s="491">
        <f t="shared" si="0"/>
        <v>-2641678.483006828</v>
      </c>
      <c r="P19" s="491"/>
      <c r="Q19" s="491"/>
      <c r="R19" s="491"/>
      <c r="S19" s="491"/>
      <c r="T19" s="491"/>
      <c r="U19" s="491"/>
    </row>
    <row r="20" spans="2:28" x14ac:dyDescent="0.25">
      <c r="B20" s="746"/>
      <c r="C20" s="869" t="s">
        <v>983</v>
      </c>
      <c r="D20" s="747" t="s">
        <v>991</v>
      </c>
      <c r="E20" s="747"/>
      <c r="F20" s="749">
        <f>+'Exh. No. BGM-9 (1)'!AC43</f>
        <v>-11.823997639548907</v>
      </c>
      <c r="G20" s="747"/>
      <c r="H20" s="749">
        <v>0</v>
      </c>
      <c r="I20" s="748"/>
      <c r="M20" s="491">
        <f t="shared" ref="M20:M30" si="2">+F20*1000</f>
        <v>-11823.997639548907</v>
      </c>
      <c r="N20" s="491"/>
      <c r="O20" s="491">
        <f t="shared" ref="O20:O30" si="3">+H20*1000</f>
        <v>0</v>
      </c>
      <c r="P20" s="491"/>
      <c r="Q20" s="491"/>
      <c r="R20" s="491"/>
      <c r="S20" s="491"/>
      <c r="T20" s="491"/>
      <c r="U20" s="491"/>
    </row>
    <row r="21" spans="2:28" x14ac:dyDescent="0.25">
      <c r="B21" s="746"/>
      <c r="C21" s="869" t="s">
        <v>984</v>
      </c>
      <c r="D21" s="747" t="s">
        <v>1001</v>
      </c>
      <c r="E21" s="747"/>
      <c r="F21" s="749">
        <f>+'Exh. No. BGM-9 (1)'!AC56</f>
        <v>-7454.7236232046671</v>
      </c>
      <c r="G21" s="747"/>
      <c r="H21" s="749">
        <f>+'[6]Exh. No. BGM-10 (1)'!$AC$48</f>
        <v>-3794.1747771751075</v>
      </c>
      <c r="I21" s="748"/>
      <c r="M21" s="491">
        <f t="shared" si="2"/>
        <v>-7454723.6232046671</v>
      </c>
      <c r="N21" s="491"/>
      <c r="O21" s="491">
        <f t="shared" si="3"/>
        <v>-3794174.7771751075</v>
      </c>
      <c r="P21" s="491"/>
      <c r="Q21" s="491"/>
      <c r="R21" s="491"/>
      <c r="S21" s="491"/>
      <c r="T21" s="491"/>
      <c r="U21" s="491"/>
    </row>
    <row r="22" spans="2:28" x14ac:dyDescent="0.25">
      <c r="B22" s="746"/>
      <c r="C22" s="869" t="s">
        <v>985</v>
      </c>
      <c r="D22" s="747" t="s">
        <v>996</v>
      </c>
      <c r="E22" s="747"/>
      <c r="F22" s="749">
        <f>+'Exh. No. BGM-9 (1)'!AC59</f>
        <v>-1665.4800898656149</v>
      </c>
      <c r="G22" s="747"/>
      <c r="H22" s="749">
        <f>+'[6]Exh. No. BGM-10 (1)'!$AC$51</f>
        <v>-749.76044180388612</v>
      </c>
      <c r="I22" s="748"/>
      <c r="M22" s="491">
        <f t="shared" si="2"/>
        <v>-1665480.0898656149</v>
      </c>
      <c r="N22" s="491"/>
      <c r="O22" s="491">
        <f t="shared" si="3"/>
        <v>-749760.44180388609</v>
      </c>
      <c r="P22" s="491"/>
      <c r="Q22" s="491"/>
      <c r="R22" s="491"/>
      <c r="S22" s="491"/>
      <c r="T22" s="491"/>
      <c r="U22" s="491"/>
    </row>
    <row r="23" spans="2:28" x14ac:dyDescent="0.25">
      <c r="B23" s="746"/>
      <c r="C23" s="869" t="s">
        <v>986</v>
      </c>
      <c r="D23" s="747" t="s">
        <v>997</v>
      </c>
      <c r="E23" s="747"/>
      <c r="F23" s="749">
        <f>+'Exh. No. BGM-9 (1)'!AC61</f>
        <v>-1258.7888315789548</v>
      </c>
      <c r="G23" s="747"/>
      <c r="H23" s="749">
        <f>+'[6]Exh. No. BGM-10 (1)'!$AC$53</f>
        <v>-640.67631155364563</v>
      </c>
      <c r="I23" s="748"/>
      <c r="M23" s="491">
        <f t="shared" si="2"/>
        <v>-1258788.8315789548</v>
      </c>
      <c r="N23" s="491"/>
      <c r="O23" s="491">
        <f t="shared" si="3"/>
        <v>-640676.31155364565</v>
      </c>
      <c r="P23" s="491"/>
      <c r="Q23" s="491"/>
      <c r="R23" s="491"/>
      <c r="S23" s="491"/>
      <c r="T23" s="491"/>
      <c r="U23" s="491"/>
    </row>
    <row r="24" spans="2:28" x14ac:dyDescent="0.25">
      <c r="B24" s="746"/>
      <c r="C24" s="869" t="s">
        <v>987</v>
      </c>
      <c r="D24" s="747" t="s">
        <v>998</v>
      </c>
      <c r="E24" s="747"/>
      <c r="F24" s="749">
        <f>+'Exh. No. BGM-9 (1)'!AC63</f>
        <v>-42.256575912472499</v>
      </c>
      <c r="G24" s="747"/>
      <c r="H24" s="749">
        <v>0</v>
      </c>
      <c r="I24" s="748"/>
      <c r="M24" s="491">
        <f t="shared" si="2"/>
        <v>-42256.575912472501</v>
      </c>
      <c r="N24" s="491"/>
      <c r="O24" s="491">
        <f t="shared" si="3"/>
        <v>0</v>
      </c>
      <c r="P24" s="491"/>
      <c r="Q24" s="491"/>
      <c r="R24" s="491"/>
      <c r="S24" s="491"/>
      <c r="T24" s="491"/>
      <c r="U24" s="491"/>
    </row>
    <row r="25" spans="2:28" x14ac:dyDescent="0.25">
      <c r="B25" s="746"/>
      <c r="C25" s="869" t="s">
        <v>988</v>
      </c>
      <c r="D25" s="747" t="s">
        <v>999</v>
      </c>
      <c r="E25" s="747"/>
      <c r="F25" s="749">
        <f>+'Exh. No. BGM-9 (1)'!AC67</f>
        <v>-1566.3427344729134</v>
      </c>
      <c r="G25" s="747"/>
      <c r="H25" s="749">
        <v>0</v>
      </c>
      <c r="I25" s="748"/>
      <c r="M25" s="491">
        <f t="shared" si="2"/>
        <v>-1566342.7344729134</v>
      </c>
      <c r="N25" s="491"/>
      <c r="O25" s="491">
        <f t="shared" si="3"/>
        <v>0</v>
      </c>
      <c r="P25" s="491"/>
      <c r="Q25" s="491"/>
      <c r="R25" s="491"/>
      <c r="S25" s="491"/>
      <c r="T25" s="491"/>
      <c r="U25" s="491"/>
    </row>
    <row r="26" spans="2:28" x14ac:dyDescent="0.25">
      <c r="B26" s="746"/>
      <c r="C26" s="869" t="s">
        <v>989</v>
      </c>
      <c r="D26" s="747" t="s">
        <v>1000</v>
      </c>
      <c r="E26" s="747"/>
      <c r="F26" s="749">
        <f>+'Exh. No. BGM-9 (1)'!AC68</f>
        <v>26.018297058891221</v>
      </c>
      <c r="G26" s="747"/>
      <c r="H26" s="749">
        <v>0</v>
      </c>
      <c r="I26" s="748"/>
      <c r="M26" s="491">
        <f t="shared" si="2"/>
        <v>26018.297058891221</v>
      </c>
      <c r="N26" s="491"/>
      <c r="O26" s="491">
        <f t="shared" si="3"/>
        <v>0</v>
      </c>
      <c r="P26" s="491"/>
      <c r="Q26" s="491"/>
      <c r="R26" s="491"/>
      <c r="S26" s="491"/>
      <c r="T26" s="491"/>
      <c r="U26" s="491"/>
    </row>
    <row r="27" spans="2:28" x14ac:dyDescent="0.25">
      <c r="B27" s="746"/>
      <c r="C27" s="869" t="s">
        <v>980</v>
      </c>
      <c r="D27" s="747" t="s">
        <v>994</v>
      </c>
      <c r="E27" s="747"/>
      <c r="F27" s="749">
        <f>+'Exh. No. BGM-9 (1)'!AC36</f>
        <v>-1096.0671814561811</v>
      </c>
      <c r="G27" s="747"/>
      <c r="H27" s="749">
        <v>0</v>
      </c>
      <c r="I27" s="748"/>
      <c r="M27" s="491">
        <f t="shared" si="2"/>
        <v>-1096067.181456181</v>
      </c>
      <c r="N27" s="491"/>
      <c r="O27" s="491">
        <f t="shared" si="3"/>
        <v>0</v>
      </c>
      <c r="P27" s="491"/>
      <c r="Q27" s="491"/>
      <c r="R27" s="491"/>
      <c r="S27" s="491"/>
      <c r="T27" s="491"/>
      <c r="U27" s="491"/>
    </row>
    <row r="28" spans="2:28" x14ac:dyDescent="0.25">
      <c r="B28" s="746"/>
      <c r="C28" s="869" t="s">
        <v>981</v>
      </c>
      <c r="D28" s="747" t="s">
        <v>995</v>
      </c>
      <c r="E28" s="747"/>
      <c r="F28" s="749">
        <f>+'Exh. No. BGM-9 (1)'!AC37</f>
        <v>-32.263469797612665</v>
      </c>
      <c r="G28" s="747"/>
      <c r="H28" s="749">
        <v>0</v>
      </c>
      <c r="I28" s="748"/>
      <c r="M28" s="491">
        <f t="shared" si="2"/>
        <v>-32263.469797612666</v>
      </c>
      <c r="N28" s="491"/>
      <c r="O28" s="491">
        <f t="shared" si="3"/>
        <v>0</v>
      </c>
      <c r="P28" s="491"/>
      <c r="Q28" s="491"/>
      <c r="R28" s="491"/>
      <c r="S28" s="491"/>
      <c r="T28" s="491"/>
      <c r="U28" s="491"/>
    </row>
    <row r="29" spans="2:28" x14ac:dyDescent="0.25">
      <c r="B29" s="746"/>
      <c r="C29" s="870">
        <v>12.04</v>
      </c>
      <c r="D29" s="747" t="s">
        <v>990</v>
      </c>
      <c r="E29" s="747"/>
      <c r="F29" s="749">
        <f>+'Exh. No. BGM-9 (1)'!AC70</f>
        <v>-114.33152036450217</v>
      </c>
      <c r="G29" s="747"/>
      <c r="H29" s="749">
        <v>0</v>
      </c>
      <c r="I29" s="748"/>
      <c r="M29" s="491">
        <f t="shared" si="2"/>
        <v>-114331.52036450217</v>
      </c>
      <c r="N29" s="491"/>
      <c r="O29" s="491">
        <f t="shared" si="3"/>
        <v>0</v>
      </c>
      <c r="P29" s="491"/>
      <c r="Q29" s="491"/>
      <c r="R29" s="491"/>
      <c r="S29" s="491"/>
      <c r="T29" s="491"/>
      <c r="U29" s="491"/>
    </row>
    <row r="30" spans="2:28" x14ac:dyDescent="0.25">
      <c r="B30" s="746"/>
      <c r="C30" s="870">
        <v>12.05</v>
      </c>
      <c r="D30" s="747" t="s">
        <v>982</v>
      </c>
      <c r="E30" s="747"/>
      <c r="F30" s="749">
        <v>0</v>
      </c>
      <c r="G30" s="747"/>
      <c r="H30" s="749">
        <f>+'[6]Exh. No. BGM-10 (1)'!$AC$57</f>
        <v>-3633.5845428780221</v>
      </c>
      <c r="I30" s="748"/>
      <c r="M30" s="491">
        <f t="shared" si="2"/>
        <v>0</v>
      </c>
      <c r="N30" s="491"/>
      <c r="O30" s="491">
        <f t="shared" si="3"/>
        <v>-3633584.542878022</v>
      </c>
      <c r="P30" s="491"/>
      <c r="Q30" s="491"/>
      <c r="R30" s="491"/>
      <c r="S30" s="491"/>
      <c r="T30" s="491"/>
      <c r="U30" s="491"/>
    </row>
    <row r="31" spans="2:28" x14ac:dyDescent="0.25">
      <c r="B31" s="746"/>
      <c r="C31" s="869" t="s">
        <v>959</v>
      </c>
      <c r="D31" s="747" t="s">
        <v>953</v>
      </c>
      <c r="E31" s="747"/>
      <c r="F31" s="753">
        <f>+'Exh. No. BGM-9 (1)'!AC13+'Exh. No. BGM-9 (1)'!AC45</f>
        <v>1427.3337889539866</v>
      </c>
      <c r="G31" s="747"/>
      <c r="H31" s="753">
        <f>+'[6]Exh. No. BGM-10 (1)'!$AC$37+'[6]Exh. No. BGM-10 (1)'!$AC$13</f>
        <v>476.96969331683249</v>
      </c>
      <c r="I31" s="748"/>
      <c r="M31" s="491">
        <f>+F31*1000</f>
        <v>1427333.7889539867</v>
      </c>
      <c r="N31" s="491"/>
      <c r="O31" s="491">
        <f t="shared" si="0"/>
        <v>476969.69331683248</v>
      </c>
    </row>
    <row r="32" spans="2:28" ht="7.5" customHeight="1" x14ac:dyDescent="0.25">
      <c r="B32" s="746"/>
      <c r="C32" s="747"/>
      <c r="D32" s="747"/>
      <c r="E32" s="747"/>
      <c r="F32" s="747"/>
      <c r="G32" s="747"/>
      <c r="H32" s="747"/>
      <c r="I32" s="748"/>
      <c r="M32" s="491"/>
      <c r="N32" s="491"/>
      <c r="O32" s="491"/>
    </row>
    <row r="33" spans="2:15" x14ac:dyDescent="0.25">
      <c r="B33" s="746"/>
      <c r="C33" s="747"/>
      <c r="D33" s="747" t="s">
        <v>847</v>
      </c>
      <c r="E33" s="747"/>
      <c r="F33" s="749">
        <f>+SUM(F13:F31)</f>
        <v>-74434.44625632641</v>
      </c>
      <c r="G33" s="747"/>
      <c r="H33" s="749">
        <f>+SUM(H13:H31)</f>
        <v>-20547.568078565484</v>
      </c>
      <c r="I33" s="748"/>
      <c r="M33" s="491">
        <f>+F33*1000</f>
        <v>-74434446.256326407</v>
      </c>
      <c r="N33" s="491"/>
      <c r="O33" s="491">
        <f>+H33*1000</f>
        <v>-20547568.078565486</v>
      </c>
    </row>
    <row r="34" spans="2:15" ht="7.5" customHeight="1" x14ac:dyDescent="0.25">
      <c r="B34" s="746"/>
      <c r="C34" s="747"/>
      <c r="D34" s="747"/>
      <c r="E34" s="747"/>
      <c r="F34" s="747"/>
      <c r="G34" s="747"/>
      <c r="H34" s="747"/>
      <c r="I34" s="748"/>
      <c r="M34" s="491"/>
      <c r="N34" s="491"/>
      <c r="O34" s="491"/>
    </row>
    <row r="35" spans="2:15" x14ac:dyDescent="0.25">
      <c r="B35" s="746"/>
      <c r="C35" s="754" t="s">
        <v>1004</v>
      </c>
      <c r="D35" s="754"/>
      <c r="E35" s="754"/>
      <c r="F35" s="755">
        <f>+'Exh. No. BGM-9 (1)'!T79</f>
        <v>30068.177261175773</v>
      </c>
      <c r="G35" s="755"/>
      <c r="H35" s="755">
        <f>+'[6]Exh. No. BGM-10 (1)'!$T$66</f>
        <v>65580.770633046966</v>
      </c>
      <c r="I35" s="748"/>
      <c r="M35" s="491">
        <f t="shared" ref="M35" si="4">+F35*1000</f>
        <v>30068177.261175774</v>
      </c>
      <c r="N35" s="491"/>
      <c r="O35" s="491">
        <f t="shared" ref="O35" si="5">+H35*1000</f>
        <v>65580770.63304697</v>
      </c>
    </row>
    <row r="36" spans="2:15" x14ac:dyDescent="0.25">
      <c r="B36" s="746"/>
      <c r="C36" s="754"/>
      <c r="D36" s="754"/>
      <c r="E36" s="754"/>
      <c r="F36" s="755"/>
      <c r="G36" s="755"/>
      <c r="H36" s="755"/>
      <c r="I36" s="748"/>
      <c r="M36" s="491"/>
      <c r="N36" s="491"/>
      <c r="O36" s="491"/>
    </row>
    <row r="37" spans="2:15" ht="7.5" customHeight="1" x14ac:dyDescent="0.25">
      <c r="B37" s="750"/>
      <c r="C37" s="751"/>
      <c r="D37" s="751"/>
      <c r="E37" s="751"/>
      <c r="F37" s="751"/>
      <c r="G37" s="751"/>
      <c r="H37" s="751"/>
      <c r="I37" s="752"/>
      <c r="M37" s="491"/>
      <c r="N37" s="491"/>
      <c r="O37" s="491"/>
    </row>
    <row r="38" spans="2:15" x14ac:dyDescent="0.25">
      <c r="M38" s="868"/>
      <c r="N38" s="491"/>
      <c r="O38" s="491"/>
    </row>
    <row r="39" spans="2:15" x14ac:dyDescent="0.25">
      <c r="F39" s="889">
        <f>+F10+F33-F35</f>
        <v>-1.7856536942417733E-4</v>
      </c>
      <c r="G39" s="889"/>
      <c r="H39" s="889">
        <f>+H10+H33-H35</f>
        <v>0</v>
      </c>
      <c r="M39" s="868"/>
      <c r="N39" s="491"/>
      <c r="O39" s="491"/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E66300"/>
    <pageSetUpPr fitToPage="1"/>
  </sheetPr>
  <dimension ref="A1:AS198"/>
  <sheetViews>
    <sheetView zoomScale="85" zoomScaleNormal="85" workbookViewId="0">
      <pane ySplit="10" topLeftCell="A11" activePane="bottomLeft" state="frozen"/>
      <selection activeCell="AT80" sqref="AT80"/>
      <selection pane="bottomLeft" activeCell="G13" sqref="G13"/>
    </sheetView>
  </sheetViews>
  <sheetFormatPr defaultColWidth="9.140625" defaultRowHeight="12.75" outlineLevelCol="2" x14ac:dyDescent="0.2"/>
  <cols>
    <col min="1" max="1" width="5" style="288" bestFit="1" customWidth="1"/>
    <col min="2" max="2" width="76.42578125" style="288" bestFit="1" customWidth="1"/>
    <col min="3" max="3" width="25.85546875" style="288" customWidth="1"/>
    <col min="4" max="4" width="5" style="288" customWidth="1" outlineLevel="1"/>
    <col min="5" max="5" width="41.7109375" style="288" customWidth="1" outlineLevel="1"/>
    <col min="6" max="8" width="12.140625" style="288" customWidth="1" outlineLevel="1"/>
    <col min="9" max="9" width="5" style="288" customWidth="1" outlineLevel="1"/>
    <col min="10" max="10" width="61.7109375" style="288" customWidth="1"/>
    <col min="11" max="11" width="11.5703125" style="288" bestFit="1" customWidth="1" outlineLevel="1"/>
    <col min="12" max="12" width="9.140625" style="288" customWidth="1" outlineLevel="1"/>
    <col min="13" max="13" width="11.7109375" style="288" customWidth="1" outlineLevel="1"/>
    <col min="14" max="14" width="5" style="288" customWidth="1" outlineLevel="1"/>
    <col min="15" max="15" width="77.85546875" style="288" customWidth="1" outlineLevel="1"/>
    <col min="16" max="16" width="25" style="288" customWidth="1" outlineLevel="1"/>
    <col min="17" max="17" width="5.140625" style="288" customWidth="1" outlineLevel="1"/>
    <col min="18" max="18" width="43.42578125" style="288" customWidth="1" outlineLevel="1"/>
    <col min="19" max="19" width="16.85546875" style="288" customWidth="1" outlineLevel="1"/>
    <col min="20" max="20" width="13.42578125" style="288" customWidth="1" outlineLevel="1"/>
    <col min="21" max="21" width="12.28515625" style="288" customWidth="1" outlineLevel="1"/>
    <col min="22" max="22" width="4.42578125" style="288" customWidth="1" outlineLevel="1"/>
    <col min="23" max="23" width="47" style="288" customWidth="1" outlineLevel="1"/>
    <col min="24" max="24" width="14.5703125" style="288" hidden="1" customWidth="1" outlineLevel="2"/>
    <col min="25" max="25" width="25.140625" style="288" hidden="1" customWidth="1" outlineLevel="2"/>
    <col min="26" max="26" width="4.5703125" style="288" hidden="1" customWidth="1" outlineLevel="2"/>
    <col min="27" max="27" width="20.85546875" style="288" hidden="1" customWidth="1" outlineLevel="2"/>
    <col min="28" max="28" width="13.140625" style="288" hidden="1" customWidth="1" outlineLevel="2"/>
    <col min="29" max="29" width="9.140625" style="288" hidden="1" customWidth="1" outlineLevel="2"/>
    <col min="30" max="30" width="14.5703125" style="288" customWidth="1" outlineLevel="1" collapsed="1"/>
    <col min="31" max="31" width="25.140625" style="288" customWidth="1" outlineLevel="1"/>
    <col min="32" max="32" width="4.5703125" style="288" customWidth="1" outlineLevel="1"/>
    <col min="33" max="33" width="17.28515625" style="288" customWidth="1" outlineLevel="1"/>
    <col min="34" max="34" width="13.140625" style="288" customWidth="1" outlineLevel="1"/>
    <col min="35" max="35" width="9.140625" style="288" customWidth="1" outlineLevel="1"/>
    <col min="36" max="37" width="9.140625" style="288"/>
    <col min="38" max="38" width="15.28515625" style="288" bestFit="1" customWidth="1"/>
    <col min="39" max="39" width="19.42578125" style="288" customWidth="1"/>
    <col min="40" max="40" width="12.28515625" style="288" bestFit="1" customWidth="1"/>
    <col min="41" max="41" width="15.28515625" style="288" bestFit="1" customWidth="1"/>
    <col min="42" max="44" width="9.140625" style="288"/>
    <col min="45" max="45" width="16.7109375" style="288" customWidth="1"/>
    <col min="46" max="16384" width="9.140625" style="288"/>
  </cols>
  <sheetData>
    <row r="1" spans="1:41" ht="18" x14ac:dyDescent="0.25">
      <c r="C1" s="369" t="s">
        <v>606</v>
      </c>
      <c r="G1" s="367" t="s">
        <v>727</v>
      </c>
      <c r="H1" s="368"/>
      <c r="K1" s="367" t="s">
        <v>607</v>
      </c>
      <c r="L1" s="370"/>
      <c r="M1" s="368"/>
      <c r="P1" s="369" t="s">
        <v>608</v>
      </c>
      <c r="T1" s="367" t="s">
        <v>620</v>
      </c>
      <c r="U1" s="493"/>
      <c r="V1" s="590" t="s">
        <v>686</v>
      </c>
      <c r="W1" s="589"/>
      <c r="X1" s="556"/>
      <c r="Y1" s="556"/>
      <c r="Z1" s="556"/>
      <c r="AA1" s="556"/>
      <c r="AB1" s="556"/>
      <c r="AC1" s="556"/>
      <c r="AD1" s="586"/>
      <c r="AE1" s="586"/>
      <c r="AF1" s="586"/>
      <c r="AG1" s="367" t="s">
        <v>687</v>
      </c>
      <c r="AH1" s="493"/>
    </row>
    <row r="2" spans="1:41" ht="18" x14ac:dyDescent="0.25">
      <c r="A2" s="90" t="s">
        <v>45</v>
      </c>
      <c r="B2" s="90"/>
      <c r="C2" s="90"/>
      <c r="D2" s="90" t="s">
        <v>45</v>
      </c>
      <c r="E2" s="90"/>
      <c r="F2" s="90"/>
      <c r="G2" s="90"/>
      <c r="H2" s="90"/>
      <c r="I2" s="90"/>
      <c r="J2" s="90" t="s">
        <v>45</v>
      </c>
      <c r="K2" s="29"/>
      <c r="L2" s="29"/>
      <c r="M2" s="29"/>
      <c r="N2" s="90" t="s">
        <v>45</v>
      </c>
      <c r="O2" s="90"/>
      <c r="P2" s="90"/>
      <c r="Q2" s="90" t="s">
        <v>45</v>
      </c>
      <c r="R2" s="90"/>
      <c r="S2" s="90"/>
      <c r="T2" s="29"/>
      <c r="U2" s="29"/>
      <c r="V2" s="588" t="s">
        <v>685</v>
      </c>
      <c r="W2" s="584"/>
      <c r="X2" s="556"/>
      <c r="Y2" s="556"/>
      <c r="Z2" s="556"/>
      <c r="AA2" s="556"/>
      <c r="AB2" s="556"/>
      <c r="AC2" s="556"/>
      <c r="AD2" s="586"/>
      <c r="AE2" s="586"/>
      <c r="AF2" s="586"/>
      <c r="AG2" s="586"/>
      <c r="AH2" s="587"/>
    </row>
    <row r="3" spans="1:41" ht="16.5" thickBot="1" x14ac:dyDescent="0.3">
      <c r="A3" s="90" t="s">
        <v>72</v>
      </c>
      <c r="B3" s="90"/>
      <c r="C3" s="90"/>
      <c r="D3" s="90" t="s">
        <v>72</v>
      </c>
      <c r="E3" s="90"/>
      <c r="F3" s="90"/>
      <c r="G3" s="90"/>
      <c r="H3" s="90"/>
      <c r="I3" s="90"/>
      <c r="J3" s="90" t="s">
        <v>72</v>
      </c>
      <c r="K3" s="29"/>
      <c r="L3" s="29"/>
      <c r="M3" s="29"/>
      <c r="N3" s="90" t="s">
        <v>72</v>
      </c>
      <c r="O3" s="90"/>
      <c r="P3" s="90"/>
      <c r="Q3" s="90" t="s">
        <v>72</v>
      </c>
      <c r="R3" s="90"/>
      <c r="S3" s="90"/>
      <c r="T3" s="29"/>
      <c r="U3" s="29"/>
      <c r="V3" s="585"/>
      <c r="W3" s="584"/>
      <c r="X3" s="556"/>
      <c r="Y3" s="556"/>
      <c r="Z3" s="556"/>
      <c r="AA3" s="556"/>
      <c r="AB3" s="556"/>
      <c r="AC3" s="556"/>
      <c r="AD3" s="586"/>
      <c r="AE3" s="586"/>
      <c r="AF3" s="586"/>
      <c r="AG3" s="586"/>
      <c r="AH3" s="497"/>
    </row>
    <row r="4" spans="1:41" ht="20.25" thickBot="1" x14ac:dyDescent="0.4">
      <c r="A4" s="90" t="str">
        <f>CASE_E</f>
        <v>2019 GENERAL RATE CASE</v>
      </c>
      <c r="B4" s="90"/>
      <c r="C4" s="90"/>
      <c r="D4" s="90" t="str">
        <f>CASE_E</f>
        <v>2019 GENERAL RATE CASE</v>
      </c>
      <c r="E4" s="90"/>
      <c r="F4" s="90"/>
      <c r="G4" s="90"/>
      <c r="H4" s="90"/>
      <c r="I4" s="90"/>
      <c r="J4" s="90" t="str">
        <f>CASE_E</f>
        <v>2019 GENERAL RATE CASE</v>
      </c>
      <c r="K4" s="29"/>
      <c r="L4" s="29"/>
      <c r="M4" s="29"/>
      <c r="N4" s="90" t="str">
        <f>CASE_E</f>
        <v>2019 GENERAL RATE CASE</v>
      </c>
      <c r="O4" s="90"/>
      <c r="P4" s="90"/>
      <c r="Q4" s="90" t="str">
        <f>CASE_E</f>
        <v>2019 GENERAL RATE CASE</v>
      </c>
      <c r="R4" s="90"/>
      <c r="S4" s="90"/>
      <c r="T4" s="29"/>
      <c r="U4" s="29"/>
      <c r="V4" s="585"/>
      <c r="W4" s="584"/>
      <c r="X4" s="582" t="s">
        <v>684</v>
      </c>
      <c r="Y4" s="581"/>
      <c r="Z4" s="581"/>
      <c r="AA4" s="580"/>
      <c r="AB4" s="579"/>
      <c r="AC4" s="583"/>
      <c r="AD4" s="582" t="s">
        <v>683</v>
      </c>
      <c r="AE4" s="581"/>
      <c r="AF4" s="581"/>
      <c r="AG4" s="580"/>
      <c r="AH4" s="579"/>
    </row>
    <row r="5" spans="1:41" ht="15" x14ac:dyDescent="0.25">
      <c r="A5" s="90" t="str">
        <f>TESTYEAR_E</f>
        <v>12 MONTHS ENDED DECEMBER 31, 2018</v>
      </c>
      <c r="B5" s="90"/>
      <c r="C5" s="90"/>
      <c r="D5" s="90" t="str">
        <f>TESTYEAR_E</f>
        <v>12 MONTHS ENDED DECEMBER 31, 2018</v>
      </c>
      <c r="E5" s="90"/>
      <c r="F5" s="90"/>
      <c r="G5" s="90"/>
      <c r="H5" s="90"/>
      <c r="I5" s="90"/>
      <c r="J5" s="90" t="str">
        <f>TESTYEAR_E</f>
        <v>12 MONTHS ENDED DECEMBER 31, 2018</v>
      </c>
      <c r="K5" s="29"/>
      <c r="L5" s="29"/>
      <c r="M5" s="29"/>
      <c r="N5" s="90" t="str">
        <f>TESTYEAR_E</f>
        <v>12 MONTHS ENDED DECEMBER 31, 2018</v>
      </c>
      <c r="O5" s="90"/>
      <c r="P5" s="90"/>
      <c r="Q5" s="90" t="str">
        <f>TESTYEAR_E</f>
        <v>12 MONTHS ENDED DECEMBER 31, 2018</v>
      </c>
      <c r="R5" s="90"/>
      <c r="S5" s="90"/>
      <c r="T5" s="29"/>
      <c r="U5" s="29"/>
      <c r="V5" s="501" t="s">
        <v>682</v>
      </c>
      <c r="W5" s="539"/>
      <c r="X5" s="576" t="s">
        <v>681</v>
      </c>
      <c r="Y5" s="578"/>
      <c r="Z5" s="578"/>
      <c r="AA5" s="578"/>
      <c r="AB5" s="577"/>
      <c r="AC5" s="556"/>
      <c r="AD5" s="576" t="s">
        <v>681</v>
      </c>
      <c r="AE5" s="575"/>
      <c r="AF5" s="575"/>
      <c r="AG5" s="575"/>
      <c r="AH5" s="574"/>
    </row>
    <row r="6" spans="1:41" s="91" customFormat="1" ht="15" x14ac:dyDescent="0.25">
      <c r="A6" s="129" t="s">
        <v>79</v>
      </c>
      <c r="B6" s="90"/>
      <c r="C6" s="90"/>
      <c r="D6" s="129" t="s">
        <v>352</v>
      </c>
      <c r="E6" s="129"/>
      <c r="F6" s="90"/>
      <c r="G6" s="90"/>
      <c r="H6" s="90"/>
      <c r="I6" s="90"/>
      <c r="J6" s="129" t="s">
        <v>78</v>
      </c>
      <c r="K6" s="90"/>
      <c r="L6" s="90"/>
      <c r="M6" s="90"/>
      <c r="N6" s="129" t="s">
        <v>79</v>
      </c>
      <c r="O6" s="90"/>
      <c r="P6" s="90"/>
      <c r="Q6" s="129" t="s">
        <v>79</v>
      </c>
      <c r="R6" s="90"/>
      <c r="S6" s="90"/>
      <c r="T6" s="90"/>
      <c r="U6" s="90"/>
      <c r="V6" s="501">
        <v>3</v>
      </c>
      <c r="W6" s="516" t="s">
        <v>680</v>
      </c>
      <c r="X6" s="548">
        <v>199079031.3739852</v>
      </c>
      <c r="Y6" s="573"/>
      <c r="Z6" s="573"/>
      <c r="AA6" s="573"/>
      <c r="AB6" s="572"/>
      <c r="AC6" s="556"/>
      <c r="AD6" s="548">
        <f>+X6</f>
        <v>199079031.3739852</v>
      </c>
      <c r="AE6" s="571"/>
      <c r="AF6" s="571"/>
      <c r="AG6" s="571"/>
      <c r="AH6" s="570"/>
    </row>
    <row r="7" spans="1:41" ht="15" x14ac:dyDescent="0.25">
      <c r="B7" s="29"/>
      <c r="C7" s="29"/>
      <c r="E7" s="29"/>
      <c r="F7" s="29"/>
      <c r="G7" s="29"/>
      <c r="H7" s="29"/>
      <c r="I7" s="29"/>
      <c r="J7" s="29"/>
      <c r="K7" s="29"/>
      <c r="L7" s="29"/>
      <c r="M7" s="29"/>
      <c r="O7" s="29"/>
      <c r="P7" s="29"/>
      <c r="V7" s="501">
        <v>4</v>
      </c>
      <c r="W7" s="516" t="s">
        <v>679</v>
      </c>
      <c r="X7" s="538">
        <v>85738601.034227908</v>
      </c>
      <c r="Y7" s="518"/>
      <c r="Z7" s="518"/>
      <c r="AA7" s="518"/>
      <c r="AB7" s="517"/>
      <c r="AC7" s="556"/>
      <c r="AD7" s="538">
        <f>+X7</f>
        <v>85738601.034227908</v>
      </c>
      <c r="AE7" s="518"/>
      <c r="AF7" s="518"/>
      <c r="AG7" s="518"/>
      <c r="AH7" s="517"/>
    </row>
    <row r="8" spans="1:41" ht="15" x14ac:dyDescent="0.25">
      <c r="I8" s="29"/>
      <c r="J8" s="29"/>
      <c r="K8" s="29"/>
      <c r="L8" s="29"/>
      <c r="V8" s="501">
        <v>5</v>
      </c>
      <c r="W8" s="516" t="s">
        <v>678</v>
      </c>
      <c r="X8" s="538">
        <v>1961447671.7378278</v>
      </c>
      <c r="Y8" s="518"/>
      <c r="Z8" s="569"/>
      <c r="AA8" s="567" t="s">
        <v>677</v>
      </c>
      <c r="AB8" s="561">
        <v>3.8393999999999998E-2</v>
      </c>
      <c r="AC8" s="556"/>
      <c r="AD8" s="538">
        <f>+X8</f>
        <v>1961447671.7378278</v>
      </c>
      <c r="AE8" s="518"/>
      <c r="AF8" s="568"/>
      <c r="AG8" s="567" t="s">
        <v>676</v>
      </c>
      <c r="AH8" s="566">
        <v>3.8172439532610514E-2</v>
      </c>
    </row>
    <row r="9" spans="1:41" ht="15" x14ac:dyDescent="0.25">
      <c r="A9" s="3" t="s">
        <v>43</v>
      </c>
      <c r="B9" s="3"/>
      <c r="D9" s="3" t="s">
        <v>43</v>
      </c>
      <c r="E9" s="3"/>
      <c r="F9" s="292" t="s">
        <v>361</v>
      </c>
      <c r="H9" s="292" t="s">
        <v>363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1"/>
      <c r="S9" s="292"/>
      <c r="T9" s="292" t="s">
        <v>619</v>
      </c>
      <c r="U9" s="292"/>
      <c r="V9" s="501">
        <v>6</v>
      </c>
      <c r="W9" s="500"/>
      <c r="X9" s="564">
        <f>SUM(X6:X8)</f>
        <v>2246265304.1460409</v>
      </c>
      <c r="Y9" s="563"/>
      <c r="Z9" s="551"/>
      <c r="AA9" s="565"/>
      <c r="AB9" s="561">
        <f>1-AB8</f>
        <v>0.96160599999999996</v>
      </c>
      <c r="AC9" s="556"/>
      <c r="AD9" s="564">
        <f>SUM(AD6:AD8)</f>
        <v>2246265304.1460409</v>
      </c>
      <c r="AE9" s="563"/>
      <c r="AF9" s="558"/>
      <c r="AG9" s="562"/>
      <c r="AH9" s="561">
        <f>1-AH8</f>
        <v>0.96182756046738949</v>
      </c>
    </row>
    <row r="10" spans="1:41" ht="15" x14ac:dyDescent="0.25">
      <c r="A10" s="404" t="s">
        <v>44</v>
      </c>
      <c r="B10" s="404" t="s">
        <v>73</v>
      </c>
      <c r="C10" s="266"/>
      <c r="D10" s="404" t="s">
        <v>44</v>
      </c>
      <c r="E10" s="404" t="s">
        <v>73</v>
      </c>
      <c r="F10" s="408" t="s">
        <v>362</v>
      </c>
      <c r="G10" s="408" t="s">
        <v>343</v>
      </c>
      <c r="H10" s="408" t="s">
        <v>343</v>
      </c>
      <c r="I10" s="404" t="s">
        <v>44</v>
      </c>
      <c r="J10" s="404" t="s">
        <v>73</v>
      </c>
      <c r="K10" s="404"/>
      <c r="L10" s="266"/>
      <c r="M10" s="266"/>
      <c r="N10" s="404" t="s">
        <v>44</v>
      </c>
      <c r="O10" s="404" t="s">
        <v>73</v>
      </c>
      <c r="P10" s="404" t="s">
        <v>604</v>
      </c>
      <c r="Q10" s="404" t="s">
        <v>44</v>
      </c>
      <c r="R10" s="408" t="s">
        <v>122</v>
      </c>
      <c r="S10" s="408" t="s">
        <v>618</v>
      </c>
      <c r="T10" s="408" t="s">
        <v>617</v>
      </c>
      <c r="U10" s="408" t="s">
        <v>616</v>
      </c>
      <c r="V10" s="501">
        <v>7</v>
      </c>
      <c r="W10" s="516" t="s">
        <v>675</v>
      </c>
      <c r="X10" s="560">
        <v>6.5500000000000003E-2</v>
      </c>
      <c r="Y10" s="559"/>
      <c r="Z10" s="551"/>
      <c r="AA10" s="551" t="s">
        <v>626</v>
      </c>
      <c r="AB10" s="555" t="s">
        <v>674</v>
      </c>
      <c r="AC10" s="556"/>
      <c r="AD10" s="560">
        <f>+X10</f>
        <v>6.5500000000000003E-2</v>
      </c>
      <c r="AE10" s="559"/>
      <c r="AF10" s="558"/>
      <c r="AG10" s="551" t="s">
        <v>626</v>
      </c>
      <c r="AH10" s="555" t="s">
        <v>674</v>
      </c>
    </row>
    <row r="11" spans="1:41" ht="15" x14ac:dyDescent="0.25">
      <c r="R11"/>
      <c r="S11"/>
      <c r="T11"/>
      <c r="U11"/>
      <c r="V11" s="501">
        <v>8</v>
      </c>
      <c r="W11" s="557"/>
      <c r="X11" s="553"/>
      <c r="Y11" s="551" t="s">
        <v>673</v>
      </c>
      <c r="Z11" s="551"/>
      <c r="AA11" s="551" t="s">
        <v>672</v>
      </c>
      <c r="AB11" s="555" t="s">
        <v>672</v>
      </c>
      <c r="AC11" s="556"/>
      <c r="AD11" s="553"/>
      <c r="AE11" s="551" t="s">
        <v>673</v>
      </c>
      <c r="AF11" s="551"/>
      <c r="AG11" s="551" t="s">
        <v>672</v>
      </c>
      <c r="AH11" s="555" t="s">
        <v>672</v>
      </c>
      <c r="AK11" s="672" t="s">
        <v>772</v>
      </c>
      <c r="AL11" s="673"/>
      <c r="AM11" s="674" t="s">
        <v>771</v>
      </c>
      <c r="AO11" s="288" t="s">
        <v>773</v>
      </c>
    </row>
    <row r="12" spans="1:41" ht="15" x14ac:dyDescent="0.25">
      <c r="A12" s="282">
        <v>1</v>
      </c>
      <c r="B12" s="155" t="s">
        <v>74</v>
      </c>
      <c r="C12" s="145">
        <f>Summary!G48</f>
        <v>5250432178.1150761</v>
      </c>
      <c r="D12" s="282">
        <v>1</v>
      </c>
      <c r="E12" s="155" t="s">
        <v>211</v>
      </c>
      <c r="F12" s="137">
        <f>'[51]New Format'!$C$10</f>
        <v>0.51500000000000001</v>
      </c>
      <c r="G12" s="137">
        <f>+'[51]New Format'!$D$10</f>
        <v>5.5728155339805824E-2</v>
      </c>
      <c r="H12" s="137">
        <f>ROUND(F12*G12,4)</f>
        <v>2.87E-2</v>
      </c>
      <c r="I12" s="282">
        <v>1</v>
      </c>
      <c r="J12" s="246" t="s">
        <v>82</v>
      </c>
      <c r="K12" s="155"/>
      <c r="L12" s="155"/>
      <c r="M12" s="160">
        <f>'BGM-9 (3) Common Adj'!AY15</f>
        <v>8.4790000000000004E-3</v>
      </c>
      <c r="N12" s="282">
        <v>1</v>
      </c>
      <c r="O12" s="155" t="s">
        <v>725</v>
      </c>
      <c r="P12" s="145">
        <f>'[48]RJA-3_Electric_Attrition'!$M$116</f>
        <v>117442323.82584529</v>
      </c>
      <c r="Q12" s="282">
        <v>1</v>
      </c>
      <c r="R12" s="288" t="s">
        <v>615</v>
      </c>
      <c r="S12" s="145">
        <f>'[52]Exhibit A-1'!$G$36</f>
        <v>706161157.80466747</v>
      </c>
      <c r="T12" s="145">
        <f>'COC, Def, ConvF'!AH37</f>
        <v>670031043.74581277</v>
      </c>
      <c r="V12" s="501">
        <v>9</v>
      </c>
      <c r="W12" s="554"/>
      <c r="X12" s="553"/>
      <c r="Y12" s="551" t="s">
        <v>671</v>
      </c>
      <c r="Z12" s="550" t="s">
        <v>670</v>
      </c>
      <c r="AA12" s="550" t="s">
        <v>669</v>
      </c>
      <c r="AB12" s="549" t="s">
        <v>668</v>
      </c>
      <c r="AC12" s="498"/>
      <c r="AD12" s="553"/>
      <c r="AE12" s="551" t="s">
        <v>671</v>
      </c>
      <c r="AF12" s="550" t="s">
        <v>670</v>
      </c>
      <c r="AG12" s="550" t="s">
        <v>669</v>
      </c>
      <c r="AH12" s="549" t="s">
        <v>668</v>
      </c>
      <c r="AK12" s="675">
        <v>1</v>
      </c>
      <c r="AL12" s="673">
        <v>5428588080.5290194</v>
      </c>
      <c r="AM12" s="673">
        <f>+C12-AL12</f>
        <v>-178155902.41394329</v>
      </c>
      <c r="AO12" s="145">
        <f>+'[53]COC, Def, ConvF'!C12</f>
        <v>5428588080.5290194</v>
      </c>
    </row>
    <row r="13" spans="1:41" ht="15" x14ac:dyDescent="0.25">
      <c r="A13" s="282">
        <f t="shared" ref="A13:A40" si="0">A12+1</f>
        <v>2</v>
      </c>
      <c r="B13" s="246" t="s">
        <v>31</v>
      </c>
      <c r="C13" s="137">
        <f>H14</f>
        <v>7.4300000000000005E-2</v>
      </c>
      <c r="D13" s="282">
        <f t="shared" ref="D13:D18" si="1">D12+1</f>
        <v>2</v>
      </c>
      <c r="E13" s="155" t="s">
        <v>80</v>
      </c>
      <c r="F13" s="137">
        <f>'[51]New Format'!$C$11</f>
        <v>0.48499999999999999</v>
      </c>
      <c r="G13" s="910">
        <f>+'Exh. No. BGM-9 (1)'!AJ11</f>
        <v>9.4E-2</v>
      </c>
      <c r="H13" s="137">
        <f>ROUND(F13*G13,4)</f>
        <v>4.5600000000000002E-2</v>
      </c>
      <c r="I13" s="282">
        <f t="shared" ref="I13:I20" si="2">I12+1</f>
        <v>2</v>
      </c>
      <c r="J13" s="246" t="s">
        <v>83</v>
      </c>
      <c r="K13" s="155"/>
      <c r="L13" s="155"/>
      <c r="M13" s="160">
        <f>+'[54]4.01 E'!$E$15</f>
        <v>2E-3</v>
      </c>
      <c r="N13" s="282">
        <f>N12+1</f>
        <v>2</v>
      </c>
      <c r="O13" s="155" t="s">
        <v>724</v>
      </c>
      <c r="P13" s="97">
        <f>C26</f>
        <v>-3117000</v>
      </c>
      <c r="Q13" s="282">
        <f>Q12+1</f>
        <v>2</v>
      </c>
      <c r="R13" s="288" t="s">
        <v>614</v>
      </c>
      <c r="S13" s="494">
        <f>'[52]Exhibit A-1'!$G$37</f>
        <v>0.95111500000000004</v>
      </c>
      <c r="T13" s="494">
        <f>'COC, Def, ConvF'!AD38</f>
        <v>0.95238599999999995</v>
      </c>
      <c r="V13" s="501" t="s">
        <v>667</v>
      </c>
      <c r="W13" s="516"/>
      <c r="X13" s="552" t="s">
        <v>666</v>
      </c>
      <c r="Y13" s="551" t="s">
        <v>665</v>
      </c>
      <c r="Z13" s="551" t="s">
        <v>664</v>
      </c>
      <c r="AA13" s="550" t="s">
        <v>663</v>
      </c>
      <c r="AB13" s="549" t="s">
        <v>662</v>
      </c>
      <c r="AC13" s="498"/>
      <c r="AD13" s="552" t="s">
        <v>666</v>
      </c>
      <c r="AE13" s="551" t="s">
        <v>665</v>
      </c>
      <c r="AF13" s="551" t="s">
        <v>664</v>
      </c>
      <c r="AG13" s="550" t="s">
        <v>663</v>
      </c>
      <c r="AH13" s="549" t="s">
        <v>662</v>
      </c>
      <c r="AK13" s="675">
        <v>2</v>
      </c>
      <c r="AL13" s="676">
        <v>7.6200000000000004E-2</v>
      </c>
      <c r="AM13" s="673">
        <f t="shared" ref="AM13:AM40" si="3">+C13-AL13</f>
        <v>-1.8999999999999989E-3</v>
      </c>
      <c r="AO13" s="137">
        <f>+'[53]COC, Def, ConvF'!C13</f>
        <v>7.6200000000000004E-2</v>
      </c>
    </row>
    <row r="14" spans="1:41" ht="15" x14ac:dyDescent="0.25">
      <c r="A14" s="282">
        <f t="shared" si="0"/>
        <v>3</v>
      </c>
      <c r="B14" s="246"/>
      <c r="C14" s="317"/>
      <c r="D14" s="282">
        <f t="shared" si="1"/>
        <v>3</v>
      </c>
      <c r="E14" s="155" t="s">
        <v>66</v>
      </c>
      <c r="F14" s="412">
        <f>SUM(F12:F13)</f>
        <v>1</v>
      </c>
      <c r="G14" s="317"/>
      <c r="H14" s="413">
        <f>SUM(H12:H13)</f>
        <v>7.4300000000000005E-2</v>
      </c>
      <c r="I14" s="282">
        <f t="shared" si="2"/>
        <v>3</v>
      </c>
      <c r="J14" s="246" t="str">
        <f>"STATE UTILITY TAX ( "&amp;M14*100&amp;"% - ( LINE 1 * "&amp;M14*100&amp;"% )  )"</f>
        <v>STATE UTILITY TAX ( 3.8406% - ( LINE 1 * 3.8406% )  )</v>
      </c>
      <c r="L14" s="131">
        <f>'[54]4.01 E'!$D$16</f>
        <v>3.8733999999999998E-2</v>
      </c>
      <c r="M14" s="414">
        <f>ROUND(L14-(L14*M12),6)</f>
        <v>3.8406000000000003E-2</v>
      </c>
      <c r="N14" s="282">
        <f>N13+1</f>
        <v>3</v>
      </c>
      <c r="O14" s="155" t="s">
        <v>605</v>
      </c>
      <c r="P14" s="97">
        <f>U18</f>
        <v>31284324.341942821</v>
      </c>
      <c r="Q14" s="282">
        <f t="shared" ref="Q14:Q18" si="4">Q13+1</f>
        <v>3</v>
      </c>
      <c r="R14" s="288" t="s">
        <v>613</v>
      </c>
      <c r="S14" s="495">
        <f>S12/S13</f>
        <v>742456125.49972129</v>
      </c>
      <c r="T14" s="495">
        <f>T12/T13</f>
        <v>703528867.23010707</v>
      </c>
      <c r="V14" s="501">
        <v>10</v>
      </c>
      <c r="W14" s="516" t="s">
        <v>661</v>
      </c>
      <c r="X14" s="548">
        <f>X6*$AD$10/0.65</f>
        <v>20061040.853840046</v>
      </c>
      <c r="Y14" s="537">
        <f t="shared" ref="Y14:Y35" si="5">+X14/$X$40</f>
        <v>0.96804716672893398</v>
      </c>
      <c r="Z14" s="532" t="s">
        <v>632</v>
      </c>
      <c r="AA14" s="547">
        <f>+X14</f>
        <v>20061040.853840046</v>
      </c>
      <c r="AB14" s="546">
        <v>0</v>
      </c>
      <c r="AC14" s="534"/>
      <c r="AD14" s="548">
        <f>AD6*$AD$10/0.65</f>
        <v>20061040.853840046</v>
      </c>
      <c r="AE14" s="537">
        <f t="shared" ref="AE14:AE35" si="6">+AD14/$AD$40</f>
        <v>0.98905888701150779</v>
      </c>
      <c r="AF14" s="532" t="s">
        <v>632</v>
      </c>
      <c r="AG14" s="547">
        <f>+AD14</f>
        <v>20061040.853840046</v>
      </c>
      <c r="AH14" s="546">
        <v>0</v>
      </c>
      <c r="AK14" s="675">
        <v>3</v>
      </c>
      <c r="AL14" s="677"/>
      <c r="AM14" s="673">
        <f t="shared" si="3"/>
        <v>0</v>
      </c>
      <c r="AO14" s="317"/>
    </row>
    <row r="15" spans="1:41" ht="15" x14ac:dyDescent="0.25">
      <c r="A15" s="282">
        <f t="shared" si="0"/>
        <v>4</v>
      </c>
      <c r="B15" s="155" t="s">
        <v>75</v>
      </c>
      <c r="C15" s="158">
        <f>+C13*C12</f>
        <v>390107110.83395016</v>
      </c>
      <c r="D15" s="282">
        <f t="shared" si="1"/>
        <v>4</v>
      </c>
      <c r="E15" s="155"/>
      <c r="I15" s="282">
        <f t="shared" si="2"/>
        <v>4</v>
      </c>
      <c r="J15" s="246"/>
      <c r="K15" s="155"/>
      <c r="L15" s="155"/>
      <c r="M15" s="132"/>
      <c r="N15" s="282">
        <f t="shared" ref="N15:N16" si="7">N14+1</f>
        <v>4</v>
      </c>
      <c r="P15" s="229"/>
      <c r="Q15" s="282">
        <f t="shared" si="4"/>
        <v>4</v>
      </c>
      <c r="R15" s="288" t="s">
        <v>612</v>
      </c>
      <c r="S15" s="100">
        <f>'[52]Exhibit A-1'!$C$39</f>
        <v>20503307.194246825</v>
      </c>
      <c r="T15" s="100">
        <f>'COC, Def, ConvF'!AD40</f>
        <v>20282959</v>
      </c>
      <c r="V15" s="501" t="s">
        <v>660</v>
      </c>
      <c r="W15" s="516" t="s">
        <v>659</v>
      </c>
      <c r="X15" s="538">
        <v>4769481.1386719989</v>
      </c>
      <c r="Y15" s="537">
        <f t="shared" si="5"/>
        <v>0.23015170233177235</v>
      </c>
      <c r="Z15" s="532" t="s">
        <v>637</v>
      </c>
      <c r="AA15" s="518"/>
      <c r="AB15" s="541">
        <f>+X15</f>
        <v>4769481.1386719989</v>
      </c>
      <c r="AC15" s="534"/>
      <c r="AD15" s="538">
        <f>+X15/$AB$9*$AH$9</f>
        <v>4770580.0590929296</v>
      </c>
      <c r="AE15" s="537">
        <f t="shared" si="6"/>
        <v>0.23520138551248512</v>
      </c>
      <c r="AF15" s="532" t="s">
        <v>637</v>
      </c>
      <c r="AG15" s="518"/>
      <c r="AH15" s="541">
        <f>+AD15</f>
        <v>4770580.0590929296</v>
      </c>
      <c r="AK15" s="675">
        <v>4</v>
      </c>
      <c r="AL15" s="678">
        <v>413658411.73631132</v>
      </c>
      <c r="AM15" s="673">
        <f t="shared" si="3"/>
        <v>-23551300.902361155</v>
      </c>
      <c r="AO15" s="158">
        <f>+AO13*AO12</f>
        <v>413658411.73631132</v>
      </c>
    </row>
    <row r="16" spans="1:41" ht="15.75" thickBot="1" x14ac:dyDescent="0.3">
      <c r="A16" s="282">
        <f t="shared" si="0"/>
        <v>5</v>
      </c>
      <c r="B16" s="155"/>
      <c r="C16" s="289"/>
      <c r="D16" s="282">
        <f t="shared" si="1"/>
        <v>5</v>
      </c>
      <c r="E16" s="155" t="s">
        <v>360</v>
      </c>
      <c r="F16" s="130">
        <f>+F12</f>
        <v>0.51500000000000001</v>
      </c>
      <c r="G16" s="130">
        <f>G12*0.79</f>
        <v>4.40252427184466E-2</v>
      </c>
      <c r="H16" s="130">
        <f>ROUND(H12*0.79,4)</f>
        <v>2.2700000000000001E-2</v>
      </c>
      <c r="I16" s="282">
        <f t="shared" si="2"/>
        <v>5</v>
      </c>
      <c r="J16" s="246" t="s">
        <v>84</v>
      </c>
      <c r="K16" s="155"/>
      <c r="L16" s="155"/>
      <c r="M16" s="160">
        <f>ROUND(SUM(M12:M14),6)</f>
        <v>4.8884999999999998E-2</v>
      </c>
      <c r="N16" s="282">
        <f t="shared" si="7"/>
        <v>5</v>
      </c>
      <c r="O16" s="288" t="s">
        <v>601</v>
      </c>
      <c r="P16" s="684">
        <f>SUM(P12:P15)</f>
        <v>145609648.16778812</v>
      </c>
      <c r="Q16" s="282">
        <f t="shared" si="4"/>
        <v>5</v>
      </c>
      <c r="R16" s="288" t="s">
        <v>611</v>
      </c>
      <c r="S16" s="496">
        <f>S14/S15</f>
        <v>36.211530094425576</v>
      </c>
      <c r="T16" s="496">
        <f>T14/T15</f>
        <v>34.685711647403473</v>
      </c>
      <c r="U16" s="226">
        <f>S16-T16</f>
        <v>1.5258184470221039</v>
      </c>
      <c r="V16" s="501">
        <v>11</v>
      </c>
      <c r="W16" s="500" t="s">
        <v>658</v>
      </c>
      <c r="X16" s="520">
        <f>X7*$AD$10/0.65</f>
        <v>8639812.8734491207</v>
      </c>
      <c r="Y16" s="537">
        <f t="shared" si="5"/>
        <v>0.41691487665803839</v>
      </c>
      <c r="Z16" s="532" t="s">
        <v>632</v>
      </c>
      <c r="AA16" s="536">
        <f>+X16</f>
        <v>8639812.8734491207</v>
      </c>
      <c r="AB16" s="517"/>
      <c r="AC16" s="534"/>
      <c r="AD16" s="545">
        <f>AD7*$AD$10/0.65</f>
        <v>8639812.8734491207</v>
      </c>
      <c r="AE16" s="537">
        <f t="shared" si="6"/>
        <v>0.42596412453671678</v>
      </c>
      <c r="AF16" s="532" t="s">
        <v>632</v>
      </c>
      <c r="AG16" s="536">
        <f>+AD16</f>
        <v>8639812.8734491207</v>
      </c>
      <c r="AH16" s="517"/>
      <c r="AK16" s="675">
        <v>5</v>
      </c>
      <c r="AL16" s="674"/>
      <c r="AM16" s="673">
        <f t="shared" si="3"/>
        <v>0</v>
      </c>
      <c r="AO16" s="289"/>
    </row>
    <row r="17" spans="1:41" ht="15.75" thickTop="1" x14ac:dyDescent="0.25">
      <c r="A17" s="282">
        <f t="shared" si="0"/>
        <v>6</v>
      </c>
      <c r="B17" s="246" t="s">
        <v>76</v>
      </c>
      <c r="C17" s="158">
        <f>Summary!G46</f>
        <v>367514453.73527145</v>
      </c>
      <c r="D17" s="282">
        <f t="shared" si="1"/>
        <v>6</v>
      </c>
      <c r="E17" s="155" t="s">
        <v>80</v>
      </c>
      <c r="F17" s="130">
        <f>+F13</f>
        <v>0.48499999999999999</v>
      </c>
      <c r="G17" s="130">
        <f>+G13</f>
        <v>9.4E-2</v>
      </c>
      <c r="H17" s="130">
        <f>ROUND(F17*G17,4)</f>
        <v>4.5600000000000002E-2</v>
      </c>
      <c r="I17" s="282">
        <f t="shared" si="2"/>
        <v>6</v>
      </c>
      <c r="J17" s="155"/>
      <c r="K17" s="155"/>
      <c r="L17" s="155"/>
      <c r="M17" s="160"/>
      <c r="N17" s="282"/>
      <c r="Q17" s="282">
        <f t="shared" si="4"/>
        <v>6</v>
      </c>
      <c r="R17" s="288" t="s">
        <v>610</v>
      </c>
      <c r="U17" s="97">
        <f>S15</f>
        <v>20503307.194246825</v>
      </c>
      <c r="V17" s="501">
        <v>12</v>
      </c>
      <c r="W17" s="500" t="s">
        <v>657</v>
      </c>
      <c r="X17" s="538">
        <f>X8*$AD$10/0.65</f>
        <v>197653573.07511958</v>
      </c>
      <c r="Y17" s="537">
        <f t="shared" si="5"/>
        <v>9.5377893302377821</v>
      </c>
      <c r="Z17" s="532" t="s">
        <v>632</v>
      </c>
      <c r="AA17" s="536">
        <f>+X17</f>
        <v>197653573.07511958</v>
      </c>
      <c r="AB17" s="517"/>
      <c r="AC17" s="534"/>
      <c r="AD17" s="538">
        <f>AD8*$AD$10/0.65</f>
        <v>197653573.07511958</v>
      </c>
      <c r="AE17" s="537">
        <f t="shared" si="6"/>
        <v>9.7448095751275527</v>
      </c>
      <c r="AF17" s="532" t="s">
        <v>632</v>
      </c>
      <c r="AG17" s="536">
        <f>+AD17</f>
        <v>197653573.07511958</v>
      </c>
      <c r="AH17" s="517"/>
      <c r="AK17" s="675">
        <v>6</v>
      </c>
      <c r="AL17" s="678">
        <v>338338996.10927796</v>
      </c>
      <c r="AM17" s="673">
        <f t="shared" si="3"/>
        <v>29175457.62599349</v>
      </c>
      <c r="AO17" s="158">
        <f>+'[53]COC, Def, ConvF'!C17</f>
        <v>335137126.10927796</v>
      </c>
    </row>
    <row r="18" spans="1:41" ht="15.75" thickBot="1" x14ac:dyDescent="0.3">
      <c r="A18" s="282">
        <f t="shared" si="0"/>
        <v>7</v>
      </c>
      <c r="B18" s="246" t="s">
        <v>77</v>
      </c>
      <c r="C18" s="390">
        <f>+C15-C17</f>
        <v>22592657.098678708</v>
      </c>
      <c r="D18" s="282">
        <f t="shared" si="1"/>
        <v>7</v>
      </c>
      <c r="E18" s="155" t="s">
        <v>81</v>
      </c>
      <c r="F18" s="415">
        <f>SUM(F16:F17)</f>
        <v>1</v>
      </c>
      <c r="G18" s="229"/>
      <c r="H18" s="416">
        <f>SUM(H16:H17)</f>
        <v>6.83E-2</v>
      </c>
      <c r="I18" s="282">
        <f t="shared" si="2"/>
        <v>7</v>
      </c>
      <c r="J18" s="155" t="str">
        <f>"CONVERSION FACTOR EXCLUDING FEDERAL INCOME TAX ( 1 - LINE "&amp;$I$17&amp;" )"</f>
        <v>CONVERSION FACTOR EXCLUDING FEDERAL INCOME TAX ( 1 - LINE 6 )</v>
      </c>
      <c r="K18" s="155"/>
      <c r="L18" s="155"/>
      <c r="M18" s="160">
        <f>ROUND(1-M16,6)</f>
        <v>0.95111500000000004</v>
      </c>
      <c r="N18" s="117"/>
      <c r="Q18" s="282">
        <f t="shared" si="4"/>
        <v>7</v>
      </c>
      <c r="R18" s="288" t="s">
        <v>609</v>
      </c>
      <c r="U18" s="291">
        <f>U16*U17</f>
        <v>31284324.341942821</v>
      </c>
      <c r="V18" s="501">
        <v>13</v>
      </c>
      <c r="W18" s="500" t="s">
        <v>656</v>
      </c>
      <c r="X18" s="538">
        <v>69962949.456452519</v>
      </c>
      <c r="Y18" s="537">
        <f t="shared" si="5"/>
        <v>3.3760678466668006</v>
      </c>
      <c r="Z18" s="532" t="s">
        <v>637</v>
      </c>
      <c r="AA18" s="518"/>
      <c r="AB18" s="541">
        <f>+X18</f>
        <v>69962949.456452519</v>
      </c>
      <c r="AC18" s="534"/>
      <c r="AD18" s="538">
        <v>69979069.388921246</v>
      </c>
      <c r="AE18" s="537">
        <f t="shared" si="6"/>
        <v>3.4501410464282478</v>
      </c>
      <c r="AF18" s="532" t="s">
        <v>637</v>
      </c>
      <c r="AG18" s="518"/>
      <c r="AH18" s="541">
        <f>+AD18</f>
        <v>69979069.388921246</v>
      </c>
      <c r="AK18" s="675">
        <v>7</v>
      </c>
      <c r="AL18" s="679">
        <v>75319415.627033353</v>
      </c>
      <c r="AM18" s="673">
        <f t="shared" si="3"/>
        <v>-52726758.528354645</v>
      </c>
      <c r="AO18" s="390">
        <f>+AO15-AO17</f>
        <v>78521285.627033353</v>
      </c>
    </row>
    <row r="19" spans="1:41" ht="15.75" thickTop="1" x14ac:dyDescent="0.25">
      <c r="A19" s="282">
        <f t="shared" si="0"/>
        <v>8</v>
      </c>
      <c r="B19" s="155"/>
      <c r="C19" s="289"/>
      <c r="D19" s="282"/>
      <c r="I19" s="282">
        <f t="shared" si="2"/>
        <v>8</v>
      </c>
      <c r="J19" s="246" t="str">
        <f>"FEDERAL INCOME TAX ( LINE "&amp;I18&amp;"  * "&amp;FIT_E*100&amp;"% )"</f>
        <v>FEDERAL INCOME TAX ( LINE 7  * 21% )</v>
      </c>
      <c r="K19" s="155"/>
      <c r="L19" s="156">
        <f>+FIT_E</f>
        <v>0.21</v>
      </c>
      <c r="M19" s="160">
        <f>ROUND((M18)*FIT_E,6)</f>
        <v>0.19973399999999999</v>
      </c>
      <c r="N19" s="117"/>
      <c r="Q19"/>
      <c r="R19"/>
      <c r="S19"/>
      <c r="T19"/>
      <c r="V19" s="501">
        <v>14</v>
      </c>
      <c r="W19" s="500" t="s">
        <v>655</v>
      </c>
      <c r="X19" s="538">
        <v>378349379.60972166</v>
      </c>
      <c r="Y19" s="537">
        <f t="shared" si="5"/>
        <v>18.257280249480782</v>
      </c>
      <c r="Z19" s="532" t="s">
        <v>637</v>
      </c>
      <c r="AA19" s="518"/>
      <c r="AB19" s="541">
        <f>+X19</f>
        <v>378349379.60972166</v>
      </c>
      <c r="AC19" s="534"/>
      <c r="AD19" s="538">
        <v>370094613.96061605</v>
      </c>
      <c r="AE19" s="537">
        <f t="shared" si="6"/>
        <v>18.246579010518932</v>
      </c>
      <c r="AF19" s="532" t="s">
        <v>637</v>
      </c>
      <c r="AG19" s="518"/>
      <c r="AH19" s="541">
        <f>+AD19</f>
        <v>370094613.96061605</v>
      </c>
      <c r="AK19" s="675">
        <v>8</v>
      </c>
      <c r="AL19" s="674"/>
      <c r="AM19" s="673">
        <f t="shared" si="3"/>
        <v>0</v>
      </c>
      <c r="AO19" s="289"/>
    </row>
    <row r="20" spans="1:41" ht="15.75" thickBot="1" x14ac:dyDescent="0.3">
      <c r="A20" s="282">
        <f t="shared" si="0"/>
        <v>9</v>
      </c>
      <c r="B20" s="155" t="s">
        <v>78</v>
      </c>
      <c r="C20" s="417">
        <f>+M20</f>
        <v>0.75138099999999997</v>
      </c>
      <c r="D20" s="282"/>
      <c r="I20" s="282">
        <f t="shared" si="2"/>
        <v>9</v>
      </c>
      <c r="J20" s="246" t="str">
        <f>"CONVERSION FACTOR INCL FEDERAL INCOME TAX ( LINE "&amp;I18&amp;" - LINE "&amp;I19&amp;" ) "</f>
        <v xml:space="preserve">CONVERSION FACTOR INCL FEDERAL INCOME TAX ( LINE 7 - LINE 8 ) </v>
      </c>
      <c r="K20" s="155"/>
      <c r="L20" s="155"/>
      <c r="M20" s="133">
        <f>ROUND(1-M19-M16,6)</f>
        <v>0.75138099999999997</v>
      </c>
      <c r="N20" s="117"/>
      <c r="V20" s="501">
        <v>15</v>
      </c>
      <c r="W20" s="500" t="s">
        <v>654</v>
      </c>
      <c r="X20" s="538">
        <v>7238267.1874165451</v>
      </c>
      <c r="Y20" s="537">
        <f t="shared" si="5"/>
        <v>0.34928317497864692</v>
      </c>
      <c r="Z20" s="532" t="s">
        <v>632</v>
      </c>
      <c r="AA20" s="536">
        <f>+X20</f>
        <v>7238267.1874165451</v>
      </c>
      <c r="AB20" s="517"/>
      <c r="AC20" s="534"/>
      <c r="AD20" s="538">
        <f>+X20</f>
        <v>7238267.1874165451</v>
      </c>
      <c r="AE20" s="537">
        <f t="shared" si="6"/>
        <v>0.35686445885023704</v>
      </c>
      <c r="AF20" s="532" t="s">
        <v>632</v>
      </c>
      <c r="AG20" s="536">
        <f>+AD20</f>
        <v>7238267.1874165451</v>
      </c>
      <c r="AH20" s="517"/>
      <c r="AK20" s="675">
        <v>9</v>
      </c>
      <c r="AL20" s="680">
        <v>0.75138099999999997</v>
      </c>
      <c r="AM20" s="673">
        <f t="shared" si="3"/>
        <v>0</v>
      </c>
      <c r="AO20" s="417">
        <f>+'[53]COC, Def, ConvF'!C20</f>
        <v>0.75138099999999997</v>
      </c>
    </row>
    <row r="21" spans="1:41" ht="15.75" thickTop="1" x14ac:dyDescent="0.25">
      <c r="A21" s="282">
        <f t="shared" si="0"/>
        <v>10</v>
      </c>
      <c r="B21" s="288" t="s">
        <v>723</v>
      </c>
      <c r="C21" s="109">
        <f>ROUND(+C18/C20,0)</f>
        <v>30068177</v>
      </c>
      <c r="D21" s="282"/>
      <c r="I21" s="282"/>
      <c r="K21" s="117"/>
      <c r="L21" s="117"/>
      <c r="M21" s="117"/>
      <c r="N21" s="117"/>
      <c r="V21" s="501" t="s">
        <v>653</v>
      </c>
      <c r="W21" s="544" t="s">
        <v>652</v>
      </c>
      <c r="X21" s="538">
        <v>8206061.1260157973</v>
      </c>
      <c r="Y21" s="537">
        <f t="shared" si="5"/>
        <v>0.39598415061915598</v>
      </c>
      <c r="Z21" s="532" t="s">
        <v>632</v>
      </c>
      <c r="AA21" s="536">
        <f>+X21</f>
        <v>8206061.1260157973</v>
      </c>
      <c r="AB21" s="517"/>
      <c r="AC21" s="534"/>
      <c r="AD21" s="538">
        <f>+X21</f>
        <v>8206061.1260157973</v>
      </c>
      <c r="AE21" s="537">
        <f t="shared" si="6"/>
        <v>0.40457909154259974</v>
      </c>
      <c r="AF21" s="532" t="s">
        <v>632</v>
      </c>
      <c r="AG21" s="536">
        <f>+AD21</f>
        <v>8206061.1260157973</v>
      </c>
      <c r="AH21" s="517"/>
      <c r="AK21" s="675">
        <v>10</v>
      </c>
      <c r="AL21" s="681">
        <v>100241310</v>
      </c>
      <c r="AM21" s="673">
        <f t="shared" si="3"/>
        <v>-70173133</v>
      </c>
      <c r="AO21" s="109">
        <f>ROUND(+AO18/AO20,0)</f>
        <v>104502623</v>
      </c>
    </row>
    <row r="22" spans="1:41" ht="15" x14ac:dyDescent="0.25">
      <c r="A22" s="282">
        <f t="shared" si="0"/>
        <v>11</v>
      </c>
      <c r="B22" s="288" t="s">
        <v>583</v>
      </c>
      <c r="C22" s="229"/>
      <c r="D22" s="282"/>
      <c r="I22" s="282"/>
      <c r="K22" s="117"/>
      <c r="L22" s="101"/>
      <c r="M22" s="134"/>
      <c r="N22" s="117"/>
      <c r="V22" s="501" t="s">
        <v>651</v>
      </c>
      <c r="W22" s="544" t="s">
        <v>650</v>
      </c>
      <c r="X22" s="538">
        <v>2763777.09</v>
      </c>
      <c r="Y22" s="537">
        <f t="shared" si="5"/>
        <v>0.13336628946312651</v>
      </c>
      <c r="Z22" s="532" t="s">
        <v>632</v>
      </c>
      <c r="AA22" s="536">
        <f>+X22</f>
        <v>2763777.09</v>
      </c>
      <c r="AB22" s="517"/>
      <c r="AC22" s="534"/>
      <c r="AD22" s="538">
        <f>+X22</f>
        <v>2763777.09</v>
      </c>
      <c r="AE22" s="537">
        <f t="shared" si="6"/>
        <v>0.13626104011747003</v>
      </c>
      <c r="AF22" s="532" t="s">
        <v>632</v>
      </c>
      <c r="AG22" s="536">
        <f>+AD22</f>
        <v>2763777.09</v>
      </c>
      <c r="AH22" s="517"/>
      <c r="AK22" s="675">
        <v>11</v>
      </c>
      <c r="AL22" s="677"/>
      <c r="AM22" s="673">
        <f t="shared" si="3"/>
        <v>0</v>
      </c>
      <c r="AO22" s="229"/>
    </row>
    <row r="23" spans="1:41" ht="15" x14ac:dyDescent="0.25">
      <c r="A23" s="282">
        <f t="shared" si="0"/>
        <v>12</v>
      </c>
      <c r="B23" s="403" t="s">
        <v>573</v>
      </c>
      <c r="C23" s="158">
        <f>'[55]GRC Impacts'!$U$37*1000</f>
        <v>-3117000</v>
      </c>
      <c r="D23" s="282"/>
      <c r="N23" s="117"/>
      <c r="V23" s="501" t="s">
        <v>649</v>
      </c>
      <c r="W23" s="544" t="s">
        <v>648</v>
      </c>
      <c r="X23" s="538">
        <v>1262663.2680056884</v>
      </c>
      <c r="Y23" s="537">
        <f t="shared" si="5"/>
        <v>6.092991924153475E-2</v>
      </c>
      <c r="Z23" s="532" t="s">
        <v>637</v>
      </c>
      <c r="AA23" s="518"/>
      <c r="AB23" s="541">
        <f>+X23</f>
        <v>1262663.2680056884</v>
      </c>
      <c r="AC23" s="534"/>
      <c r="AD23" s="538">
        <f>+X23/$AB$9*$AH$9</f>
        <v>1262954.1940854082</v>
      </c>
      <c r="AE23" s="537">
        <f t="shared" si="6"/>
        <v>6.2266762659501915E-2</v>
      </c>
      <c r="AF23" s="532" t="s">
        <v>637</v>
      </c>
      <c r="AG23" s="518"/>
      <c r="AH23" s="541">
        <f>+AD23</f>
        <v>1262954.1940854082</v>
      </c>
      <c r="AK23" s="675">
        <v>12</v>
      </c>
      <c r="AL23" s="678">
        <v>-3117000</v>
      </c>
      <c r="AM23" s="673">
        <f t="shared" si="3"/>
        <v>0</v>
      </c>
      <c r="AO23" s="158">
        <f>'[56]GRC Impacts'!$U$37*1000</f>
        <v>-3117000</v>
      </c>
    </row>
    <row r="24" spans="1:41" ht="15" x14ac:dyDescent="0.25">
      <c r="A24" s="282">
        <f t="shared" si="0"/>
        <v>13</v>
      </c>
      <c r="B24" s="403" t="s">
        <v>574</v>
      </c>
      <c r="C24" s="158">
        <f>'[55]GRC Impacts'!$V$37*1000</f>
        <v>-25799000</v>
      </c>
      <c r="D24" s="282"/>
      <c r="E24"/>
      <c r="F24"/>
      <c r="G24"/>
      <c r="H24"/>
      <c r="V24" s="501" t="s">
        <v>647</v>
      </c>
      <c r="W24" s="544" t="s">
        <v>646</v>
      </c>
      <c r="X24" s="538">
        <v>2119540.3036357597</v>
      </c>
      <c r="Y24" s="537">
        <f t="shared" si="5"/>
        <v>0.1022785906599471</v>
      </c>
      <c r="Z24" s="532" t="s">
        <v>632</v>
      </c>
      <c r="AA24" s="536">
        <f>+X24</f>
        <v>2119540.3036357597</v>
      </c>
      <c r="AB24" s="517"/>
      <c r="AC24" s="534"/>
      <c r="AD24" s="538">
        <f>+X24</f>
        <v>2119540.3036357597</v>
      </c>
      <c r="AE24" s="537">
        <f t="shared" si="6"/>
        <v>0.10449857457364874</v>
      </c>
      <c r="AF24" s="532" t="s">
        <v>632</v>
      </c>
      <c r="AG24" s="536">
        <f>+AD24</f>
        <v>2119540.3036357597</v>
      </c>
      <c r="AH24" s="517"/>
      <c r="AK24" s="675">
        <v>13</v>
      </c>
      <c r="AL24" s="678">
        <v>-25799000</v>
      </c>
      <c r="AM24" s="673">
        <f t="shared" si="3"/>
        <v>0</v>
      </c>
      <c r="AO24" s="158">
        <f>'[56]GRC Impacts'!$V$37*1000</f>
        <v>-25799000</v>
      </c>
    </row>
    <row r="25" spans="1:41" ht="15" x14ac:dyDescent="0.25">
      <c r="A25" s="282">
        <f t="shared" si="0"/>
        <v>14</v>
      </c>
      <c r="B25" s="403" t="s">
        <v>575</v>
      </c>
      <c r="C25" s="158">
        <f>'[55]GRC Impacts'!$W$37*1000</f>
        <v>25799000</v>
      </c>
      <c r="E25"/>
      <c r="F25"/>
      <c r="G25"/>
      <c r="H25"/>
      <c r="V25" s="501" t="s">
        <v>645</v>
      </c>
      <c r="W25" s="544" t="s">
        <v>644</v>
      </c>
      <c r="X25" s="538">
        <v>313332.07420681993</v>
      </c>
      <c r="Y25" s="537">
        <f t="shared" si="5"/>
        <v>1.5119864861007507E-2</v>
      </c>
      <c r="Z25" s="532" t="s">
        <v>637</v>
      </c>
      <c r="AA25" s="518"/>
      <c r="AB25" s="541">
        <f>+X25</f>
        <v>313332.07420681993</v>
      </c>
      <c r="AC25" s="534"/>
      <c r="AD25" s="538">
        <f>+X25/$AB$9*$AH$9</f>
        <v>313404.2680167685</v>
      </c>
      <c r="AE25" s="537">
        <f t="shared" si="6"/>
        <v>1.5451604867749744E-2</v>
      </c>
      <c r="AF25" s="532" t="s">
        <v>637</v>
      </c>
      <c r="AG25" s="518"/>
      <c r="AH25" s="541">
        <f>+AD25</f>
        <v>313404.2680167685</v>
      </c>
      <c r="AK25" s="675">
        <v>14</v>
      </c>
      <c r="AL25" s="678">
        <v>25799000</v>
      </c>
      <c r="AM25" s="673">
        <f t="shared" si="3"/>
        <v>0</v>
      </c>
      <c r="AO25" s="158">
        <f>'[56]GRC Impacts'!$W$37*1000</f>
        <v>25799000</v>
      </c>
    </row>
    <row r="26" spans="1:41" ht="15" x14ac:dyDescent="0.25">
      <c r="A26" s="282">
        <f t="shared" si="0"/>
        <v>15</v>
      </c>
      <c r="B26" s="288" t="s">
        <v>576</v>
      </c>
      <c r="C26" s="263">
        <f>SUM(C23:C25)</f>
        <v>-3117000</v>
      </c>
      <c r="E26"/>
      <c r="F26"/>
      <c r="G26"/>
      <c r="H26"/>
      <c r="V26" s="501">
        <v>16</v>
      </c>
      <c r="W26" s="500" t="s">
        <v>643</v>
      </c>
      <c r="X26" s="538">
        <v>171115373.90212974</v>
      </c>
      <c r="Y26" s="537">
        <f t="shared" si="5"/>
        <v>8.2571863592018406</v>
      </c>
      <c r="Z26" s="532" t="s">
        <v>637</v>
      </c>
      <c r="AA26" s="518"/>
      <c r="AB26" s="541">
        <f>+X26</f>
        <v>171115373.90212974</v>
      </c>
      <c r="AC26" s="534"/>
      <c r="AD26" s="538">
        <v>171056253.11371228</v>
      </c>
      <c r="AE26" s="537">
        <f t="shared" si="6"/>
        <v>8.433495976287892</v>
      </c>
      <c r="AF26" s="532" t="s">
        <v>637</v>
      </c>
      <c r="AG26" s="518"/>
      <c r="AH26" s="541">
        <f>+AD26</f>
        <v>171056253.11371228</v>
      </c>
      <c r="AK26" s="675">
        <v>15</v>
      </c>
      <c r="AL26" s="679">
        <v>-3117000</v>
      </c>
      <c r="AM26" s="673">
        <f t="shared" si="3"/>
        <v>0</v>
      </c>
      <c r="AO26" s="263">
        <f>SUM(AO23:AO25)</f>
        <v>-3117000</v>
      </c>
    </row>
    <row r="27" spans="1:41" ht="15" x14ac:dyDescent="0.25">
      <c r="A27" s="282">
        <f t="shared" si="0"/>
        <v>16</v>
      </c>
      <c r="C27" s="229"/>
      <c r="E27"/>
      <c r="F27"/>
      <c r="G27"/>
      <c r="H27"/>
      <c r="V27" s="501">
        <v>17</v>
      </c>
      <c r="W27" s="500" t="s">
        <v>642</v>
      </c>
      <c r="X27" s="538">
        <v>108374278.4084733</v>
      </c>
      <c r="Y27" s="537">
        <f t="shared" si="5"/>
        <v>5.2296096660175699</v>
      </c>
      <c r="Z27" s="532" t="s">
        <v>637</v>
      </c>
      <c r="AA27" s="518"/>
      <c r="AB27" s="541">
        <f>+X27</f>
        <v>108374278.4084733</v>
      </c>
      <c r="AC27" s="534"/>
      <c r="AD27" s="538">
        <v>108399248.56857753</v>
      </c>
      <c r="AE27" s="537">
        <f t="shared" si="6"/>
        <v>5.3443508202416385</v>
      </c>
      <c r="AF27" s="532" t="s">
        <v>637</v>
      </c>
      <c r="AG27" s="518"/>
      <c r="AH27" s="541">
        <f>+AD27</f>
        <v>108399248.56857753</v>
      </c>
      <c r="AK27" s="675">
        <v>16</v>
      </c>
      <c r="AL27" s="677"/>
      <c r="AM27" s="673">
        <f t="shared" si="3"/>
        <v>0</v>
      </c>
      <c r="AO27" s="229"/>
    </row>
    <row r="28" spans="1:41" ht="15" x14ac:dyDescent="0.25">
      <c r="A28" s="282">
        <f t="shared" si="0"/>
        <v>17</v>
      </c>
      <c r="B28" s="288" t="s">
        <v>577</v>
      </c>
      <c r="C28" s="97">
        <f>C21+C26</f>
        <v>26951177</v>
      </c>
      <c r="E28"/>
      <c r="F28"/>
      <c r="G28"/>
      <c r="H28"/>
      <c r="J28" s="288">
        <v>97124310</v>
      </c>
      <c r="K28" s="97">
        <f>+C28-J28</f>
        <v>-70173133</v>
      </c>
      <c r="V28" s="501">
        <v>18</v>
      </c>
      <c r="W28" s="500" t="s">
        <v>641</v>
      </c>
      <c r="X28" s="538">
        <v>-11639833.365925668</v>
      </c>
      <c r="Y28" s="537">
        <f t="shared" si="5"/>
        <v>-0.56168111082453498</v>
      </c>
      <c r="Z28" s="532" t="s">
        <v>632</v>
      </c>
      <c r="AA28" s="536">
        <f>+X28</f>
        <v>-11639833.365925668</v>
      </c>
      <c r="AB28" s="517"/>
      <c r="AC28" s="534"/>
      <c r="AD28" s="538">
        <f>+X28</f>
        <v>-11639833.365925668</v>
      </c>
      <c r="AE28" s="537">
        <f t="shared" si="6"/>
        <v>-0.57387254817828448</v>
      </c>
      <c r="AF28" s="532" t="s">
        <v>632</v>
      </c>
      <c r="AG28" s="536">
        <f>+AD28</f>
        <v>-11639833.365925668</v>
      </c>
      <c r="AH28" s="517"/>
      <c r="AK28" s="675">
        <v>17</v>
      </c>
      <c r="AL28" s="671">
        <v>97124310</v>
      </c>
      <c r="AM28" s="673">
        <f t="shared" si="3"/>
        <v>-70173133</v>
      </c>
      <c r="AO28" s="97">
        <f>AO21+AO26</f>
        <v>101385623</v>
      </c>
    </row>
    <row r="29" spans="1:41" ht="15" x14ac:dyDescent="0.25">
      <c r="A29" s="282">
        <f t="shared" si="0"/>
        <v>18</v>
      </c>
      <c r="C29" s="97"/>
      <c r="E29"/>
      <c r="F29"/>
      <c r="G29"/>
      <c r="H29"/>
      <c r="V29" s="501">
        <v>19</v>
      </c>
      <c r="W29" s="500" t="s">
        <v>640</v>
      </c>
      <c r="X29" s="538">
        <v>138209148.65181684</v>
      </c>
      <c r="Y29" s="537">
        <f t="shared" si="5"/>
        <v>6.6692937691116345</v>
      </c>
      <c r="Z29" s="532" t="s">
        <v>632</v>
      </c>
      <c r="AA29" s="536">
        <f>+X29</f>
        <v>138209148.65181684</v>
      </c>
      <c r="AB29" s="517"/>
      <c r="AC29" s="534"/>
      <c r="AD29" s="538">
        <f>+X29</f>
        <v>138209148.65181684</v>
      </c>
      <c r="AE29" s="537">
        <f t="shared" si="6"/>
        <v>6.814052557707031</v>
      </c>
      <c r="AF29" s="532" t="s">
        <v>632</v>
      </c>
      <c r="AG29" s="536">
        <f>+AD29</f>
        <v>138209148.65181684</v>
      </c>
      <c r="AH29" s="517"/>
      <c r="AK29" s="675">
        <v>18</v>
      </c>
      <c r="AL29" s="671"/>
      <c r="AM29" s="673">
        <f t="shared" si="3"/>
        <v>0</v>
      </c>
      <c r="AO29" s="97"/>
    </row>
    <row r="30" spans="1:41" ht="15" x14ac:dyDescent="0.25">
      <c r="A30" s="282">
        <f t="shared" si="0"/>
        <v>19</v>
      </c>
      <c r="B30" s="288" t="s">
        <v>603</v>
      </c>
      <c r="C30" s="97">
        <f>C32-C28</f>
        <v>118658471.16778812</v>
      </c>
      <c r="E30"/>
      <c r="F30"/>
      <c r="G30"/>
      <c r="H30"/>
      <c r="J30" s="288">
        <v>32816432</v>
      </c>
      <c r="K30" s="97">
        <f>+C30-J30</f>
        <v>85842039.167788118</v>
      </c>
      <c r="V30" s="501">
        <v>20</v>
      </c>
      <c r="W30" s="500" t="s">
        <v>639</v>
      </c>
      <c r="X30" s="538">
        <v>-36228866.83523047</v>
      </c>
      <c r="Y30" s="537">
        <f t="shared" si="5"/>
        <v>-1.7482269314521348</v>
      </c>
      <c r="Z30" s="532" t="s">
        <v>637</v>
      </c>
      <c r="AA30" s="518"/>
      <c r="AB30" s="541">
        <f>+X30</f>
        <v>-36228866.83523047</v>
      </c>
      <c r="AC30" s="534"/>
      <c r="AD30" s="538">
        <v>-39617468.444088995</v>
      </c>
      <c r="AE30" s="537">
        <f t="shared" si="6"/>
        <v>-1.9532390931761483</v>
      </c>
      <c r="AF30" s="532" t="s">
        <v>637</v>
      </c>
      <c r="AG30" s="518"/>
      <c r="AH30" s="541">
        <f>+AD30</f>
        <v>-39617468.444088995</v>
      </c>
      <c r="AK30" s="675">
        <v>19</v>
      </c>
      <c r="AL30" s="671">
        <v>48763026.56800434</v>
      </c>
      <c r="AM30" s="673">
        <f t="shared" si="3"/>
        <v>69895444.599783778</v>
      </c>
      <c r="AN30" s="145"/>
      <c r="AO30" s="97">
        <f>AO32-AO28</f>
        <v>-101385623</v>
      </c>
    </row>
    <row r="31" spans="1:41" ht="15" x14ac:dyDescent="0.25">
      <c r="A31" s="282">
        <f t="shared" si="0"/>
        <v>20</v>
      </c>
      <c r="C31" s="278"/>
      <c r="E31"/>
      <c r="F31"/>
      <c r="G31"/>
      <c r="H31"/>
      <c r="V31" s="543">
        <v>21</v>
      </c>
      <c r="W31" s="542" t="s">
        <v>638</v>
      </c>
      <c r="X31" s="538">
        <v>-16223873.273980575</v>
      </c>
      <c r="Y31" s="537">
        <f t="shared" si="5"/>
        <v>-0.78288433140994562</v>
      </c>
      <c r="Z31" s="532" t="s">
        <v>637</v>
      </c>
      <c r="AA31" s="518"/>
      <c r="AB31" s="541">
        <f>+X31</f>
        <v>-16223873.273980575</v>
      </c>
      <c r="AC31" s="534"/>
      <c r="AD31" s="538">
        <v>-16227611.363120463</v>
      </c>
      <c r="AE31" s="537">
        <f t="shared" si="6"/>
        <v>-0.80006134031629517</v>
      </c>
      <c r="AF31" s="532" t="s">
        <v>637</v>
      </c>
      <c r="AG31" s="518"/>
      <c r="AH31" s="541">
        <f>+AD31</f>
        <v>-16227611.363120463</v>
      </c>
      <c r="AK31" s="675">
        <v>20</v>
      </c>
      <c r="AL31" s="682"/>
      <c r="AM31" s="673">
        <f t="shared" si="3"/>
        <v>0</v>
      </c>
      <c r="AO31" s="278"/>
    </row>
    <row r="32" spans="1:41" ht="15" x14ac:dyDescent="0.25">
      <c r="A32" s="282">
        <f t="shared" si="0"/>
        <v>21</v>
      </c>
      <c r="B32" s="288" t="s">
        <v>726</v>
      </c>
      <c r="C32" s="97">
        <f>P16</f>
        <v>145609648.16778812</v>
      </c>
      <c r="E32"/>
      <c r="F32"/>
      <c r="G32"/>
      <c r="H32"/>
      <c r="V32" s="501">
        <v>22</v>
      </c>
      <c r="W32" s="500" t="s">
        <v>636</v>
      </c>
      <c r="X32" s="538">
        <v>662134.87</v>
      </c>
      <c r="Y32" s="537">
        <f t="shared" si="5"/>
        <v>3.1951372292491807E-2</v>
      </c>
      <c r="Z32" s="532" t="s">
        <v>632</v>
      </c>
      <c r="AA32" s="536">
        <f>+X32</f>
        <v>662134.87</v>
      </c>
      <c r="AB32" s="517"/>
      <c r="AC32" s="534"/>
      <c r="AD32" s="538">
        <f>+X32</f>
        <v>662134.87</v>
      </c>
      <c r="AE32" s="537">
        <f t="shared" si="6"/>
        <v>3.264488529508934E-2</v>
      </c>
      <c r="AF32" s="532" t="s">
        <v>632</v>
      </c>
      <c r="AG32" s="536">
        <f>+AD32</f>
        <v>662134.87</v>
      </c>
      <c r="AH32" s="517"/>
      <c r="AK32" s="675">
        <v>21</v>
      </c>
      <c r="AL32" s="671">
        <v>145887336.56800434</v>
      </c>
      <c r="AM32" s="673">
        <f t="shared" si="3"/>
        <v>-277688.40021622181</v>
      </c>
      <c r="AO32" s="97">
        <f>BB16</f>
        <v>0</v>
      </c>
    </row>
    <row r="33" spans="1:45" ht="15" x14ac:dyDescent="0.25">
      <c r="A33" s="282">
        <f t="shared" si="0"/>
        <v>22</v>
      </c>
      <c r="C33" s="97"/>
      <c r="E33"/>
      <c r="F33"/>
      <c r="G33"/>
      <c r="H33"/>
      <c r="V33" s="501">
        <v>23</v>
      </c>
      <c r="W33" s="540" t="s">
        <v>635</v>
      </c>
      <c r="X33" s="538">
        <v>161583689.16694248</v>
      </c>
      <c r="Y33" s="537">
        <f t="shared" si="5"/>
        <v>7.7972341329301305</v>
      </c>
      <c r="Z33" s="532" t="s">
        <v>632</v>
      </c>
      <c r="AA33" s="536">
        <f>+X33</f>
        <v>161583689.16694248</v>
      </c>
      <c r="AB33" s="517"/>
      <c r="AC33" s="534"/>
      <c r="AD33" s="538">
        <f>+X33</f>
        <v>161583689.16694248</v>
      </c>
      <c r="AE33" s="537">
        <f t="shared" si="6"/>
        <v>7.9664751660220032</v>
      </c>
      <c r="AF33" s="532" t="s">
        <v>632</v>
      </c>
      <c r="AG33" s="536">
        <f>+AD33</f>
        <v>161583689.16694248</v>
      </c>
      <c r="AH33" s="517"/>
      <c r="AK33" s="675">
        <v>22</v>
      </c>
      <c r="AL33" s="671"/>
      <c r="AM33" s="673">
        <f t="shared" si="3"/>
        <v>0</v>
      </c>
      <c r="AO33" s="97"/>
    </row>
    <row r="34" spans="1:45" ht="15" x14ac:dyDescent="0.25">
      <c r="A34" s="282">
        <f t="shared" si="0"/>
        <v>23</v>
      </c>
      <c r="B34" s="288" t="s">
        <v>602</v>
      </c>
      <c r="C34" s="671">
        <f>IF(C32&lt;'[55]GRC Impacts'!$AA$37*1000,0,'[55]GRC Impacts'!$AA$37*1000-C32)</f>
        <v>-5727889.2783564031</v>
      </c>
      <c r="V34" s="501">
        <v>24</v>
      </c>
      <c r="W34" s="539" t="s">
        <v>634</v>
      </c>
      <c r="X34" s="538">
        <v>3490805.0455442886</v>
      </c>
      <c r="Y34" s="537">
        <f t="shared" si="5"/>
        <v>0.16844908290465715</v>
      </c>
      <c r="Z34" s="532" t="s">
        <v>632</v>
      </c>
      <c r="AA34" s="536">
        <f>+X34</f>
        <v>3490805.0455442886</v>
      </c>
      <c r="AB34" s="517"/>
      <c r="AC34" s="534"/>
      <c r="AD34" s="538">
        <f>+X34</f>
        <v>3490805.0455442886</v>
      </c>
      <c r="AE34" s="537">
        <f t="shared" si="6"/>
        <v>0.17210531488745251</v>
      </c>
      <c r="AF34" s="532" t="s">
        <v>632</v>
      </c>
      <c r="AG34" s="536">
        <f>+AD34</f>
        <v>3490805.0455442886</v>
      </c>
      <c r="AH34" s="517"/>
      <c r="AK34" s="675">
        <v>23</v>
      </c>
      <c r="AL34" s="671">
        <v>-6005577.6785726249</v>
      </c>
      <c r="AM34" s="673">
        <f t="shared" si="3"/>
        <v>277688.40021622181</v>
      </c>
      <c r="AO34" s="97">
        <f>AO36-AO32</f>
        <v>139881758.88943172</v>
      </c>
      <c r="AS34" s="671">
        <f>IF(C32&lt;'[55]GRC Impacts'!$AA$37*1000,0,'[55]GRC Impacts'!$AA$37*1000-C32)</f>
        <v>-5727889.2783564031</v>
      </c>
    </row>
    <row r="35" spans="1:45" ht="15" x14ac:dyDescent="0.25">
      <c r="A35" s="282">
        <f t="shared" si="0"/>
        <v>24</v>
      </c>
      <c r="C35" s="278"/>
      <c r="J35" s="692">
        <f>(SUM(C32:C35))</f>
        <v>139881758.88943172</v>
      </c>
      <c r="V35" s="501">
        <f t="shared" ref="V35:V48" si="8">+V34+1</f>
        <v>25</v>
      </c>
      <c r="W35" s="539" t="s">
        <v>633</v>
      </c>
      <c r="X35" s="538">
        <v>19415532.153878614</v>
      </c>
      <c r="Y35" s="537">
        <f t="shared" si="5"/>
        <v>0.93689809163112181</v>
      </c>
      <c r="Z35" s="532" t="s">
        <v>632</v>
      </c>
      <c r="AA35" s="536">
        <f>+X35</f>
        <v>19415532.153878614</v>
      </c>
      <c r="AB35" s="517"/>
      <c r="AC35" s="534"/>
      <c r="AD35" s="538">
        <f>+X35</f>
        <v>19415532.153878614</v>
      </c>
      <c r="AE35" s="537">
        <f t="shared" si="6"/>
        <v>0.95723371298431426</v>
      </c>
      <c r="AF35" s="532" t="s">
        <v>632</v>
      </c>
      <c r="AG35" s="536">
        <f>+AD35</f>
        <v>19415532.153878614</v>
      </c>
      <c r="AH35" s="517"/>
      <c r="AK35" s="675">
        <v>24</v>
      </c>
      <c r="AL35" s="682"/>
      <c r="AM35" s="673">
        <f t="shared" si="3"/>
        <v>0</v>
      </c>
      <c r="AO35" s="278"/>
      <c r="AS35" s="278"/>
    </row>
    <row r="36" spans="1:45" ht="15.75" thickBot="1" x14ac:dyDescent="0.3">
      <c r="A36" s="282">
        <f t="shared" si="0"/>
        <v>25</v>
      </c>
      <c r="B36" s="288" t="s">
        <v>584</v>
      </c>
      <c r="C36" s="273">
        <f>IF(C32&lt;'[56]GRC Impacts'!$AA$37*1000,SUM(C32:C35),'[56]GRC Impacts'!$AA$37*1000)</f>
        <v>139881758.88943172</v>
      </c>
      <c r="J36" s="692">
        <f>'[56]GRC Impacts'!$AA$37*1000</f>
        <v>139881758.88943172</v>
      </c>
      <c r="V36" s="501">
        <f t="shared" si="8"/>
        <v>26</v>
      </c>
      <c r="W36" s="535" t="s">
        <v>631</v>
      </c>
      <c r="X36" s="533"/>
      <c r="Y36" s="531"/>
      <c r="Z36" s="532"/>
      <c r="AA36" s="531"/>
      <c r="AB36" s="530"/>
      <c r="AC36" s="534"/>
      <c r="AD36" s="533"/>
      <c r="AE36" s="531"/>
      <c r="AF36" s="532"/>
      <c r="AG36" s="531"/>
      <c r="AH36" s="530"/>
      <c r="AK36" s="675">
        <v>25</v>
      </c>
      <c r="AL36" s="683">
        <v>139881758.88943172</v>
      </c>
      <c r="AM36" s="673">
        <f t="shared" si="3"/>
        <v>0</v>
      </c>
      <c r="AO36" s="273">
        <f>'[56]GRC Impacts'!$AA$37*1000</f>
        <v>139881758.88943172</v>
      </c>
      <c r="AS36" s="273">
        <f>'[56]GRC Impacts'!$AA$37*1000</f>
        <v>139881758.88943172</v>
      </c>
    </row>
    <row r="37" spans="1:45" ht="15.75" thickTop="1" x14ac:dyDescent="0.25">
      <c r="A37" s="282">
        <f t="shared" si="0"/>
        <v>26</v>
      </c>
      <c r="C37" s="97"/>
      <c r="J37" s="692">
        <f>J36-+J35</f>
        <v>0</v>
      </c>
      <c r="V37" s="501">
        <f t="shared" si="8"/>
        <v>27</v>
      </c>
      <c r="W37" s="529" t="s">
        <v>630</v>
      </c>
      <c r="X37" s="524">
        <f>SUM(X14:X36)</f>
        <v>1240098266.7801845</v>
      </c>
      <c r="Y37" s="523">
        <f>SUM(Y14:Y36)</f>
        <v>59.841043262330352</v>
      </c>
      <c r="Z37" s="523"/>
      <c r="AA37" s="522">
        <f>SUM(AA14:AA36)</f>
        <v>558403549.03173339</v>
      </c>
      <c r="AB37" s="521">
        <f>SUM(AB14:AB36)</f>
        <v>681694717.74845052</v>
      </c>
      <c r="AC37" s="498"/>
      <c r="AD37" s="524">
        <f>SUM(AD14:AD36)</f>
        <v>1228434592.7775466</v>
      </c>
      <c r="AE37" s="523">
        <f>SUM(AE14:AE36)</f>
        <v>60.564861013501336</v>
      </c>
      <c r="AF37" s="523"/>
      <c r="AG37" s="522">
        <f>SUM(AG14:AG36)</f>
        <v>558403549.03173339</v>
      </c>
      <c r="AH37" s="521">
        <f>SUM(AH14:AH36)</f>
        <v>670031043.74581277</v>
      </c>
      <c r="AK37" s="675">
        <v>26</v>
      </c>
      <c r="AL37" s="671"/>
      <c r="AM37" s="673">
        <f t="shared" si="3"/>
        <v>0</v>
      </c>
      <c r="AO37" s="97"/>
    </row>
    <row r="38" spans="1:45" ht="15" x14ac:dyDescent="0.25">
      <c r="A38" s="282">
        <f t="shared" si="0"/>
        <v>27</v>
      </c>
      <c r="C38" s="97"/>
      <c r="V38" s="501">
        <f t="shared" si="8"/>
        <v>28</v>
      </c>
      <c r="W38" s="500" t="s">
        <v>614</v>
      </c>
      <c r="X38" s="528">
        <v>0.95238599999999995</v>
      </c>
      <c r="Y38" s="527">
        <f>+X38</f>
        <v>0.95238599999999995</v>
      </c>
      <c r="Z38" s="527"/>
      <c r="AA38" s="526">
        <f>+Y38</f>
        <v>0.95238599999999995</v>
      </c>
      <c r="AB38" s="525">
        <f>+AA38</f>
        <v>0.95238599999999995</v>
      </c>
      <c r="AC38" s="498"/>
      <c r="AD38" s="528">
        <f>+X38</f>
        <v>0.95238599999999995</v>
      </c>
      <c r="AE38" s="527">
        <f>+AD38</f>
        <v>0.95238599999999995</v>
      </c>
      <c r="AF38" s="527"/>
      <c r="AG38" s="526">
        <f>+AE38</f>
        <v>0.95238599999999995</v>
      </c>
      <c r="AH38" s="525">
        <f>+AG38</f>
        <v>0.95238599999999995</v>
      </c>
      <c r="AK38" s="675">
        <v>27</v>
      </c>
      <c r="AL38" s="671"/>
      <c r="AM38" s="673">
        <f t="shared" si="3"/>
        <v>0</v>
      </c>
      <c r="AO38" s="97"/>
    </row>
    <row r="39" spans="1:45" ht="15" x14ac:dyDescent="0.25">
      <c r="A39" s="282">
        <f t="shared" si="0"/>
        <v>28</v>
      </c>
      <c r="C39" s="97"/>
      <c r="V39" s="501">
        <f t="shared" si="8"/>
        <v>29</v>
      </c>
      <c r="W39" s="500" t="s">
        <v>629</v>
      </c>
      <c r="X39" s="524">
        <f>+X37/X38</f>
        <v>1302096279.0089149</v>
      </c>
      <c r="Y39" s="523">
        <f>+Y37/X38</f>
        <v>62.832762411806087</v>
      </c>
      <c r="Z39" s="523"/>
      <c r="AA39" s="522">
        <f>+AA37/AA38</f>
        <v>586320618.98403943</v>
      </c>
      <c r="AB39" s="521">
        <f>+AB37/AB38</f>
        <v>715775660.02487493</v>
      </c>
      <c r="AC39" s="498"/>
      <c r="AD39" s="524">
        <f>+AD37/AD38</f>
        <v>1289849486.2141471</v>
      </c>
      <c r="AE39" s="523">
        <f>+AE37/AE38</f>
        <v>63.59276702251119</v>
      </c>
      <c r="AF39" s="523"/>
      <c r="AG39" s="522">
        <f>+AG37/AG38</f>
        <v>586320618.98403943</v>
      </c>
      <c r="AH39" s="521">
        <f>+AH37/AH38</f>
        <v>703528867.23010707</v>
      </c>
      <c r="AK39" s="675">
        <v>28</v>
      </c>
      <c r="AL39" s="671"/>
      <c r="AM39" s="673">
        <f t="shared" si="3"/>
        <v>0</v>
      </c>
      <c r="AO39" s="97"/>
    </row>
    <row r="40" spans="1:45" ht="15" x14ac:dyDescent="0.25">
      <c r="A40" s="282">
        <f t="shared" si="0"/>
        <v>29</v>
      </c>
      <c r="B40" s="405" t="s">
        <v>578</v>
      </c>
      <c r="C40" s="145">
        <f>'[55]GRC Impacts'!$AA$35*1000</f>
        <v>354912.10943168448</v>
      </c>
      <c r="V40" s="501">
        <f t="shared" si="8"/>
        <v>30</v>
      </c>
      <c r="W40" s="500" t="s">
        <v>628</v>
      </c>
      <c r="X40" s="520">
        <v>20723206</v>
      </c>
      <c r="Y40" s="519" t="s">
        <v>627</v>
      </c>
      <c r="Z40" s="519"/>
      <c r="AA40" s="518"/>
      <c r="AB40" s="517"/>
      <c r="AC40" s="498"/>
      <c r="AD40" s="520">
        <v>20282959</v>
      </c>
      <c r="AE40" s="519" t="s">
        <v>627</v>
      </c>
      <c r="AF40" s="519"/>
      <c r="AG40" s="518"/>
      <c r="AH40" s="517"/>
      <c r="AK40" s="675">
        <v>29</v>
      </c>
      <c r="AL40" s="673">
        <v>354912.10943168448</v>
      </c>
      <c r="AM40" s="673">
        <f t="shared" si="3"/>
        <v>0</v>
      </c>
      <c r="AO40" s="145">
        <f>'[56]GRC Impacts'!$AA$35*1000</f>
        <v>354912.10943168448</v>
      </c>
    </row>
    <row r="41" spans="1:45" ht="15" x14ac:dyDescent="0.25">
      <c r="C41" s="145"/>
      <c r="V41" s="501">
        <f t="shared" si="8"/>
        <v>31</v>
      </c>
      <c r="W41" s="516"/>
      <c r="X41" s="515"/>
      <c r="Y41" s="513" t="s">
        <v>418</v>
      </c>
      <c r="Z41" s="513"/>
      <c r="AA41" s="513" t="s">
        <v>626</v>
      </c>
      <c r="AB41" s="512" t="s">
        <v>625</v>
      </c>
      <c r="AC41" s="498"/>
      <c r="AD41" s="514"/>
      <c r="AE41" s="513" t="s">
        <v>418</v>
      </c>
      <c r="AF41" s="513"/>
      <c r="AG41" s="513" t="s">
        <v>626</v>
      </c>
      <c r="AH41" s="512" t="s">
        <v>625</v>
      </c>
    </row>
    <row r="42" spans="1:45" ht="15" x14ac:dyDescent="0.25">
      <c r="C42" s="145"/>
      <c r="V42" s="501"/>
      <c r="W42" s="516"/>
      <c r="X42" s="515"/>
      <c r="Y42" s="513"/>
      <c r="Z42" s="513"/>
      <c r="AA42" s="513"/>
      <c r="AB42" s="512"/>
      <c r="AC42" s="498"/>
      <c r="AD42" s="514"/>
      <c r="AE42" s="513"/>
      <c r="AF42" s="513"/>
      <c r="AG42" s="513"/>
      <c r="AH42" s="512"/>
    </row>
    <row r="43" spans="1:45" ht="15" x14ac:dyDescent="0.25">
      <c r="A43"/>
      <c r="B43"/>
      <c r="C43"/>
      <c r="D43"/>
      <c r="E43"/>
      <c r="F43"/>
      <c r="G43"/>
      <c r="H43"/>
      <c r="I43"/>
      <c r="J43"/>
      <c r="V43" s="501"/>
      <c r="W43" s="516"/>
      <c r="X43" s="515"/>
      <c r="Y43" s="513"/>
      <c r="Z43" s="513"/>
      <c r="AA43" s="513"/>
      <c r="AB43" s="512"/>
      <c r="AC43" s="498"/>
      <c r="AD43" s="514"/>
      <c r="AE43" s="513"/>
      <c r="AF43" s="513"/>
      <c r="AG43" s="513"/>
      <c r="AH43" s="512"/>
    </row>
    <row r="44" spans="1:45" ht="15" x14ac:dyDescent="0.25">
      <c r="A44" s="727">
        <v>1</v>
      </c>
      <c r="B44" s="728" t="s">
        <v>74</v>
      </c>
      <c r="C44" s="729">
        <v>5428376676.1535749</v>
      </c>
      <c r="D44"/>
      <c r="E44"/>
      <c r="F44"/>
      <c r="G44"/>
      <c r="H44"/>
      <c r="I44"/>
      <c r="J44"/>
      <c r="V44" s="501">
        <f>+V41+1</f>
        <v>32</v>
      </c>
      <c r="W44" s="500" t="s">
        <v>624</v>
      </c>
      <c r="X44" s="511"/>
      <c r="Y44" s="510"/>
      <c r="Z44" s="510"/>
      <c r="AA44" s="510"/>
      <c r="AB44" s="509"/>
      <c r="AC44" s="498"/>
      <c r="AD44" s="511"/>
      <c r="AE44" s="510"/>
      <c r="AF44" s="510"/>
      <c r="AG44" s="510"/>
      <c r="AH44" s="509"/>
    </row>
    <row r="45" spans="1:45" ht="15" x14ac:dyDescent="0.25">
      <c r="A45" s="727">
        <v>2</v>
      </c>
      <c r="B45" s="730" t="s">
        <v>31</v>
      </c>
      <c r="C45" s="731">
        <v>7.6200000000000004E-2</v>
      </c>
      <c r="D45"/>
      <c r="E45"/>
      <c r="F45"/>
      <c r="G45"/>
      <c r="H45"/>
      <c r="I45"/>
      <c r="J45"/>
      <c r="V45" s="501">
        <f t="shared" si="8"/>
        <v>33</v>
      </c>
      <c r="W45" s="500" t="s">
        <v>623</v>
      </c>
      <c r="X45" s="508"/>
      <c r="Y45" s="507">
        <f>+AA45+AB45</f>
        <v>59.841043262330345</v>
      </c>
      <c r="Z45" s="507"/>
      <c r="AA45" s="507">
        <f>+AA37/$X$40</f>
        <v>26.94580891739113</v>
      </c>
      <c r="AB45" s="506">
        <f>+AB37/$X$40</f>
        <v>32.895234344939219</v>
      </c>
      <c r="AC45" s="498"/>
      <c r="AD45" s="508"/>
      <c r="AE45" s="507">
        <f>+AG45+AH45</f>
        <v>60.564861013501343</v>
      </c>
      <c r="AF45" s="507"/>
      <c r="AG45" s="507">
        <f>+AG37/$AD$40</f>
        <v>27.530674840477339</v>
      </c>
      <c r="AH45" s="506">
        <f>+AH37/$AD$40</f>
        <v>33.034186173024004</v>
      </c>
    </row>
    <row r="46" spans="1:45" ht="15.75" thickBot="1" x14ac:dyDescent="0.3">
      <c r="A46" s="727">
        <v>3</v>
      </c>
      <c r="B46" s="730"/>
      <c r="C46" s="732"/>
      <c r="D46"/>
      <c r="E46"/>
      <c r="F46"/>
      <c r="G46"/>
      <c r="H46"/>
      <c r="I46"/>
      <c r="J46"/>
      <c r="V46" s="501">
        <f t="shared" si="8"/>
        <v>34</v>
      </c>
      <c r="W46" s="500" t="s">
        <v>622</v>
      </c>
      <c r="X46" s="505"/>
      <c r="Y46" s="504">
        <f>+AA46+AB46</f>
        <v>62.832762411806087</v>
      </c>
      <c r="Z46" s="504"/>
      <c r="AA46" s="504">
        <f>+AA39/$X$40</f>
        <v>28.292949410628811</v>
      </c>
      <c r="AB46" s="503">
        <f>+AB39/$X$40</f>
        <v>34.539813001177272</v>
      </c>
      <c r="AC46" s="498"/>
      <c r="AD46" s="505"/>
      <c r="AE46" s="504">
        <f>+AG46+AH46</f>
        <v>63.59276702251119</v>
      </c>
      <c r="AF46" s="504"/>
      <c r="AG46" s="504">
        <f>+AG39/$AD$40</f>
        <v>28.907055375107717</v>
      </c>
      <c r="AH46" s="503">
        <f>+AH39/$AD$40</f>
        <v>34.685711647403473</v>
      </c>
    </row>
    <row r="47" spans="1:45" ht="15" x14ac:dyDescent="0.25">
      <c r="A47" s="727">
        <v>4</v>
      </c>
      <c r="B47" s="728" t="s">
        <v>75</v>
      </c>
      <c r="C47" s="733">
        <v>413642302.72290242</v>
      </c>
      <c r="D47"/>
      <c r="E47"/>
      <c r="F47"/>
      <c r="G47"/>
      <c r="H47"/>
      <c r="I47"/>
      <c r="J47"/>
      <c r="V47" s="501">
        <f t="shared" si="8"/>
        <v>35</v>
      </c>
      <c r="W47" s="500"/>
      <c r="X47" s="499"/>
      <c r="Y47" s="499"/>
      <c r="Z47" s="499"/>
      <c r="AA47" s="499"/>
      <c r="AB47" s="499"/>
      <c r="AC47" s="498"/>
      <c r="AD47" s="502"/>
      <c r="AE47" s="502"/>
      <c r="AF47" s="502"/>
      <c r="AG47" s="502"/>
      <c r="AH47" s="502"/>
    </row>
    <row r="48" spans="1:45" ht="15" x14ac:dyDescent="0.25">
      <c r="A48" s="727">
        <v>5</v>
      </c>
      <c r="B48" s="728"/>
      <c r="C48" s="734"/>
      <c r="D48"/>
      <c r="E48"/>
      <c r="F48"/>
      <c r="G48"/>
      <c r="H48"/>
      <c r="I48"/>
      <c r="J48"/>
      <c r="V48" s="501">
        <f t="shared" si="8"/>
        <v>36</v>
      </c>
      <c r="W48" s="500" t="s">
        <v>621</v>
      </c>
      <c r="X48" s="499"/>
      <c r="Y48" s="499"/>
      <c r="Z48" s="499"/>
      <c r="AA48" s="499"/>
      <c r="AB48" s="499"/>
      <c r="AC48" s="498"/>
      <c r="AD48" s="497"/>
      <c r="AE48" s="497"/>
      <c r="AF48" s="497"/>
      <c r="AG48" s="497"/>
      <c r="AH48" s="497"/>
    </row>
    <row r="49" spans="1:10" ht="15" x14ac:dyDescent="0.25">
      <c r="A49" s="727">
        <v>6</v>
      </c>
      <c r="B49" s="730" t="s">
        <v>76</v>
      </c>
      <c r="C49" s="733">
        <v>337744775.64435792</v>
      </c>
      <c r="D49"/>
      <c r="E49"/>
      <c r="F49"/>
      <c r="G49"/>
      <c r="H49"/>
      <c r="I49"/>
      <c r="J49"/>
    </row>
    <row r="50" spans="1:10" ht="15" x14ac:dyDescent="0.25">
      <c r="A50" s="727">
        <v>7</v>
      </c>
      <c r="B50" s="730" t="s">
        <v>77</v>
      </c>
      <c r="C50" s="735">
        <v>75897527.078544497</v>
      </c>
      <c r="D50"/>
      <c r="E50"/>
      <c r="F50"/>
      <c r="G50"/>
      <c r="H50"/>
      <c r="I50"/>
      <c r="J50"/>
    </row>
    <row r="51" spans="1:10" ht="15" x14ac:dyDescent="0.25">
      <c r="A51" s="727">
        <v>8</v>
      </c>
      <c r="B51" s="728"/>
      <c r="C51" s="734"/>
      <c r="D51"/>
      <c r="E51"/>
      <c r="F51"/>
      <c r="G51"/>
      <c r="H51"/>
      <c r="I51"/>
      <c r="J51"/>
    </row>
    <row r="52" spans="1:10" ht="15" x14ac:dyDescent="0.25">
      <c r="A52" s="727">
        <v>9</v>
      </c>
      <c r="B52" s="728" t="s">
        <v>78</v>
      </c>
      <c r="C52" s="736">
        <v>0.75138099999999997</v>
      </c>
      <c r="D52"/>
      <c r="E52"/>
      <c r="F52"/>
      <c r="G52"/>
      <c r="H52"/>
      <c r="I52"/>
      <c r="J52"/>
    </row>
    <row r="53" spans="1:10" ht="15" x14ac:dyDescent="0.25">
      <c r="A53" s="727">
        <v>10</v>
      </c>
      <c r="B53" s="734" t="s">
        <v>723</v>
      </c>
      <c r="C53" s="737">
        <v>101010708</v>
      </c>
      <c r="D53"/>
      <c r="E53"/>
      <c r="F53"/>
      <c r="G53"/>
      <c r="H53"/>
      <c r="I53"/>
      <c r="J53"/>
    </row>
    <row r="54" spans="1:10" ht="15" x14ac:dyDescent="0.25">
      <c r="A54" s="727">
        <v>11</v>
      </c>
      <c r="B54" s="734" t="s">
        <v>807</v>
      </c>
      <c r="C54" s="732"/>
      <c r="D54"/>
      <c r="E54"/>
      <c r="F54"/>
      <c r="G54"/>
      <c r="H54"/>
      <c r="I54"/>
      <c r="J54"/>
    </row>
    <row r="55" spans="1:10" ht="15" x14ac:dyDescent="0.25">
      <c r="A55" s="727">
        <v>12</v>
      </c>
      <c r="B55" s="738" t="s">
        <v>573</v>
      </c>
      <c r="C55" s="733">
        <v>-3117000</v>
      </c>
      <c r="D55"/>
      <c r="E55"/>
      <c r="F55"/>
      <c r="G55"/>
      <c r="H55"/>
      <c r="I55"/>
      <c r="J55"/>
    </row>
    <row r="56" spans="1:10" ht="15" x14ac:dyDescent="0.25">
      <c r="A56" s="727">
        <v>13</v>
      </c>
      <c r="B56" s="738" t="s">
        <v>574</v>
      </c>
      <c r="C56" s="733">
        <v>-25799000</v>
      </c>
      <c r="D56"/>
      <c r="E56"/>
      <c r="F56"/>
      <c r="G56"/>
      <c r="H56"/>
      <c r="I56"/>
      <c r="J56"/>
    </row>
    <row r="57" spans="1:10" ht="15" x14ac:dyDescent="0.25">
      <c r="A57" s="727">
        <v>14</v>
      </c>
      <c r="B57" s="738" t="s">
        <v>575</v>
      </c>
      <c r="C57" s="733">
        <v>25799000</v>
      </c>
      <c r="D57"/>
      <c r="E57"/>
      <c r="F57"/>
      <c r="G57"/>
      <c r="H57"/>
      <c r="I57"/>
      <c r="J57"/>
    </row>
    <row r="58" spans="1:10" ht="15" x14ac:dyDescent="0.25">
      <c r="A58" s="727">
        <v>15</v>
      </c>
      <c r="B58" s="734" t="s">
        <v>576</v>
      </c>
      <c r="C58" s="735">
        <v>-3117000</v>
      </c>
      <c r="D58"/>
      <c r="E58"/>
      <c r="F58"/>
      <c r="G58"/>
      <c r="H58"/>
      <c r="I58"/>
      <c r="J58"/>
    </row>
    <row r="59" spans="1:10" ht="15" x14ac:dyDescent="0.25">
      <c r="A59" s="727">
        <v>16</v>
      </c>
      <c r="B59" s="734"/>
      <c r="C59" s="732"/>
      <c r="D59"/>
      <c r="E59"/>
      <c r="F59"/>
      <c r="G59"/>
      <c r="H59"/>
      <c r="I59"/>
      <c r="J59"/>
    </row>
    <row r="60" spans="1:10" ht="15" x14ac:dyDescent="0.25">
      <c r="A60" s="727">
        <v>17</v>
      </c>
      <c r="B60" s="734" t="s">
        <v>577</v>
      </c>
      <c r="C60" s="739">
        <v>97893708</v>
      </c>
      <c r="D60"/>
      <c r="E60"/>
      <c r="F60"/>
      <c r="G60"/>
      <c r="H60"/>
      <c r="I60"/>
      <c r="J60"/>
    </row>
    <row r="61" spans="1:10" ht="15" x14ac:dyDescent="0.25">
      <c r="A61" s="727">
        <v>18</v>
      </c>
      <c r="B61" s="734"/>
      <c r="C61" s="739"/>
      <c r="D61"/>
      <c r="E61"/>
      <c r="F61"/>
      <c r="G61"/>
      <c r="H61"/>
      <c r="I61"/>
      <c r="J61"/>
    </row>
    <row r="62" spans="1:10" ht="15" x14ac:dyDescent="0.25">
      <c r="A62" s="727">
        <v>19</v>
      </c>
      <c r="B62" s="734" t="s">
        <v>603</v>
      </c>
      <c r="C62" s="739">
        <v>47715940.167788118</v>
      </c>
      <c r="D62"/>
      <c r="E62"/>
      <c r="F62"/>
      <c r="G62"/>
      <c r="H62"/>
      <c r="I62"/>
      <c r="J62"/>
    </row>
    <row r="63" spans="1:10" ht="15" x14ac:dyDescent="0.25">
      <c r="A63" s="727">
        <v>20</v>
      </c>
      <c r="B63" s="734"/>
      <c r="C63" s="740"/>
      <c r="D63"/>
      <c r="E63"/>
      <c r="F63"/>
      <c r="G63"/>
      <c r="H63"/>
      <c r="I63"/>
      <c r="J63"/>
    </row>
    <row r="64" spans="1:10" ht="15" x14ac:dyDescent="0.25">
      <c r="A64" s="727">
        <v>21</v>
      </c>
      <c r="B64" s="734" t="s">
        <v>726</v>
      </c>
      <c r="C64" s="739">
        <v>145609648.16778812</v>
      </c>
      <c r="D64"/>
      <c r="E64"/>
      <c r="F64"/>
      <c r="G64"/>
      <c r="H64"/>
      <c r="I64"/>
      <c r="J64"/>
    </row>
    <row r="65" spans="1:10" ht="15" x14ac:dyDescent="0.25">
      <c r="A65" s="727">
        <v>22</v>
      </c>
      <c r="B65" s="734"/>
      <c r="C65" s="739"/>
      <c r="D65"/>
      <c r="E65"/>
      <c r="F65"/>
      <c r="G65"/>
      <c r="H65"/>
      <c r="I65"/>
      <c r="J65"/>
    </row>
    <row r="66" spans="1:10" ht="15" x14ac:dyDescent="0.25">
      <c r="A66" s="727">
        <v>23</v>
      </c>
      <c r="B66" s="734" t="s">
        <v>602</v>
      </c>
      <c r="C66" s="739">
        <v>-5727889.2783564031</v>
      </c>
      <c r="D66"/>
      <c r="E66"/>
      <c r="F66"/>
      <c r="G66"/>
      <c r="H66"/>
      <c r="I66"/>
      <c r="J66"/>
    </row>
    <row r="67" spans="1:10" ht="15" x14ac:dyDescent="0.25">
      <c r="A67" s="727">
        <v>24</v>
      </c>
      <c r="B67" s="734"/>
      <c r="C67" s="740"/>
      <c r="D67"/>
      <c r="E67"/>
      <c r="F67"/>
      <c r="G67"/>
      <c r="H67"/>
      <c r="I67"/>
      <c r="J67"/>
    </row>
    <row r="68" spans="1:10" ht="15.75" thickBot="1" x14ac:dyDescent="0.3">
      <c r="A68" s="727">
        <v>25</v>
      </c>
      <c r="B68" s="734" t="s">
        <v>808</v>
      </c>
      <c r="C68" s="741">
        <v>139881758.88943172</v>
      </c>
      <c r="D68"/>
      <c r="E68"/>
      <c r="F68"/>
      <c r="G68"/>
      <c r="H68"/>
      <c r="I68"/>
      <c r="J68"/>
    </row>
    <row r="69" spans="1:10" ht="15.75" thickTop="1" x14ac:dyDescent="0.25">
      <c r="A69"/>
      <c r="B69"/>
      <c r="C69"/>
      <c r="D69"/>
      <c r="E69"/>
      <c r="F69"/>
      <c r="G69"/>
      <c r="H69"/>
      <c r="I69"/>
      <c r="J69"/>
    </row>
    <row r="70" spans="1:10" ht="15" x14ac:dyDescent="0.25">
      <c r="A70" s="727">
        <v>1</v>
      </c>
      <c r="B70" s="728" t="s">
        <v>74</v>
      </c>
      <c r="C70" s="729">
        <f>C12-C44</f>
        <v>-177944498.03849888</v>
      </c>
      <c r="D70"/>
      <c r="E70"/>
      <c r="F70"/>
      <c r="G70"/>
      <c r="H70"/>
      <c r="I70"/>
      <c r="J70"/>
    </row>
    <row r="71" spans="1:10" ht="15" x14ac:dyDescent="0.25">
      <c r="A71" s="727">
        <v>2</v>
      </c>
      <c r="B71" s="730" t="s">
        <v>31</v>
      </c>
      <c r="C71" s="731">
        <f t="shared" ref="C71:C94" si="9">C13-C45</f>
        <v>-1.8999999999999989E-3</v>
      </c>
      <c r="D71"/>
      <c r="E71"/>
      <c r="F71"/>
      <c r="G71"/>
      <c r="H71"/>
      <c r="I71"/>
      <c r="J71"/>
    </row>
    <row r="72" spans="1:10" ht="15" x14ac:dyDescent="0.25">
      <c r="A72" s="727">
        <v>3</v>
      </c>
      <c r="B72" s="730"/>
      <c r="C72" s="732">
        <f t="shared" si="9"/>
        <v>0</v>
      </c>
      <c r="D72"/>
      <c r="E72"/>
      <c r="F72"/>
      <c r="G72"/>
      <c r="H72"/>
      <c r="I72"/>
      <c r="J72"/>
    </row>
    <row r="73" spans="1:10" ht="15" x14ac:dyDescent="0.25">
      <c r="A73" s="727">
        <v>4</v>
      </c>
      <c r="B73" s="728" t="s">
        <v>75</v>
      </c>
      <c r="C73" s="733">
        <f t="shared" si="9"/>
        <v>-23535191.888952255</v>
      </c>
      <c r="D73"/>
      <c r="E73"/>
      <c r="F73"/>
      <c r="G73"/>
      <c r="H73"/>
      <c r="I73"/>
      <c r="J73"/>
    </row>
    <row r="74" spans="1:10" ht="15" x14ac:dyDescent="0.25">
      <c r="A74" s="727">
        <v>5</v>
      </c>
      <c r="B74" s="728"/>
      <c r="C74" s="734">
        <f t="shared" si="9"/>
        <v>0</v>
      </c>
      <c r="D74"/>
      <c r="E74"/>
      <c r="F74"/>
      <c r="G74"/>
      <c r="H74"/>
      <c r="I74"/>
      <c r="J74"/>
    </row>
    <row r="75" spans="1:10" ht="15" x14ac:dyDescent="0.25">
      <c r="A75" s="727">
        <v>6</v>
      </c>
      <c r="B75" s="730" t="s">
        <v>76</v>
      </c>
      <c r="C75" s="733">
        <f t="shared" si="9"/>
        <v>29769678.090913534</v>
      </c>
      <c r="D75"/>
      <c r="E75"/>
      <c r="F75"/>
      <c r="G75"/>
      <c r="H75"/>
      <c r="I75"/>
      <c r="J75"/>
    </row>
    <row r="76" spans="1:10" ht="15" x14ac:dyDescent="0.25">
      <c r="A76" s="727">
        <v>7</v>
      </c>
      <c r="B76" s="730" t="s">
        <v>77</v>
      </c>
      <c r="C76" s="735">
        <f t="shared" si="9"/>
        <v>-53304869.979865789</v>
      </c>
      <c r="D76"/>
      <c r="E76"/>
      <c r="F76"/>
      <c r="G76"/>
      <c r="H76"/>
      <c r="I76"/>
      <c r="J76"/>
    </row>
    <row r="77" spans="1:10" ht="15" x14ac:dyDescent="0.25">
      <c r="A77" s="727">
        <v>8</v>
      </c>
      <c r="B77" s="728"/>
      <c r="C77" s="734">
        <f t="shared" si="9"/>
        <v>0</v>
      </c>
      <c r="D77"/>
      <c r="E77"/>
      <c r="F77"/>
      <c r="G77"/>
      <c r="H77"/>
      <c r="I77"/>
      <c r="J77"/>
    </row>
    <row r="78" spans="1:10" ht="15" x14ac:dyDescent="0.25">
      <c r="A78" s="727">
        <v>9</v>
      </c>
      <c r="B78" s="728" t="s">
        <v>78</v>
      </c>
      <c r="C78" s="736">
        <f t="shared" si="9"/>
        <v>0</v>
      </c>
      <c r="D78"/>
      <c r="E78"/>
      <c r="F78"/>
      <c r="G78"/>
      <c r="H78"/>
      <c r="I78"/>
      <c r="J78"/>
    </row>
    <row r="79" spans="1:10" ht="15" x14ac:dyDescent="0.25">
      <c r="A79" s="727">
        <v>10</v>
      </c>
      <c r="B79" s="734" t="s">
        <v>723</v>
      </c>
      <c r="C79" s="737">
        <f t="shared" si="9"/>
        <v>-70942531</v>
      </c>
      <c r="D79"/>
      <c r="E79"/>
      <c r="F79"/>
      <c r="G79"/>
      <c r="H79"/>
      <c r="I79"/>
      <c r="J79"/>
    </row>
    <row r="80" spans="1:10" ht="15" x14ac:dyDescent="0.25">
      <c r="A80" s="727">
        <v>11</v>
      </c>
      <c r="B80" s="734" t="s">
        <v>807</v>
      </c>
      <c r="C80" s="732">
        <f t="shared" si="9"/>
        <v>0</v>
      </c>
      <c r="D80"/>
      <c r="E80"/>
      <c r="F80"/>
      <c r="G80"/>
      <c r="H80"/>
      <c r="I80"/>
      <c r="J80"/>
    </row>
    <row r="81" spans="1:10" ht="15" x14ac:dyDescent="0.25">
      <c r="A81" s="727">
        <v>12</v>
      </c>
      <c r="B81" s="738" t="s">
        <v>573</v>
      </c>
      <c r="C81" s="733">
        <f t="shared" si="9"/>
        <v>0</v>
      </c>
      <c r="D81"/>
      <c r="E81"/>
      <c r="F81"/>
      <c r="G81"/>
      <c r="H81"/>
      <c r="I81"/>
      <c r="J81"/>
    </row>
    <row r="82" spans="1:10" ht="15" x14ac:dyDescent="0.25">
      <c r="A82" s="727">
        <v>13</v>
      </c>
      <c r="B82" s="738" t="s">
        <v>574</v>
      </c>
      <c r="C82" s="733">
        <f t="shared" si="9"/>
        <v>0</v>
      </c>
      <c r="D82"/>
      <c r="E82"/>
      <c r="F82"/>
      <c r="G82"/>
      <c r="H82"/>
      <c r="I82"/>
      <c r="J82"/>
    </row>
    <row r="83" spans="1:10" ht="15" x14ac:dyDescent="0.25">
      <c r="A83" s="727">
        <v>14</v>
      </c>
      <c r="B83" s="738" t="s">
        <v>575</v>
      </c>
      <c r="C83" s="733">
        <f t="shared" si="9"/>
        <v>0</v>
      </c>
      <c r="D83"/>
      <c r="E83"/>
      <c r="F83"/>
      <c r="G83"/>
      <c r="H83"/>
      <c r="I83"/>
      <c r="J83"/>
    </row>
    <row r="84" spans="1:10" ht="15" x14ac:dyDescent="0.25">
      <c r="A84" s="727">
        <v>15</v>
      </c>
      <c r="B84" s="734" t="s">
        <v>576</v>
      </c>
      <c r="C84" s="735">
        <f t="shared" si="9"/>
        <v>0</v>
      </c>
      <c r="D84"/>
      <c r="E84"/>
      <c r="F84"/>
      <c r="G84"/>
      <c r="H84"/>
      <c r="I84"/>
      <c r="J84"/>
    </row>
    <row r="85" spans="1:10" ht="15" x14ac:dyDescent="0.25">
      <c r="A85" s="727">
        <v>16</v>
      </c>
      <c r="B85" s="734"/>
      <c r="C85" s="732">
        <f t="shared" si="9"/>
        <v>0</v>
      </c>
      <c r="D85"/>
      <c r="E85"/>
      <c r="F85"/>
      <c r="G85"/>
      <c r="H85"/>
      <c r="I85"/>
      <c r="J85"/>
    </row>
    <row r="86" spans="1:10" ht="15" x14ac:dyDescent="0.25">
      <c r="A86" s="727">
        <v>17</v>
      </c>
      <c r="B86" s="734" t="s">
        <v>577</v>
      </c>
      <c r="C86" s="739">
        <f t="shared" si="9"/>
        <v>-70942531</v>
      </c>
      <c r="D86"/>
      <c r="E86"/>
      <c r="F86"/>
      <c r="G86"/>
      <c r="H86"/>
      <c r="I86"/>
      <c r="J86"/>
    </row>
    <row r="87" spans="1:10" ht="15" x14ac:dyDescent="0.25">
      <c r="A87" s="727">
        <v>18</v>
      </c>
      <c r="B87" s="734"/>
      <c r="C87" s="739">
        <f t="shared" si="9"/>
        <v>0</v>
      </c>
      <c r="D87"/>
      <c r="E87"/>
      <c r="F87"/>
      <c r="G87"/>
      <c r="H87"/>
      <c r="I87"/>
      <c r="J87"/>
    </row>
    <row r="88" spans="1:10" ht="15" x14ac:dyDescent="0.25">
      <c r="A88" s="727">
        <v>19</v>
      </c>
      <c r="B88" s="734" t="s">
        <v>603</v>
      </c>
      <c r="C88" s="739">
        <f t="shared" si="9"/>
        <v>70942531</v>
      </c>
      <c r="D88"/>
      <c r="E88"/>
      <c r="F88"/>
      <c r="G88"/>
      <c r="H88"/>
      <c r="I88"/>
      <c r="J88"/>
    </row>
    <row r="89" spans="1:10" ht="15" x14ac:dyDescent="0.25">
      <c r="A89" s="727">
        <v>20</v>
      </c>
      <c r="B89" s="734"/>
      <c r="C89" s="740">
        <f t="shared" si="9"/>
        <v>0</v>
      </c>
      <c r="D89"/>
      <c r="E89"/>
      <c r="F89"/>
      <c r="G89"/>
      <c r="H89"/>
      <c r="I89"/>
      <c r="J89"/>
    </row>
    <row r="90" spans="1:10" ht="15" x14ac:dyDescent="0.25">
      <c r="A90" s="727">
        <v>21</v>
      </c>
      <c r="B90" s="734" t="s">
        <v>726</v>
      </c>
      <c r="C90" s="739">
        <f t="shared" si="9"/>
        <v>0</v>
      </c>
      <c r="D90"/>
      <c r="E90"/>
      <c r="F90"/>
      <c r="G90"/>
      <c r="H90"/>
      <c r="I90"/>
      <c r="J90"/>
    </row>
    <row r="91" spans="1:10" ht="15" x14ac:dyDescent="0.25">
      <c r="A91" s="727">
        <v>22</v>
      </c>
      <c r="B91" s="734"/>
      <c r="C91" s="739">
        <f t="shared" si="9"/>
        <v>0</v>
      </c>
      <c r="D91"/>
      <c r="E91"/>
      <c r="F91"/>
      <c r="G91"/>
      <c r="H91"/>
      <c r="I91"/>
      <c r="J91"/>
    </row>
    <row r="92" spans="1:10" ht="15" x14ac:dyDescent="0.25">
      <c r="A92" s="727">
        <v>23</v>
      </c>
      <c r="B92" s="734" t="s">
        <v>602</v>
      </c>
      <c r="C92" s="739">
        <f t="shared" si="9"/>
        <v>0</v>
      </c>
      <c r="D92"/>
      <c r="E92"/>
      <c r="F92"/>
      <c r="G92"/>
      <c r="H92"/>
      <c r="I92"/>
      <c r="J92"/>
    </row>
    <row r="93" spans="1:10" ht="15" x14ac:dyDescent="0.25">
      <c r="A93" s="727">
        <v>24</v>
      </c>
      <c r="B93" s="734"/>
      <c r="C93" s="740">
        <f t="shared" si="9"/>
        <v>0</v>
      </c>
      <c r="D93"/>
      <c r="E93"/>
      <c r="F93"/>
      <c r="G93"/>
      <c r="H93"/>
      <c r="I93"/>
      <c r="J93"/>
    </row>
    <row r="94" spans="1:10" ht="15.75" thickBot="1" x14ac:dyDescent="0.3">
      <c r="A94" s="727">
        <v>25</v>
      </c>
      <c r="B94" s="734" t="s">
        <v>808</v>
      </c>
      <c r="C94" s="741">
        <f t="shared" si="9"/>
        <v>0</v>
      </c>
      <c r="D94"/>
      <c r="E94"/>
      <c r="F94"/>
      <c r="G94"/>
      <c r="H94"/>
      <c r="I94"/>
      <c r="J94"/>
    </row>
    <row r="95" spans="1:10" ht="15.75" thickTop="1" x14ac:dyDescent="0.25">
      <c r="A95"/>
      <c r="B95"/>
      <c r="C95"/>
      <c r="D95"/>
      <c r="E95"/>
      <c r="F95"/>
      <c r="G95"/>
      <c r="H95"/>
      <c r="I95"/>
      <c r="J95"/>
    </row>
    <row r="96" spans="1:10" ht="15" x14ac:dyDescent="0.25">
      <c r="A96"/>
      <c r="B96"/>
      <c r="C96"/>
      <c r="D96"/>
      <c r="E96"/>
      <c r="F96"/>
      <c r="G96"/>
      <c r="H96"/>
      <c r="I96"/>
      <c r="J96"/>
    </row>
    <row r="97" spans="1:10" ht="15" x14ac:dyDescent="0.25">
      <c r="A97"/>
      <c r="B97"/>
      <c r="C97"/>
      <c r="D97"/>
      <c r="E97"/>
      <c r="F97"/>
      <c r="G97"/>
      <c r="H97"/>
      <c r="I97"/>
      <c r="J97"/>
    </row>
    <row r="98" spans="1:10" ht="15" x14ac:dyDescent="0.25">
      <c r="A98"/>
      <c r="B98"/>
      <c r="C98"/>
      <c r="D98"/>
      <c r="E98"/>
      <c r="F98"/>
      <c r="G98"/>
      <c r="H98"/>
      <c r="I98"/>
      <c r="J98"/>
    </row>
    <row r="99" spans="1:10" ht="15" x14ac:dyDescent="0.25">
      <c r="A99"/>
      <c r="B99"/>
      <c r="C99"/>
      <c r="D99"/>
      <c r="E99"/>
      <c r="F99"/>
      <c r="G99"/>
      <c r="H99"/>
      <c r="I99"/>
      <c r="J99"/>
    </row>
    <row r="100" spans="1:10" ht="15" x14ac:dyDescent="0.25">
      <c r="A100"/>
      <c r="B100"/>
      <c r="C100"/>
      <c r="D100"/>
      <c r="E100"/>
      <c r="F100"/>
      <c r="G100"/>
      <c r="H100"/>
      <c r="I100"/>
      <c r="J100"/>
    </row>
    <row r="101" spans="1:10" ht="15" x14ac:dyDescent="0.25">
      <c r="A101"/>
      <c r="B101"/>
      <c r="C101"/>
      <c r="D101"/>
      <c r="E101"/>
      <c r="F101"/>
      <c r="G101"/>
      <c r="H101"/>
      <c r="I101"/>
      <c r="J101"/>
    </row>
    <row r="102" spans="1:10" ht="15" x14ac:dyDescent="0.25">
      <c r="A102"/>
      <c r="B102"/>
      <c r="C102"/>
      <c r="D102"/>
      <c r="E102"/>
      <c r="F102"/>
      <c r="G102"/>
      <c r="H102"/>
      <c r="I102"/>
      <c r="J102"/>
    </row>
    <row r="103" spans="1:10" ht="15" x14ac:dyDescent="0.25">
      <c r="A103"/>
      <c r="B103"/>
      <c r="C103"/>
      <c r="D103"/>
      <c r="E103"/>
      <c r="F103"/>
      <c r="G103"/>
      <c r="H103"/>
      <c r="I103"/>
      <c r="J103"/>
    </row>
    <row r="104" spans="1:10" ht="15" x14ac:dyDescent="0.25">
      <c r="A104"/>
      <c r="B104"/>
      <c r="C104"/>
      <c r="D104"/>
      <c r="E104"/>
      <c r="F104"/>
      <c r="G104"/>
      <c r="H104"/>
      <c r="I104"/>
      <c r="J104"/>
    </row>
    <row r="105" spans="1:10" ht="15" x14ac:dyDescent="0.25">
      <c r="A105"/>
      <c r="B105"/>
      <c r="C105"/>
      <c r="D105"/>
      <c r="E105"/>
      <c r="F105"/>
      <c r="G105"/>
      <c r="H105"/>
      <c r="I105"/>
      <c r="J105"/>
    </row>
    <row r="106" spans="1:10" ht="15" x14ac:dyDescent="0.25">
      <c r="A106"/>
      <c r="B106"/>
      <c r="C106"/>
      <c r="D106"/>
      <c r="E106"/>
      <c r="F106"/>
      <c r="G106"/>
      <c r="H106"/>
      <c r="I106"/>
      <c r="J106"/>
    </row>
    <row r="107" spans="1:10" ht="15" x14ac:dyDescent="0.25">
      <c r="A107"/>
      <c r="B107"/>
      <c r="C107"/>
      <c r="D107"/>
      <c r="E107"/>
      <c r="F107"/>
      <c r="G107"/>
      <c r="H107"/>
      <c r="I107"/>
      <c r="J107"/>
    </row>
    <row r="108" spans="1:10" ht="15" x14ac:dyDescent="0.25">
      <c r="A108"/>
      <c r="B108"/>
      <c r="C108"/>
      <c r="D108"/>
      <c r="E108"/>
      <c r="F108"/>
      <c r="G108"/>
      <c r="H108"/>
      <c r="I108"/>
      <c r="J108"/>
    </row>
    <row r="109" spans="1:10" ht="15" x14ac:dyDescent="0.25">
      <c r="A109"/>
      <c r="B109"/>
      <c r="C109"/>
      <c r="D109"/>
      <c r="E109"/>
      <c r="F109"/>
      <c r="G109"/>
      <c r="H109"/>
      <c r="I109"/>
      <c r="J109"/>
    </row>
    <row r="110" spans="1:10" ht="15" x14ac:dyDescent="0.25">
      <c r="A110"/>
      <c r="B110"/>
      <c r="C110"/>
      <c r="D110"/>
      <c r="E110"/>
      <c r="F110"/>
      <c r="G110"/>
      <c r="H110"/>
      <c r="I110"/>
      <c r="J110"/>
    </row>
    <row r="111" spans="1:10" ht="15" x14ac:dyDescent="0.25">
      <c r="A111"/>
      <c r="B111"/>
      <c r="C111"/>
      <c r="D111"/>
      <c r="E111"/>
      <c r="F111"/>
      <c r="G111"/>
      <c r="H111"/>
      <c r="I111"/>
      <c r="J111"/>
    </row>
    <row r="112" spans="1:10" ht="15" x14ac:dyDescent="0.25">
      <c r="A112"/>
      <c r="B112"/>
      <c r="C112"/>
      <c r="D112"/>
      <c r="E112"/>
      <c r="F112"/>
      <c r="G112"/>
      <c r="H112"/>
      <c r="I112"/>
      <c r="J112"/>
    </row>
    <row r="113" spans="1:10" ht="15" x14ac:dyDescent="0.25">
      <c r="A113"/>
      <c r="B113"/>
      <c r="C113"/>
      <c r="D113"/>
      <c r="E113"/>
      <c r="F113"/>
      <c r="G113"/>
      <c r="H113"/>
      <c r="I113"/>
      <c r="J113"/>
    </row>
    <row r="114" spans="1:10" ht="15" x14ac:dyDescent="0.25">
      <c r="A114"/>
      <c r="B114"/>
      <c r="C114"/>
      <c r="D114"/>
      <c r="E114"/>
      <c r="F114"/>
      <c r="G114"/>
      <c r="H114"/>
      <c r="I114"/>
      <c r="J114"/>
    </row>
    <row r="115" spans="1:10" ht="15" x14ac:dyDescent="0.25">
      <c r="A115"/>
      <c r="B115"/>
      <c r="C115"/>
      <c r="D115"/>
      <c r="E115"/>
      <c r="F115"/>
      <c r="G115"/>
      <c r="H115"/>
      <c r="I115"/>
      <c r="J115"/>
    </row>
    <row r="116" spans="1:10" ht="15" x14ac:dyDescent="0.25">
      <c r="A116"/>
      <c r="B116"/>
      <c r="C116"/>
      <c r="D116"/>
      <c r="E116"/>
      <c r="F116"/>
      <c r="G116"/>
      <c r="H116"/>
      <c r="I116"/>
      <c r="J116"/>
    </row>
    <row r="117" spans="1:10" ht="15" x14ac:dyDescent="0.25">
      <c r="A117"/>
      <c r="B117"/>
      <c r="C117"/>
      <c r="D117"/>
      <c r="E117"/>
      <c r="F117"/>
      <c r="G117"/>
      <c r="H117"/>
      <c r="I117"/>
      <c r="J117"/>
    </row>
    <row r="118" spans="1:10" ht="15" x14ac:dyDescent="0.25">
      <c r="A118"/>
      <c r="B118"/>
      <c r="C118"/>
      <c r="D118"/>
      <c r="E118"/>
      <c r="F118"/>
      <c r="G118"/>
      <c r="H118"/>
      <c r="I118"/>
      <c r="J118"/>
    </row>
    <row r="119" spans="1:10" ht="15" x14ac:dyDescent="0.25">
      <c r="A119"/>
      <c r="B119"/>
      <c r="C119"/>
      <c r="D119"/>
      <c r="E119"/>
      <c r="F119"/>
      <c r="G119"/>
      <c r="H119"/>
      <c r="I119"/>
      <c r="J119"/>
    </row>
    <row r="120" spans="1:10" ht="15" x14ac:dyDescent="0.25">
      <c r="A120"/>
      <c r="B120"/>
      <c r="C120"/>
      <c r="D120"/>
      <c r="E120"/>
      <c r="F120"/>
      <c r="G120"/>
      <c r="H120"/>
      <c r="I120"/>
      <c r="J120"/>
    </row>
    <row r="121" spans="1:10" ht="15" x14ac:dyDescent="0.25">
      <c r="A121"/>
      <c r="B121"/>
      <c r="C121"/>
      <c r="D121"/>
      <c r="E121"/>
      <c r="F121"/>
      <c r="G121"/>
      <c r="H121"/>
      <c r="I121"/>
      <c r="J121"/>
    </row>
    <row r="122" spans="1:10" ht="15" x14ac:dyDescent="0.25">
      <c r="A122"/>
      <c r="B122"/>
      <c r="C122"/>
      <c r="D122"/>
      <c r="E122"/>
      <c r="F122"/>
      <c r="G122"/>
      <c r="H122"/>
      <c r="I122"/>
      <c r="J122"/>
    </row>
    <row r="123" spans="1:10" ht="15" x14ac:dyDescent="0.25">
      <c r="A123"/>
      <c r="B123"/>
      <c r="C123"/>
      <c r="D123"/>
      <c r="E123"/>
      <c r="F123"/>
      <c r="G123"/>
      <c r="H123"/>
      <c r="I123"/>
      <c r="J123"/>
    </row>
    <row r="124" spans="1:10" ht="15" x14ac:dyDescent="0.25">
      <c r="A124"/>
      <c r="B124"/>
      <c r="C124"/>
      <c r="D124"/>
      <c r="E124"/>
      <c r="F124"/>
      <c r="G124"/>
      <c r="H124"/>
      <c r="I124"/>
      <c r="J124"/>
    </row>
    <row r="125" spans="1:10" ht="15" x14ac:dyDescent="0.25">
      <c r="A125"/>
      <c r="B125"/>
      <c r="C125"/>
      <c r="D125"/>
      <c r="E125"/>
      <c r="F125"/>
      <c r="G125"/>
      <c r="H125"/>
      <c r="I125"/>
      <c r="J125"/>
    </row>
    <row r="126" spans="1:10" ht="15" x14ac:dyDescent="0.25">
      <c r="A126"/>
      <c r="B126"/>
      <c r="C126"/>
      <c r="D126"/>
      <c r="E126"/>
      <c r="F126"/>
      <c r="G126"/>
      <c r="H126"/>
      <c r="I126"/>
      <c r="J126"/>
    </row>
    <row r="127" spans="1:10" ht="15" x14ac:dyDescent="0.25">
      <c r="A127"/>
      <c r="B127"/>
      <c r="C127"/>
      <c r="D127"/>
      <c r="E127"/>
      <c r="F127"/>
      <c r="G127"/>
      <c r="H127"/>
      <c r="I127"/>
      <c r="J127"/>
    </row>
    <row r="128" spans="1:10" ht="15" x14ac:dyDescent="0.25">
      <c r="A128"/>
      <c r="B128"/>
      <c r="C128"/>
      <c r="D128"/>
      <c r="E128"/>
      <c r="F128"/>
      <c r="G128"/>
      <c r="H128"/>
      <c r="I128"/>
      <c r="J128"/>
    </row>
    <row r="129" spans="1:10" ht="15" x14ac:dyDescent="0.25">
      <c r="A129"/>
      <c r="B129"/>
      <c r="C129"/>
      <c r="D129"/>
      <c r="E129"/>
      <c r="F129"/>
      <c r="G129"/>
      <c r="H129"/>
      <c r="I129"/>
      <c r="J129"/>
    </row>
    <row r="130" spans="1:10" ht="15" x14ac:dyDescent="0.25">
      <c r="A130"/>
      <c r="B130"/>
      <c r="C130"/>
      <c r="D130"/>
      <c r="E130"/>
      <c r="F130"/>
      <c r="G130"/>
      <c r="H130"/>
      <c r="I130"/>
      <c r="J130"/>
    </row>
    <row r="131" spans="1:10" ht="15" x14ac:dyDescent="0.25">
      <c r="A131"/>
      <c r="B131"/>
      <c r="C131"/>
      <c r="D131"/>
      <c r="E131"/>
      <c r="F131"/>
      <c r="G131"/>
      <c r="H131"/>
      <c r="I131"/>
      <c r="J131"/>
    </row>
    <row r="132" spans="1:10" ht="15" x14ac:dyDescent="0.25">
      <c r="A132"/>
      <c r="B132"/>
      <c r="C132"/>
      <c r="D132"/>
      <c r="E132"/>
      <c r="F132"/>
      <c r="G132"/>
      <c r="H132"/>
      <c r="I132"/>
      <c r="J132"/>
    </row>
    <row r="133" spans="1:10" ht="15" x14ac:dyDescent="0.25">
      <c r="A133"/>
      <c r="B133"/>
      <c r="C133"/>
      <c r="D133"/>
      <c r="E133"/>
      <c r="F133"/>
      <c r="G133"/>
      <c r="H133"/>
      <c r="I133"/>
      <c r="J133"/>
    </row>
    <row r="134" spans="1:10" ht="15" x14ac:dyDescent="0.25">
      <c r="A134"/>
      <c r="B134"/>
      <c r="C134"/>
      <c r="D134"/>
      <c r="E134"/>
      <c r="F134"/>
      <c r="G134"/>
      <c r="H134"/>
      <c r="I134"/>
      <c r="J134"/>
    </row>
    <row r="135" spans="1:10" ht="15" x14ac:dyDescent="0.25">
      <c r="A135"/>
      <c r="B135"/>
      <c r="C135"/>
      <c r="D135"/>
      <c r="E135"/>
      <c r="F135"/>
      <c r="G135"/>
      <c r="H135"/>
      <c r="I135"/>
      <c r="J135"/>
    </row>
    <row r="136" spans="1:10" ht="15" x14ac:dyDescent="0.25">
      <c r="A136"/>
      <c r="B136"/>
      <c r="C136"/>
      <c r="D136"/>
      <c r="E136"/>
      <c r="F136"/>
      <c r="G136"/>
      <c r="H136"/>
      <c r="I136"/>
      <c r="J136"/>
    </row>
    <row r="137" spans="1:10" ht="15" x14ac:dyDescent="0.25">
      <c r="A137"/>
      <c r="B137"/>
      <c r="C137"/>
      <c r="D137"/>
      <c r="E137"/>
      <c r="F137"/>
      <c r="G137"/>
      <c r="H137"/>
      <c r="I137"/>
      <c r="J137"/>
    </row>
    <row r="138" spans="1:10" ht="15" x14ac:dyDescent="0.25">
      <c r="A138"/>
      <c r="B138"/>
      <c r="C138"/>
      <c r="D138"/>
      <c r="E138"/>
      <c r="F138"/>
      <c r="G138"/>
      <c r="H138"/>
      <c r="I138"/>
      <c r="J138"/>
    </row>
    <row r="139" spans="1:10" ht="15" x14ac:dyDescent="0.25">
      <c r="A139"/>
      <c r="B139"/>
      <c r="C139"/>
      <c r="D139"/>
      <c r="E139"/>
      <c r="F139"/>
      <c r="G139"/>
      <c r="H139"/>
      <c r="I139"/>
      <c r="J139"/>
    </row>
    <row r="140" spans="1:10" ht="15" x14ac:dyDescent="0.25">
      <c r="A140"/>
      <c r="B140"/>
      <c r="C140"/>
      <c r="D140"/>
      <c r="E140"/>
      <c r="F140"/>
      <c r="G140"/>
      <c r="H140"/>
      <c r="I140"/>
      <c r="J140"/>
    </row>
    <row r="141" spans="1:10" ht="15" x14ac:dyDescent="0.25">
      <c r="A141"/>
      <c r="B141"/>
      <c r="C141"/>
      <c r="D141"/>
      <c r="E141"/>
      <c r="F141"/>
      <c r="G141"/>
      <c r="H141"/>
      <c r="I141"/>
      <c r="J141"/>
    </row>
    <row r="142" spans="1:10" ht="15" x14ac:dyDescent="0.25">
      <c r="A142"/>
      <c r="B142"/>
      <c r="C142"/>
      <c r="D142"/>
      <c r="E142"/>
      <c r="F142"/>
      <c r="G142"/>
      <c r="H142"/>
      <c r="I142"/>
      <c r="J142"/>
    </row>
    <row r="143" spans="1:10" ht="15" x14ac:dyDescent="0.25">
      <c r="A143"/>
      <c r="B143"/>
      <c r="C143"/>
      <c r="D143"/>
      <c r="E143"/>
      <c r="F143"/>
      <c r="G143"/>
      <c r="H143"/>
      <c r="I143"/>
      <c r="J143"/>
    </row>
    <row r="144" spans="1:10" ht="15" x14ac:dyDescent="0.25">
      <c r="A144"/>
      <c r="B144"/>
      <c r="C144"/>
      <c r="D144"/>
      <c r="E144"/>
      <c r="F144"/>
      <c r="G144"/>
      <c r="H144"/>
      <c r="I144"/>
      <c r="J144"/>
    </row>
    <row r="145" spans="1:10" ht="15" x14ac:dyDescent="0.25">
      <c r="A145"/>
      <c r="B145"/>
      <c r="C145"/>
      <c r="D145"/>
      <c r="E145"/>
      <c r="F145"/>
      <c r="G145"/>
      <c r="H145"/>
      <c r="I145"/>
      <c r="J145"/>
    </row>
    <row r="146" spans="1:10" ht="15" x14ac:dyDescent="0.25">
      <c r="A146"/>
      <c r="B146"/>
      <c r="C146"/>
      <c r="D146"/>
      <c r="E146"/>
      <c r="F146"/>
      <c r="G146"/>
      <c r="H146"/>
      <c r="I146"/>
      <c r="J146"/>
    </row>
    <row r="147" spans="1:10" ht="15" x14ac:dyDescent="0.25">
      <c r="A147"/>
      <c r="B147"/>
      <c r="C147"/>
      <c r="D147"/>
      <c r="E147"/>
      <c r="F147"/>
      <c r="G147"/>
      <c r="H147"/>
      <c r="I147"/>
      <c r="J147"/>
    </row>
    <row r="148" spans="1:10" ht="15" x14ac:dyDescent="0.25">
      <c r="A148"/>
      <c r="B148"/>
      <c r="C148"/>
      <c r="D148"/>
      <c r="E148"/>
      <c r="F148"/>
      <c r="G148"/>
      <c r="H148"/>
      <c r="I148"/>
      <c r="J148"/>
    </row>
    <row r="149" spans="1:10" ht="15" x14ac:dyDescent="0.25">
      <c r="A149"/>
      <c r="B149"/>
      <c r="C149"/>
      <c r="D149"/>
      <c r="E149"/>
      <c r="F149"/>
      <c r="G149"/>
      <c r="H149"/>
      <c r="I149"/>
      <c r="J149"/>
    </row>
    <row r="150" spans="1:10" ht="15" x14ac:dyDescent="0.25">
      <c r="A150"/>
      <c r="B150"/>
      <c r="C150"/>
      <c r="D150"/>
      <c r="E150"/>
      <c r="F150"/>
      <c r="G150"/>
      <c r="H150"/>
      <c r="I150"/>
      <c r="J150"/>
    </row>
    <row r="151" spans="1:10" ht="15" x14ac:dyDescent="0.25">
      <c r="A151"/>
      <c r="B151"/>
      <c r="C151"/>
      <c r="D151"/>
      <c r="E151"/>
      <c r="F151"/>
      <c r="G151"/>
      <c r="H151"/>
      <c r="I151"/>
      <c r="J151"/>
    </row>
    <row r="152" spans="1:10" ht="15" x14ac:dyDescent="0.25">
      <c r="A152"/>
      <c r="B152"/>
      <c r="C152"/>
      <c r="D152"/>
      <c r="E152"/>
      <c r="F152"/>
      <c r="G152"/>
      <c r="H152"/>
      <c r="I152"/>
      <c r="J152"/>
    </row>
    <row r="153" spans="1:10" ht="15" x14ac:dyDescent="0.25">
      <c r="A153"/>
      <c r="B153"/>
      <c r="C153"/>
      <c r="D153"/>
      <c r="E153"/>
      <c r="F153"/>
      <c r="G153"/>
      <c r="H153"/>
      <c r="I153"/>
      <c r="J153"/>
    </row>
    <row r="154" spans="1:10" ht="15" x14ac:dyDescent="0.25">
      <c r="A154"/>
      <c r="B154"/>
      <c r="C154"/>
      <c r="D154"/>
      <c r="E154"/>
      <c r="F154"/>
      <c r="G154"/>
      <c r="H154"/>
      <c r="I154"/>
      <c r="J154"/>
    </row>
    <row r="155" spans="1:10" ht="15" x14ac:dyDescent="0.25">
      <c r="A155"/>
      <c r="B155"/>
      <c r="C155"/>
      <c r="D155"/>
      <c r="E155"/>
      <c r="F155"/>
      <c r="G155"/>
      <c r="H155"/>
      <c r="I155"/>
      <c r="J155"/>
    </row>
    <row r="156" spans="1:10" ht="15" x14ac:dyDescent="0.25">
      <c r="A156"/>
      <c r="B156"/>
      <c r="C156"/>
      <c r="D156"/>
      <c r="E156"/>
      <c r="F156"/>
      <c r="G156"/>
      <c r="H156"/>
      <c r="I156"/>
      <c r="J156"/>
    </row>
    <row r="157" spans="1:10" ht="15" x14ac:dyDescent="0.25">
      <c r="A157"/>
      <c r="B157"/>
      <c r="C157"/>
      <c r="D157"/>
      <c r="E157"/>
      <c r="F157"/>
      <c r="G157"/>
      <c r="H157"/>
      <c r="I157"/>
      <c r="J157"/>
    </row>
    <row r="158" spans="1:10" ht="15" x14ac:dyDescent="0.25">
      <c r="A158"/>
      <c r="B158"/>
      <c r="C158"/>
      <c r="D158"/>
      <c r="E158"/>
      <c r="F158"/>
      <c r="G158"/>
      <c r="H158"/>
      <c r="I158"/>
      <c r="J158"/>
    </row>
    <row r="159" spans="1:10" ht="15" x14ac:dyDescent="0.25">
      <c r="A159"/>
      <c r="B159"/>
      <c r="C159"/>
      <c r="D159"/>
      <c r="E159"/>
      <c r="F159"/>
      <c r="G159"/>
      <c r="H159"/>
      <c r="I159"/>
      <c r="J159"/>
    </row>
    <row r="160" spans="1:10" ht="15" x14ac:dyDescent="0.25">
      <c r="A160"/>
      <c r="B160"/>
      <c r="C160"/>
      <c r="D160"/>
      <c r="E160"/>
      <c r="F160"/>
      <c r="G160"/>
      <c r="H160"/>
      <c r="I160"/>
      <c r="J160"/>
    </row>
    <row r="161" spans="1:10" ht="15" x14ac:dyDescent="0.25">
      <c r="A161"/>
      <c r="B161"/>
      <c r="C161"/>
      <c r="D161"/>
      <c r="E161"/>
      <c r="F161"/>
      <c r="G161"/>
      <c r="H161"/>
      <c r="I161"/>
      <c r="J161"/>
    </row>
    <row r="162" spans="1:10" ht="15" x14ac:dyDescent="0.25">
      <c r="A162"/>
      <c r="B162"/>
      <c r="C162"/>
      <c r="D162"/>
      <c r="E162"/>
      <c r="F162"/>
      <c r="G162"/>
      <c r="H162"/>
      <c r="I162"/>
      <c r="J162"/>
    </row>
    <row r="163" spans="1:10" ht="15" x14ac:dyDescent="0.25">
      <c r="A163"/>
      <c r="B163"/>
      <c r="C163"/>
      <c r="D163"/>
      <c r="E163"/>
      <c r="F163"/>
      <c r="G163"/>
      <c r="H163"/>
      <c r="I163"/>
      <c r="J163"/>
    </row>
    <row r="164" spans="1:10" ht="15" x14ac:dyDescent="0.25">
      <c r="A164"/>
      <c r="B164"/>
      <c r="C164"/>
      <c r="D164"/>
      <c r="E164"/>
      <c r="F164"/>
      <c r="G164"/>
      <c r="H164"/>
      <c r="I164"/>
      <c r="J164"/>
    </row>
    <row r="165" spans="1:10" ht="15" x14ac:dyDescent="0.25">
      <c r="A165"/>
      <c r="B165"/>
      <c r="C165"/>
      <c r="D165"/>
      <c r="E165"/>
      <c r="F165"/>
      <c r="G165"/>
      <c r="H165"/>
      <c r="I165"/>
      <c r="J165"/>
    </row>
    <row r="166" spans="1:10" ht="15" x14ac:dyDescent="0.25">
      <c r="A166"/>
      <c r="B166"/>
      <c r="C166"/>
      <c r="D166"/>
      <c r="E166"/>
      <c r="F166"/>
      <c r="G166"/>
      <c r="H166"/>
      <c r="I166"/>
      <c r="J166"/>
    </row>
    <row r="167" spans="1:10" ht="15" x14ac:dyDescent="0.25">
      <c r="A167"/>
      <c r="B167"/>
      <c r="C167"/>
      <c r="D167"/>
      <c r="E167"/>
      <c r="F167"/>
      <c r="G167"/>
      <c r="H167"/>
      <c r="I167"/>
      <c r="J167"/>
    </row>
    <row r="168" spans="1:10" ht="15" x14ac:dyDescent="0.25">
      <c r="A168"/>
      <c r="B168"/>
      <c r="C168"/>
      <c r="D168"/>
      <c r="E168"/>
      <c r="F168"/>
      <c r="G168"/>
      <c r="H168"/>
      <c r="I168"/>
      <c r="J168"/>
    </row>
    <row r="169" spans="1:10" ht="15" x14ac:dyDescent="0.25">
      <c r="A169"/>
      <c r="B169"/>
      <c r="C169"/>
      <c r="D169"/>
      <c r="E169"/>
      <c r="F169"/>
      <c r="G169"/>
      <c r="H169"/>
      <c r="I169"/>
      <c r="J169"/>
    </row>
    <row r="170" spans="1:10" ht="15" x14ac:dyDescent="0.25">
      <c r="A170"/>
      <c r="B170"/>
      <c r="C170"/>
      <c r="D170"/>
      <c r="E170"/>
      <c r="F170"/>
      <c r="G170"/>
      <c r="H170"/>
      <c r="I170"/>
      <c r="J170"/>
    </row>
    <row r="171" spans="1:10" ht="15" x14ac:dyDescent="0.25">
      <c r="A171"/>
      <c r="B171"/>
      <c r="C171"/>
      <c r="D171"/>
      <c r="E171"/>
      <c r="F171"/>
      <c r="G171"/>
      <c r="H171"/>
      <c r="I171"/>
      <c r="J171"/>
    </row>
    <row r="172" spans="1:10" ht="15" x14ac:dyDescent="0.25">
      <c r="A172"/>
      <c r="B172"/>
      <c r="C172"/>
      <c r="D172"/>
      <c r="E172"/>
      <c r="F172"/>
      <c r="G172"/>
      <c r="H172"/>
      <c r="I172"/>
      <c r="J172"/>
    </row>
    <row r="173" spans="1:10" ht="15" x14ac:dyDescent="0.25">
      <c r="A173"/>
      <c r="B173"/>
      <c r="C173"/>
      <c r="D173"/>
      <c r="E173"/>
      <c r="F173"/>
      <c r="G173"/>
      <c r="H173"/>
      <c r="I173"/>
      <c r="J173"/>
    </row>
    <row r="174" spans="1:10" ht="15" x14ac:dyDescent="0.25">
      <c r="A174"/>
      <c r="B174"/>
      <c r="C174"/>
      <c r="D174"/>
      <c r="E174"/>
      <c r="F174"/>
      <c r="G174"/>
      <c r="H174"/>
      <c r="I174"/>
      <c r="J174"/>
    </row>
    <row r="175" spans="1:10" ht="15" x14ac:dyDescent="0.25">
      <c r="A175"/>
      <c r="B175"/>
      <c r="C175"/>
      <c r="D175"/>
      <c r="E175"/>
      <c r="F175"/>
      <c r="G175"/>
      <c r="H175"/>
      <c r="I175"/>
      <c r="J175"/>
    </row>
    <row r="176" spans="1:10" ht="15" x14ac:dyDescent="0.25">
      <c r="A176"/>
      <c r="B176"/>
      <c r="C176"/>
      <c r="D176"/>
      <c r="E176"/>
      <c r="F176"/>
      <c r="G176"/>
      <c r="H176"/>
      <c r="I176"/>
      <c r="J176"/>
    </row>
    <row r="177" spans="1:10" ht="15" x14ac:dyDescent="0.25">
      <c r="A177"/>
      <c r="B177"/>
      <c r="C177"/>
      <c r="D177"/>
      <c r="E177"/>
      <c r="F177"/>
      <c r="G177"/>
      <c r="H177"/>
      <c r="I177"/>
      <c r="J177"/>
    </row>
    <row r="178" spans="1:10" ht="15" x14ac:dyDescent="0.25">
      <c r="A178"/>
      <c r="B178"/>
      <c r="C178"/>
      <c r="D178"/>
      <c r="E178"/>
      <c r="F178"/>
      <c r="G178"/>
      <c r="H178"/>
      <c r="I178"/>
      <c r="J178"/>
    </row>
    <row r="179" spans="1:10" ht="15" x14ac:dyDescent="0.25">
      <c r="A179"/>
      <c r="B179"/>
      <c r="C179"/>
      <c r="D179"/>
      <c r="E179"/>
      <c r="F179"/>
      <c r="G179"/>
      <c r="H179"/>
      <c r="I179"/>
      <c r="J179"/>
    </row>
    <row r="180" spans="1:10" ht="15" x14ac:dyDescent="0.25">
      <c r="A180"/>
      <c r="B180"/>
      <c r="C180"/>
      <c r="D180"/>
      <c r="E180"/>
      <c r="F180"/>
      <c r="G180"/>
      <c r="H180"/>
      <c r="I180"/>
      <c r="J180"/>
    </row>
    <row r="181" spans="1:10" ht="15" x14ac:dyDescent="0.25">
      <c r="A181"/>
      <c r="B181"/>
      <c r="C181"/>
      <c r="D181"/>
      <c r="E181"/>
      <c r="F181"/>
      <c r="G181"/>
      <c r="H181"/>
      <c r="I181"/>
      <c r="J181"/>
    </row>
    <row r="182" spans="1:10" ht="15" x14ac:dyDescent="0.25">
      <c r="A182"/>
      <c r="B182"/>
      <c r="C182"/>
      <c r="D182"/>
      <c r="E182"/>
      <c r="F182"/>
      <c r="G182"/>
      <c r="H182"/>
      <c r="I182"/>
      <c r="J182"/>
    </row>
    <row r="183" spans="1:10" ht="15" x14ac:dyDescent="0.25">
      <c r="A183"/>
      <c r="B183"/>
      <c r="C183"/>
      <c r="D183"/>
      <c r="E183"/>
      <c r="F183"/>
      <c r="G183"/>
      <c r="H183"/>
      <c r="I183"/>
      <c r="J183"/>
    </row>
    <row r="184" spans="1:10" ht="15" x14ac:dyDescent="0.25">
      <c r="A184"/>
      <c r="B184"/>
      <c r="C184"/>
      <c r="D184"/>
      <c r="E184"/>
      <c r="F184"/>
      <c r="G184"/>
      <c r="H184"/>
      <c r="I184"/>
      <c r="J184"/>
    </row>
    <row r="185" spans="1:10" ht="15" x14ac:dyDescent="0.25">
      <c r="A185"/>
      <c r="B185"/>
      <c r="C185"/>
      <c r="D185"/>
      <c r="E185"/>
      <c r="F185"/>
      <c r="G185"/>
      <c r="H185"/>
      <c r="I185"/>
      <c r="J185"/>
    </row>
    <row r="186" spans="1:10" ht="15" x14ac:dyDescent="0.25">
      <c r="A186"/>
      <c r="B186"/>
      <c r="C186"/>
      <c r="D186"/>
      <c r="E186"/>
      <c r="F186"/>
      <c r="G186"/>
      <c r="H186"/>
      <c r="I186"/>
      <c r="J186"/>
    </row>
    <row r="187" spans="1:10" ht="15" x14ac:dyDescent="0.25">
      <c r="A187"/>
      <c r="B187"/>
      <c r="C187"/>
      <c r="D187"/>
      <c r="E187"/>
      <c r="F187"/>
      <c r="G187"/>
      <c r="H187"/>
      <c r="I187"/>
      <c r="J187"/>
    </row>
    <row r="188" spans="1:10" ht="15" x14ac:dyDescent="0.25">
      <c r="A188"/>
      <c r="B188"/>
      <c r="C188"/>
      <c r="D188"/>
      <c r="E188"/>
      <c r="F188"/>
      <c r="G188"/>
      <c r="H188"/>
      <c r="I188"/>
      <c r="J188"/>
    </row>
    <row r="189" spans="1:10" ht="15" x14ac:dyDescent="0.25">
      <c r="A189"/>
      <c r="B189"/>
      <c r="C189"/>
      <c r="D189"/>
      <c r="E189"/>
      <c r="F189"/>
      <c r="G189"/>
      <c r="H189"/>
      <c r="I189"/>
      <c r="J189"/>
    </row>
    <row r="190" spans="1:10" ht="15" x14ac:dyDescent="0.25">
      <c r="A190"/>
      <c r="B190"/>
      <c r="C190"/>
      <c r="D190"/>
      <c r="E190"/>
      <c r="F190"/>
      <c r="G190"/>
      <c r="H190"/>
      <c r="I190"/>
      <c r="J190"/>
    </row>
    <row r="191" spans="1:10" ht="15" x14ac:dyDescent="0.25">
      <c r="A191"/>
      <c r="B191"/>
      <c r="C191"/>
      <c r="D191"/>
      <c r="E191"/>
      <c r="F191"/>
      <c r="G191"/>
      <c r="H191"/>
      <c r="I191"/>
      <c r="J191"/>
    </row>
    <row r="192" spans="1:10" ht="15" x14ac:dyDescent="0.25">
      <c r="A192"/>
      <c r="B192"/>
      <c r="C192"/>
      <c r="D192"/>
      <c r="E192"/>
      <c r="F192"/>
      <c r="G192"/>
      <c r="H192"/>
      <c r="I192"/>
      <c r="J192"/>
    </row>
    <row r="193" spans="1:10" ht="15" x14ac:dyDescent="0.25">
      <c r="A193"/>
      <c r="B193"/>
      <c r="C193"/>
      <c r="D193"/>
      <c r="E193"/>
      <c r="F193"/>
      <c r="G193"/>
      <c r="H193"/>
      <c r="I193"/>
      <c r="J193"/>
    </row>
    <row r="194" spans="1:10" ht="15" x14ac:dyDescent="0.25">
      <c r="A194"/>
      <c r="B194"/>
      <c r="C194"/>
      <c r="D194"/>
      <c r="E194"/>
      <c r="F194"/>
      <c r="G194"/>
      <c r="H194"/>
      <c r="I194"/>
      <c r="J194"/>
    </row>
    <row r="195" spans="1:10" ht="15" x14ac:dyDescent="0.25">
      <c r="A195"/>
      <c r="B195"/>
      <c r="C195"/>
      <c r="D195"/>
      <c r="E195"/>
      <c r="F195"/>
      <c r="G195"/>
      <c r="H195"/>
      <c r="I195"/>
      <c r="J195"/>
    </row>
    <row r="196" spans="1:10" ht="15" x14ac:dyDescent="0.25">
      <c r="A196"/>
      <c r="B196"/>
      <c r="C196"/>
      <c r="D196"/>
      <c r="E196"/>
      <c r="F196"/>
      <c r="G196"/>
      <c r="H196"/>
      <c r="I196"/>
      <c r="J196"/>
    </row>
    <row r="197" spans="1:10" ht="15" x14ac:dyDescent="0.25">
      <c r="A197"/>
      <c r="B197"/>
      <c r="C197"/>
      <c r="D197"/>
      <c r="E197"/>
      <c r="F197"/>
      <c r="G197"/>
      <c r="H197"/>
      <c r="I197"/>
      <c r="J197"/>
    </row>
    <row r="198" spans="1:10" ht="15" x14ac:dyDescent="0.25">
      <c r="A198"/>
      <c r="B198"/>
      <c r="C198"/>
      <c r="D198"/>
      <c r="E198"/>
      <c r="F198"/>
      <c r="G198"/>
      <c r="H198"/>
      <c r="I198"/>
      <c r="J198"/>
    </row>
  </sheetData>
  <pageMargins left="0.7" right="0.7" top="0.75" bottom="0.75" header="0.3" footer="0.3"/>
  <pageSetup scale="1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78"/>
  <sheetViews>
    <sheetView zoomScale="85" zoomScaleNormal="85" workbookViewId="0">
      <pane xSplit="2" ySplit="11" topLeftCell="C12" activePane="bottomRight" state="frozen"/>
      <selection activeCell="F42" sqref="F42"/>
      <selection pane="topRight" activeCell="F42" sqref="F42"/>
      <selection pane="bottomLeft" activeCell="F42" sqref="F42"/>
      <selection pane="bottomRight" activeCell="C12" sqref="C12"/>
    </sheetView>
  </sheetViews>
  <sheetFormatPr defaultColWidth="9.140625" defaultRowHeight="15" x14ac:dyDescent="0.25"/>
  <cols>
    <col min="1" max="1" width="4.5703125" style="1" bestFit="1" customWidth="1"/>
    <col min="2" max="2" width="52.5703125" style="1" customWidth="1"/>
    <col min="3" max="3" width="17.28515625" style="347" bestFit="1" customWidth="1"/>
    <col min="4" max="4" width="15.28515625" style="347" customWidth="1"/>
    <col min="5" max="5" width="17" style="347" customWidth="1"/>
    <col min="6" max="6" width="15.28515625" style="347" customWidth="1"/>
    <col min="7" max="7" width="17" style="1" customWidth="1"/>
    <col min="8" max="8" width="15.28515625" style="347" customWidth="1"/>
    <col min="9" max="9" width="17.140625" style="1" customWidth="1"/>
    <col min="10" max="16384" width="9.140625" style="1"/>
  </cols>
  <sheetData>
    <row r="1" spans="1:9" x14ac:dyDescent="0.25">
      <c r="A1" s="346" t="s">
        <v>45</v>
      </c>
      <c r="C1" s="346"/>
    </row>
    <row r="2" spans="1:9" x14ac:dyDescent="0.25">
      <c r="A2" s="346" t="s">
        <v>274</v>
      </c>
      <c r="C2" s="346"/>
      <c r="H2" s="367" t="s">
        <v>505</v>
      </c>
      <c r="I2" s="368"/>
    </row>
    <row r="3" spans="1:9" x14ac:dyDescent="0.25">
      <c r="A3" s="346" t="s">
        <v>275</v>
      </c>
      <c r="C3" s="346"/>
    </row>
    <row r="4" spans="1:9" x14ac:dyDescent="0.25">
      <c r="A4" s="346" t="str">
        <f>CASE_E</f>
        <v>2019 GENERAL RATE CASE</v>
      </c>
      <c r="C4" s="346"/>
    </row>
    <row r="5" spans="1:9" x14ac:dyDescent="0.25">
      <c r="A5" s="346" t="str">
        <f>TESTYEAR_E</f>
        <v>12 MONTHS ENDED DECEMBER 31, 2018</v>
      </c>
      <c r="C5" s="346"/>
    </row>
    <row r="6" spans="1:9" x14ac:dyDescent="0.25">
      <c r="C6" s="348"/>
      <c r="D6" s="348"/>
      <c r="E6" s="348"/>
      <c r="F6" s="348"/>
    </row>
    <row r="7" spans="1:9" x14ac:dyDescent="0.25">
      <c r="G7" s="347"/>
      <c r="I7" s="347"/>
    </row>
    <row r="9" spans="1:9" x14ac:dyDescent="0.25">
      <c r="C9" s="3" t="s">
        <v>40</v>
      </c>
      <c r="D9" s="3"/>
      <c r="E9" s="3" t="s">
        <v>105</v>
      </c>
      <c r="F9" s="3"/>
      <c r="G9" s="3" t="s">
        <v>67</v>
      </c>
      <c r="H9" s="3" t="s">
        <v>579</v>
      </c>
      <c r="I9" s="3" t="s">
        <v>68</v>
      </c>
    </row>
    <row r="10" spans="1:9" ht="13.5" customHeight="1" x14ac:dyDescent="0.25">
      <c r="A10" s="3" t="s">
        <v>43</v>
      </c>
      <c r="B10" s="3" t="s">
        <v>73</v>
      </c>
      <c r="C10" s="3" t="s">
        <v>41</v>
      </c>
      <c r="D10" s="3" t="s">
        <v>255</v>
      </c>
      <c r="E10" s="3" t="s">
        <v>41</v>
      </c>
      <c r="F10" s="3" t="s">
        <v>93</v>
      </c>
      <c r="G10" s="3" t="s">
        <v>41</v>
      </c>
      <c r="H10" s="3" t="s">
        <v>580</v>
      </c>
      <c r="I10" s="3" t="s">
        <v>70</v>
      </c>
    </row>
    <row r="11" spans="1:9" x14ac:dyDescent="0.25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8" t="s">
        <v>71</v>
      </c>
      <c r="H11" s="218" t="s">
        <v>581</v>
      </c>
      <c r="I11" s="218" t="str">
        <f>IF(H18&lt;0,"DECREASE","INCREASE")</f>
        <v>INCREASE</v>
      </c>
    </row>
    <row r="12" spans="1:9" x14ac:dyDescent="0.25">
      <c r="C12" s="349" t="s">
        <v>276</v>
      </c>
      <c r="D12" s="349" t="s">
        <v>277</v>
      </c>
      <c r="E12" s="349" t="s">
        <v>502</v>
      </c>
      <c r="F12" s="349" t="s">
        <v>278</v>
      </c>
      <c r="G12" s="292" t="s">
        <v>503</v>
      </c>
      <c r="H12" s="349" t="s">
        <v>280</v>
      </c>
      <c r="I12" s="292" t="s">
        <v>504</v>
      </c>
    </row>
    <row r="13" spans="1:9" x14ac:dyDescent="0.25">
      <c r="A13" s="282">
        <v>1</v>
      </c>
      <c r="B13" s="246" t="s">
        <v>0</v>
      </c>
    </row>
    <row r="14" spans="1:9" x14ac:dyDescent="0.25">
      <c r="A14" s="282">
        <f t="shared" ref="A14:A45" si="0">A13+1</f>
        <v>2</v>
      </c>
      <c r="B14" s="246" t="s">
        <v>1</v>
      </c>
      <c r="C14" s="30">
        <f>+'BGM-9 (2) Detailed Summary'!C14</f>
        <v>2165233766.8899999</v>
      </c>
      <c r="D14" s="30">
        <f>+'BGM-9 (2) Detailed Summary'!AI14</f>
        <v>-159861470.62876797</v>
      </c>
      <c r="E14" s="30">
        <f>SUM(C14:D14)</f>
        <v>2005372296.2612319</v>
      </c>
      <c r="F14" s="30">
        <f>+'BGM-9 (2) Detailed Summary'!BP14</f>
        <v>-8685448.4800000004</v>
      </c>
      <c r="G14" s="30">
        <f>SUM(E14:F14)</f>
        <v>1996686847.7812319</v>
      </c>
      <c r="H14" s="30">
        <f>'COC, Def, ConvF'!C21-H15</f>
        <v>29713264.890568316</v>
      </c>
      <c r="I14" s="30">
        <f>SUM(G14:H14)</f>
        <v>2026400112.6718001</v>
      </c>
    </row>
    <row r="15" spans="1:9" x14ac:dyDescent="0.25">
      <c r="A15" s="282">
        <f t="shared" si="0"/>
        <v>3</v>
      </c>
      <c r="B15" s="246" t="s">
        <v>2</v>
      </c>
      <c r="C15" s="57">
        <f>+'BGM-9 (2) Detailed Summary'!C15</f>
        <v>340431.51999999897</v>
      </c>
      <c r="D15" s="57">
        <f>+'BGM-9 (2) Detailed Summary'!AI15</f>
        <v>-13071.359999999999</v>
      </c>
      <c r="E15" s="57">
        <f>SUM(C15:D15)</f>
        <v>327360.15999999898</v>
      </c>
      <c r="F15" s="57">
        <f>+'BGM-9 (2) Detailed Summary'!BP15</f>
        <v>0</v>
      </c>
      <c r="G15" s="57">
        <f>SUM(E15:F15)</f>
        <v>327360.15999999898</v>
      </c>
      <c r="H15" s="57">
        <f>'COC, Def, ConvF'!C40</f>
        <v>354912.10943168448</v>
      </c>
      <c r="I15" s="57">
        <f>SUM(G15:H15)</f>
        <v>682272.26943168347</v>
      </c>
    </row>
    <row r="16" spans="1:9" x14ac:dyDescent="0.25">
      <c r="A16" s="282">
        <f t="shared" si="0"/>
        <v>4</v>
      </c>
      <c r="B16" s="246" t="s">
        <v>3</v>
      </c>
      <c r="C16" s="57">
        <f>+'BGM-9 (2) Detailed Summary'!C16</f>
        <v>155333122.24000001</v>
      </c>
      <c r="D16" s="57">
        <f>+'BGM-9 (2) Detailed Summary'!AI16</f>
        <v>0</v>
      </c>
      <c r="E16" s="57">
        <f>SUM(C16:D16)</f>
        <v>155333122.24000001</v>
      </c>
      <c r="F16" s="57">
        <f>+'BGM-9 (2) Detailed Summary'!BP16</f>
        <v>-149863634.21735081</v>
      </c>
      <c r="G16" s="57">
        <f>SUM(E16:F16)</f>
        <v>5469488.0226491988</v>
      </c>
      <c r="H16" s="57"/>
      <c r="I16" s="57">
        <f>SUM(G16:H16)</f>
        <v>5469488.0226491988</v>
      </c>
    </row>
    <row r="17" spans="1:9" x14ac:dyDescent="0.25">
      <c r="A17" s="282">
        <f t="shared" si="0"/>
        <v>5</v>
      </c>
      <c r="B17" s="246" t="s">
        <v>4</v>
      </c>
      <c r="C17" s="57">
        <f>+'BGM-9 (2) Detailed Summary'!C17</f>
        <v>122175867.17999999</v>
      </c>
      <c r="D17" s="57">
        <f>+'BGM-9 (2) Detailed Summary'!AI17</f>
        <v>17627311.820000004</v>
      </c>
      <c r="E17" s="57">
        <f>SUM(C17:D17)</f>
        <v>139803179</v>
      </c>
      <c r="F17" s="57">
        <f>+'BGM-9 (2) Detailed Summary'!BP17</f>
        <v>-62972000.016836591</v>
      </c>
      <c r="G17" s="57">
        <f>SUM(E17:F17)</f>
        <v>76831178.983163416</v>
      </c>
      <c r="H17" s="57"/>
      <c r="I17" s="57">
        <f>SUM(G17:H17)</f>
        <v>76831178.983163416</v>
      </c>
    </row>
    <row r="18" spans="1:9" x14ac:dyDescent="0.25">
      <c r="A18" s="282">
        <f t="shared" si="0"/>
        <v>6</v>
      </c>
      <c r="B18" s="246" t="s">
        <v>5</v>
      </c>
      <c r="C18" s="418">
        <f t="shared" ref="C18:I18" si="1">SUM(C14:C17)</f>
        <v>2443083187.8299994</v>
      </c>
      <c r="D18" s="418">
        <f t="shared" si="1"/>
        <v>-142247230.16876799</v>
      </c>
      <c r="E18" s="418">
        <f t="shared" si="1"/>
        <v>2300835957.661232</v>
      </c>
      <c r="F18" s="418">
        <f t="shared" si="1"/>
        <v>-221521082.71418738</v>
      </c>
      <c r="G18" s="418">
        <f t="shared" si="1"/>
        <v>2079314874.9470446</v>
      </c>
      <c r="H18" s="418">
        <f t="shared" si="1"/>
        <v>30068177</v>
      </c>
      <c r="I18" s="418">
        <f t="shared" si="1"/>
        <v>2109383051.9470444</v>
      </c>
    </row>
    <row r="19" spans="1:9" s="350" customFormat="1" x14ac:dyDescent="0.25">
      <c r="A19" s="282">
        <f t="shared" si="0"/>
        <v>7</v>
      </c>
      <c r="B19" s="311"/>
      <c r="C19" s="57"/>
      <c r="D19" s="57"/>
      <c r="E19" s="57"/>
      <c r="F19" s="57"/>
      <c r="G19" s="57"/>
      <c r="H19" s="57"/>
      <c r="I19" s="57"/>
    </row>
    <row r="20" spans="1:9" x14ac:dyDescent="0.25">
      <c r="A20" s="282">
        <f t="shared" si="0"/>
        <v>8</v>
      </c>
      <c r="B20" s="246" t="s">
        <v>6</v>
      </c>
      <c r="G20" s="347"/>
      <c r="I20" s="347"/>
    </row>
    <row r="21" spans="1:9" x14ac:dyDescent="0.25">
      <c r="A21" s="282">
        <f t="shared" si="0"/>
        <v>9</v>
      </c>
      <c r="B21" s="155"/>
      <c r="G21" s="347"/>
      <c r="I21" s="347"/>
    </row>
    <row r="22" spans="1:9" x14ac:dyDescent="0.25">
      <c r="A22" s="282">
        <f t="shared" si="0"/>
        <v>10</v>
      </c>
      <c r="B22" s="246" t="s">
        <v>7</v>
      </c>
      <c r="G22" s="347"/>
      <c r="I22" s="347"/>
    </row>
    <row r="23" spans="1:9" x14ac:dyDescent="0.25">
      <c r="A23" s="282">
        <f t="shared" si="0"/>
        <v>11</v>
      </c>
      <c r="B23" s="246" t="s">
        <v>8</v>
      </c>
      <c r="C23" s="351">
        <f>+'BGM-9 (2) Detailed Summary'!C23</f>
        <v>204174130.28999999</v>
      </c>
      <c r="D23" s="351">
        <f>+'BGM-9 (2) Detailed Summary'!AI23</f>
        <v>1063362.3599999994</v>
      </c>
      <c r="E23" s="351">
        <f>SUM(C23:D23)</f>
        <v>205237492.64999998</v>
      </c>
      <c r="F23" s="351">
        <f>+'BGM-9 (2) Detailed Summary'!BP23</f>
        <v>-23911080.237536922</v>
      </c>
      <c r="G23" s="351">
        <f>SUM(E23:F23)</f>
        <v>181326412.41246307</v>
      </c>
      <c r="H23" s="352"/>
      <c r="I23" s="351">
        <f>SUM(G23:H23)</f>
        <v>181326412.41246307</v>
      </c>
    </row>
    <row r="24" spans="1:9" x14ac:dyDescent="0.25">
      <c r="A24" s="282">
        <f t="shared" si="0"/>
        <v>12</v>
      </c>
      <c r="B24" s="246" t="s">
        <v>9</v>
      </c>
      <c r="C24" s="57">
        <f>+'BGM-9 (2) Detailed Summary'!C24</f>
        <v>591842797.56999886</v>
      </c>
      <c r="D24" s="57">
        <f>+'BGM-9 (2) Detailed Summary'!AI24</f>
        <v>8537087.6701091882</v>
      </c>
      <c r="E24" s="57">
        <f>SUM(C24:D24)</f>
        <v>600379885.24010801</v>
      </c>
      <c r="F24" s="57">
        <f>+'BGM-9 (2) Detailed Summary'!BP24</f>
        <v>-153700326.32723856</v>
      </c>
      <c r="G24" s="57">
        <f>SUM(E24:F24)</f>
        <v>446679558.91286945</v>
      </c>
      <c r="H24" s="82"/>
      <c r="I24" s="57">
        <f>SUM(G24:H24)</f>
        <v>446679558.91286945</v>
      </c>
    </row>
    <row r="25" spans="1:9" x14ac:dyDescent="0.25">
      <c r="A25" s="282">
        <f t="shared" si="0"/>
        <v>13</v>
      </c>
      <c r="B25" s="246" t="s">
        <v>10</v>
      </c>
      <c r="C25" s="57">
        <f>+'BGM-9 (2) Detailed Summary'!C25</f>
        <v>115807777.5999999</v>
      </c>
      <c r="D25" s="57">
        <f>+'BGM-9 (2) Detailed Summary'!AI25</f>
        <v>0</v>
      </c>
      <c r="E25" s="57">
        <f>SUM(C25:D25)</f>
        <v>115807777.5999999</v>
      </c>
      <c r="F25" s="57">
        <f>+'BGM-9 (2) Detailed Summary'!BP25</f>
        <v>-3473456.2753740251</v>
      </c>
      <c r="G25" s="57">
        <f>SUM(E25:F25)</f>
        <v>112334321.32462588</v>
      </c>
      <c r="H25" s="82"/>
      <c r="I25" s="57">
        <f>SUM(G25:H25)</f>
        <v>112334321.32462588</v>
      </c>
    </row>
    <row r="26" spans="1:9" x14ac:dyDescent="0.25">
      <c r="A26" s="282">
        <f t="shared" si="0"/>
        <v>14</v>
      </c>
      <c r="B26" s="155" t="s">
        <v>11</v>
      </c>
      <c r="C26" s="57">
        <f>+'BGM-9 (2) Detailed Summary'!C26</f>
        <v>-77453659.509999901</v>
      </c>
      <c r="D26" s="57">
        <f>+'BGM-9 (2) Detailed Summary'!AI26</f>
        <v>77453659.510000005</v>
      </c>
      <c r="E26" s="57">
        <f>SUM(C26:D26)</f>
        <v>0</v>
      </c>
      <c r="F26" s="57">
        <f>+'BGM-9 (2) Detailed Summary'!BP26</f>
        <v>0</v>
      </c>
      <c r="G26" s="57">
        <f>SUM(E26:F26)</f>
        <v>0</v>
      </c>
      <c r="H26" s="82"/>
      <c r="I26" s="57">
        <f>SUM(G26:H26)</f>
        <v>0</v>
      </c>
    </row>
    <row r="27" spans="1:9" x14ac:dyDescent="0.25">
      <c r="A27" s="282">
        <f t="shared" si="0"/>
        <v>15</v>
      </c>
      <c r="B27" s="246" t="s">
        <v>12</v>
      </c>
      <c r="C27" s="419">
        <f t="shared" ref="C27:I27" si="2">SUM(C22:C26)</f>
        <v>834371045.94999886</v>
      </c>
      <c r="D27" s="419">
        <f t="shared" si="2"/>
        <v>87054109.540109187</v>
      </c>
      <c r="E27" s="419">
        <f t="shared" si="2"/>
        <v>921425155.49010789</v>
      </c>
      <c r="F27" s="419">
        <f t="shared" si="2"/>
        <v>-181084862.84014949</v>
      </c>
      <c r="G27" s="419">
        <f t="shared" si="2"/>
        <v>740340292.64995837</v>
      </c>
      <c r="H27" s="418">
        <f t="shared" si="2"/>
        <v>0</v>
      </c>
      <c r="I27" s="419">
        <f t="shared" si="2"/>
        <v>740340292.64995837</v>
      </c>
    </row>
    <row r="28" spans="1:9" x14ac:dyDescent="0.25">
      <c r="A28" s="282">
        <f t="shared" si="0"/>
        <v>16</v>
      </c>
      <c r="B28" s="246"/>
      <c r="C28" s="351"/>
      <c r="D28" s="351"/>
      <c r="E28" s="351"/>
      <c r="F28" s="351"/>
      <c r="G28" s="351"/>
      <c r="H28" s="352"/>
      <c r="I28" s="351"/>
    </row>
    <row r="29" spans="1:9" x14ac:dyDescent="0.25">
      <c r="A29" s="282">
        <f t="shared" si="0"/>
        <v>17</v>
      </c>
      <c r="B29" s="2" t="s">
        <v>13</v>
      </c>
      <c r="C29" s="351">
        <f>+'BGM-9 (2) Detailed Summary'!C29</f>
        <v>127167992.89</v>
      </c>
      <c r="D29" s="351">
        <f>+'BGM-9 (2) Detailed Summary'!AI29</f>
        <v>-35955.199816429289</v>
      </c>
      <c r="E29" s="351">
        <f t="shared" ref="E29:E43" si="3">SUM(C29:D29)</f>
        <v>127132037.69018357</v>
      </c>
      <c r="F29" s="351">
        <f>+'BGM-9 (2) Detailed Summary'!BP29</f>
        <v>-17956245.52205608</v>
      </c>
      <c r="G29" s="351">
        <f t="shared" ref="G29:G43" si="4">SUM(E29:F29)</f>
        <v>109175792.16812748</v>
      </c>
      <c r="H29" s="352"/>
      <c r="I29" s="351">
        <f t="shared" ref="I29:I43" si="5">SUM(G29:H29)</f>
        <v>109175792.16812748</v>
      </c>
    </row>
    <row r="30" spans="1:9" x14ac:dyDescent="0.25">
      <c r="A30" s="282">
        <f t="shared" si="0"/>
        <v>18</v>
      </c>
      <c r="B30" s="246" t="s">
        <v>14</v>
      </c>
      <c r="C30" s="57">
        <f>+'BGM-9 (2) Detailed Summary'!C30</f>
        <v>24439502.479999997</v>
      </c>
      <c r="D30" s="57">
        <f>+'BGM-9 (2) Detailed Summary'!AI30</f>
        <v>-119633.45425329165</v>
      </c>
      <c r="E30" s="57">
        <f t="shared" si="3"/>
        <v>24319869.025746707</v>
      </c>
      <c r="F30" s="57">
        <f>+'BGM-9 (2) Detailed Summary'!BP30</f>
        <v>488386.45716514532</v>
      </c>
      <c r="G30" s="57">
        <f t="shared" si="4"/>
        <v>24808255.482911851</v>
      </c>
      <c r="H30" s="82"/>
      <c r="I30" s="57">
        <f t="shared" si="5"/>
        <v>24808255.482911851</v>
      </c>
    </row>
    <row r="31" spans="1:9" x14ac:dyDescent="0.25">
      <c r="A31" s="282">
        <f t="shared" si="0"/>
        <v>19</v>
      </c>
      <c r="B31" s="246" t="s">
        <v>15</v>
      </c>
      <c r="C31" s="57">
        <f>+'BGM-9 (2) Detailed Summary'!C31</f>
        <v>83251239.00999999</v>
      </c>
      <c r="D31" s="57">
        <f>+'BGM-9 (2) Detailed Summary'!AI31</f>
        <v>70205.134423830081</v>
      </c>
      <c r="E31" s="57">
        <f t="shared" si="3"/>
        <v>83321444.144423828</v>
      </c>
      <c r="F31" s="57">
        <f>+'BGM-9 (2) Detailed Summary'!BP31</f>
        <v>2247362.7262155674</v>
      </c>
      <c r="G31" s="57">
        <f t="shared" si="4"/>
        <v>85568806.870639399</v>
      </c>
      <c r="H31" s="82"/>
      <c r="I31" s="57">
        <f t="shared" si="5"/>
        <v>85568806.870639399</v>
      </c>
    </row>
    <row r="32" spans="1:9" x14ac:dyDescent="0.25">
      <c r="A32" s="282">
        <f t="shared" si="0"/>
        <v>20</v>
      </c>
      <c r="B32" s="246" t="s">
        <v>16</v>
      </c>
      <c r="C32" s="57">
        <f>+'BGM-9 (2) Detailed Summary'!C32</f>
        <v>53199861.179999992</v>
      </c>
      <c r="D32" s="57">
        <f>+'BGM-9 (2) Detailed Summary'!AI32</f>
        <v>-785610.69141446229</v>
      </c>
      <c r="E32" s="57">
        <f t="shared" si="3"/>
        <v>52414250.488585532</v>
      </c>
      <c r="F32" s="57">
        <f>+'BGM-9 (2) Detailed Summary'!BP32</f>
        <v>-326604.9939308294</v>
      </c>
      <c r="G32" s="57">
        <f t="shared" si="4"/>
        <v>52087645.4946547</v>
      </c>
      <c r="H32" s="82">
        <f>'COC, Def, ConvF'!C21*'COC, Def, ConvF'!M12</f>
        <v>254948.07278300001</v>
      </c>
      <c r="I32" s="57">
        <f t="shared" si="5"/>
        <v>52342593.567437701</v>
      </c>
    </row>
    <row r="33" spans="1:9" x14ac:dyDescent="0.25">
      <c r="A33" s="282">
        <f t="shared" si="0"/>
        <v>21</v>
      </c>
      <c r="B33" s="246" t="s">
        <v>17</v>
      </c>
      <c r="C33" s="57">
        <f>+'BGM-9 (2) Detailed Summary'!C33</f>
        <v>22140921.049999997</v>
      </c>
      <c r="D33" s="57">
        <f>+'BGM-9 (2) Detailed Summary'!AI33</f>
        <v>-18125239.842409734</v>
      </c>
      <c r="E33" s="57">
        <f t="shared" si="3"/>
        <v>4015681.2075902633</v>
      </c>
      <c r="F33" s="57">
        <f>+'BGM-9 (2) Detailed Summary'!BP33</f>
        <v>67858.879361970816</v>
      </c>
      <c r="G33" s="57">
        <f t="shared" si="4"/>
        <v>4083540.0869522342</v>
      </c>
      <c r="H33" s="82"/>
      <c r="I33" s="57">
        <f t="shared" si="5"/>
        <v>4083540.0869522342</v>
      </c>
    </row>
    <row r="34" spans="1:9" x14ac:dyDescent="0.25">
      <c r="A34" s="282">
        <f t="shared" si="0"/>
        <v>22</v>
      </c>
      <c r="B34" s="246" t="s">
        <v>18</v>
      </c>
      <c r="C34" s="57">
        <f>+'BGM-9 (2) Detailed Summary'!C34</f>
        <v>97087902.950000003</v>
      </c>
      <c r="D34" s="57">
        <f>+'BGM-9 (2) Detailed Summary'!AI34</f>
        <v>-97087902.950000003</v>
      </c>
      <c r="E34" s="57">
        <f t="shared" si="3"/>
        <v>0</v>
      </c>
      <c r="F34" s="57">
        <f>+'BGM-9 (2) Detailed Summary'!BP34</f>
        <v>0</v>
      </c>
      <c r="G34" s="57">
        <f t="shared" si="4"/>
        <v>0</v>
      </c>
      <c r="H34" s="82"/>
      <c r="I34" s="57">
        <f t="shared" si="5"/>
        <v>0</v>
      </c>
    </row>
    <row r="35" spans="1:9" x14ac:dyDescent="0.25">
      <c r="A35" s="282">
        <f t="shared" si="0"/>
        <v>23</v>
      </c>
      <c r="B35" s="246" t="s">
        <v>19</v>
      </c>
      <c r="C35" s="57">
        <f>+'BGM-9 (2) Detailed Summary'!C35</f>
        <v>124825410.95999999</v>
      </c>
      <c r="D35" s="57">
        <f>+'BGM-9 (2) Detailed Summary'!AI35</f>
        <v>749849.10089959786</v>
      </c>
      <c r="E35" s="57">
        <f t="shared" si="3"/>
        <v>125575260.06089959</v>
      </c>
      <c r="F35" s="57">
        <f>+'BGM-9 (2) Detailed Summary'!BP35</f>
        <v>2214754.4517713739</v>
      </c>
      <c r="G35" s="57">
        <f t="shared" si="4"/>
        <v>127790014.51267096</v>
      </c>
      <c r="H35" s="82">
        <f>'COC, Def, ConvF'!C21*'COC, Def, ConvF'!M13</f>
        <v>60136.353999999999</v>
      </c>
      <c r="I35" s="57">
        <f t="shared" si="5"/>
        <v>127850150.86667097</v>
      </c>
    </row>
    <row r="36" spans="1:9" x14ac:dyDescent="0.25">
      <c r="A36" s="282">
        <f t="shared" si="0"/>
        <v>24</v>
      </c>
      <c r="B36" s="246" t="s">
        <v>20</v>
      </c>
      <c r="C36" s="57">
        <f>+'BGM-9 (2) Detailed Summary'!C36</f>
        <v>341625259.95999998</v>
      </c>
      <c r="D36" s="57">
        <f>+'BGM-9 (2) Detailed Summary'!AI36</f>
        <v>-24158612.067493394</v>
      </c>
      <c r="E36" s="57">
        <f t="shared" si="3"/>
        <v>317466647.8925066</v>
      </c>
      <c r="F36" s="57">
        <f>+'BGM-9 (2) Detailed Summary'!BP36</f>
        <v>1231993.5097277348</v>
      </c>
      <c r="G36" s="57">
        <f t="shared" si="4"/>
        <v>318698641.40223432</v>
      </c>
      <c r="H36" s="82"/>
      <c r="I36" s="57">
        <f t="shared" si="5"/>
        <v>318698641.40223432</v>
      </c>
    </row>
    <row r="37" spans="1:9" x14ac:dyDescent="0.25">
      <c r="A37" s="282">
        <f t="shared" si="0"/>
        <v>25</v>
      </c>
      <c r="B37" s="246" t="s">
        <v>21</v>
      </c>
      <c r="C37" s="57">
        <f>+'BGM-9 (2) Detailed Summary'!C37</f>
        <v>75292958.060000002</v>
      </c>
      <c r="D37" s="57">
        <f>+'BGM-9 (2) Detailed Summary'!AI37</f>
        <v>15699257.697837964</v>
      </c>
      <c r="E37" s="57">
        <f t="shared" si="3"/>
        <v>90992215.757837966</v>
      </c>
      <c r="F37" s="57">
        <f>+'BGM-9 (2) Detailed Summary'!BP37</f>
        <v>297689.49830866605</v>
      </c>
      <c r="G37" s="57">
        <f t="shared" si="4"/>
        <v>91289905.25614664</v>
      </c>
      <c r="H37" s="82"/>
      <c r="I37" s="57">
        <f t="shared" si="5"/>
        <v>91289905.25614664</v>
      </c>
    </row>
    <row r="38" spans="1:9" x14ac:dyDescent="0.25">
      <c r="A38" s="282">
        <f t="shared" si="0"/>
        <v>26</v>
      </c>
      <c r="B38" s="2" t="s">
        <v>22</v>
      </c>
      <c r="C38" s="57">
        <f>+'BGM-9 (2) Detailed Summary'!C38</f>
        <v>35645161.039999902</v>
      </c>
      <c r="D38" s="57">
        <f>+'BGM-9 (2) Detailed Summary'!AI38</f>
        <v>0</v>
      </c>
      <c r="E38" s="57">
        <f t="shared" si="3"/>
        <v>35645161.039999902</v>
      </c>
      <c r="F38" s="57">
        <f>+'BGM-9 (2) Detailed Summary'!BP38</f>
        <v>7505238.283406239</v>
      </c>
      <c r="G38" s="57">
        <f t="shared" si="4"/>
        <v>43150399.323406145</v>
      </c>
      <c r="H38" s="82"/>
      <c r="I38" s="57">
        <f t="shared" si="5"/>
        <v>43150399.323406145</v>
      </c>
    </row>
    <row r="39" spans="1:9" x14ac:dyDescent="0.25">
      <c r="A39" s="282">
        <f t="shared" si="0"/>
        <v>27</v>
      </c>
      <c r="B39" s="246" t="s">
        <v>23</v>
      </c>
      <c r="C39" s="57">
        <f>+'BGM-9 (2) Detailed Summary'!C39</f>
        <v>-21632953.829999994</v>
      </c>
      <c r="D39" s="57">
        <f>+'BGM-9 (2) Detailed Summary'!AI39</f>
        <v>31433177.98</v>
      </c>
      <c r="E39" s="57">
        <f t="shared" si="3"/>
        <v>9800224.150000006</v>
      </c>
      <c r="F39" s="57">
        <f>+'BGM-9 (2) Detailed Summary'!BP39</f>
        <v>-334740.6455982551</v>
      </c>
      <c r="G39" s="57">
        <f t="shared" si="4"/>
        <v>9465483.5044017509</v>
      </c>
      <c r="H39" s="82"/>
      <c r="I39" s="57">
        <f t="shared" si="5"/>
        <v>9465483.5044017509</v>
      </c>
    </row>
    <row r="40" spans="1:9" x14ac:dyDescent="0.25">
      <c r="A40" s="282">
        <f t="shared" si="0"/>
        <v>28</v>
      </c>
      <c r="B40" s="155" t="s">
        <v>24</v>
      </c>
      <c r="C40" s="57">
        <f>+'BGM-9 (2) Detailed Summary'!C40</f>
        <v>-41661500.859999999</v>
      </c>
      <c r="D40" s="57">
        <f>+'BGM-9 (2) Detailed Summary'!AI40</f>
        <v>41661500.859999999</v>
      </c>
      <c r="E40" s="57">
        <f t="shared" si="3"/>
        <v>0</v>
      </c>
      <c r="F40" s="57">
        <f>+'BGM-9 (2) Detailed Summary'!BP40</f>
        <v>0</v>
      </c>
      <c r="G40" s="57">
        <f t="shared" si="4"/>
        <v>0</v>
      </c>
      <c r="H40" s="82"/>
      <c r="I40" s="57">
        <f t="shared" si="5"/>
        <v>0</v>
      </c>
    </row>
    <row r="41" spans="1:9" x14ac:dyDescent="0.25">
      <c r="A41" s="282">
        <f t="shared" si="0"/>
        <v>29</v>
      </c>
      <c r="B41" s="246" t="s">
        <v>25</v>
      </c>
      <c r="C41" s="57">
        <f>+'BGM-9 (2) Detailed Summary'!C41</f>
        <v>234440433.30000001</v>
      </c>
      <c r="D41" s="57">
        <f>+'BGM-9 (2) Detailed Summary'!AI41</f>
        <v>-146669918.51362866</v>
      </c>
      <c r="E41" s="57">
        <f t="shared" si="3"/>
        <v>87770514.78637135</v>
      </c>
      <c r="F41" s="57">
        <f>+'BGM-9 (2) Detailed Summary'!BP41</f>
        <v>-1314689.0401014178</v>
      </c>
      <c r="G41" s="57">
        <f t="shared" si="4"/>
        <v>86455825.746269926</v>
      </c>
      <c r="H41" s="82">
        <f>'COC, Def, ConvF'!C21*'COC, Def, ConvF'!M14</f>
        <v>1154798.4058620001</v>
      </c>
      <c r="I41" s="57">
        <f t="shared" si="5"/>
        <v>87610624.15213193</v>
      </c>
    </row>
    <row r="42" spans="1:9" x14ac:dyDescent="0.25">
      <c r="A42" s="282">
        <f t="shared" si="0"/>
        <v>30</v>
      </c>
      <c r="B42" s="246" t="s">
        <v>26</v>
      </c>
      <c r="C42" s="57">
        <f>+'BGM-9 (2) Detailed Summary'!C42</f>
        <v>22841555.030000001</v>
      </c>
      <c r="D42" s="57">
        <f>+'BGM-9 (2) Detailed Summary'!AI42</f>
        <v>69911895.663705572</v>
      </c>
      <c r="E42" s="57">
        <f t="shared" si="3"/>
        <v>92753450.693705574</v>
      </c>
      <c r="F42" s="57">
        <f>+'BGM-9 (2) Detailed Summary'!BP42</f>
        <v>-6293808.6136710122</v>
      </c>
      <c r="G42" s="57">
        <f t="shared" si="4"/>
        <v>86459642.080034554</v>
      </c>
      <c r="H42" s="82">
        <f>'COC, Def, ConvF'!C21*'COC, Def, ConvF'!M19</f>
        <v>6005637.2649179995</v>
      </c>
      <c r="I42" s="57">
        <f t="shared" si="5"/>
        <v>92465279.344952554</v>
      </c>
    </row>
    <row r="43" spans="1:9" x14ac:dyDescent="0.25">
      <c r="A43" s="282">
        <f t="shared" si="0"/>
        <v>31</v>
      </c>
      <c r="B43" s="155" t="s">
        <v>27</v>
      </c>
      <c r="C43" s="57">
        <f>+'BGM-9 (2) Detailed Summary'!C43</f>
        <v>38907707.560000002</v>
      </c>
      <c r="D43" s="57">
        <f>+'BGM-9 (2) Detailed Summary'!AI43</f>
        <v>-97475158.686635017</v>
      </c>
      <c r="E43" s="57">
        <f t="shared" si="3"/>
        <v>-58567451.126635015</v>
      </c>
      <c r="F43" s="57">
        <f>+'BGM-9 (2) Detailed Summary'!BP43</f>
        <v>-9006372.2399999984</v>
      </c>
      <c r="G43" s="57">
        <f t="shared" si="4"/>
        <v>-67573823.36663501</v>
      </c>
      <c r="H43" s="57"/>
      <c r="I43" s="57">
        <f t="shared" si="5"/>
        <v>-67573823.36663501</v>
      </c>
    </row>
    <row r="44" spans="1:9" x14ac:dyDescent="0.25">
      <c r="A44" s="282">
        <f t="shared" si="0"/>
        <v>32</v>
      </c>
      <c r="B44" s="246" t="s">
        <v>28</v>
      </c>
      <c r="C44" s="419">
        <f t="shared" ref="C44:I44" si="6">SUM(C27:C43)</f>
        <v>2051942496.7299988</v>
      </c>
      <c r="D44" s="419">
        <f t="shared" si="6"/>
        <v>-137878035.42867482</v>
      </c>
      <c r="E44" s="419">
        <f t="shared" si="6"/>
        <v>1914064461.3013239</v>
      </c>
      <c r="F44" s="419">
        <f t="shared" si="6"/>
        <v>-202264040.08955038</v>
      </c>
      <c r="G44" s="419">
        <f t="shared" si="6"/>
        <v>1711800421.2117732</v>
      </c>
      <c r="H44" s="419">
        <f t="shared" si="6"/>
        <v>7475520.0975629995</v>
      </c>
      <c r="I44" s="419">
        <f t="shared" si="6"/>
        <v>1719275941.3093364</v>
      </c>
    </row>
    <row r="45" spans="1:9" x14ac:dyDescent="0.25">
      <c r="A45" s="282">
        <f t="shared" si="0"/>
        <v>33</v>
      </c>
      <c r="B45" s="155"/>
      <c r="C45" s="420"/>
      <c r="D45" s="420"/>
      <c r="E45" s="420"/>
      <c r="F45" s="420"/>
      <c r="G45" s="420"/>
      <c r="H45" s="420"/>
      <c r="I45" s="420"/>
    </row>
    <row r="46" spans="1:9" ht="15.75" thickBot="1" x14ac:dyDescent="0.3">
      <c r="A46" s="282">
        <f t="shared" ref="A46:A64" si="7">A45+1</f>
        <v>34</v>
      </c>
      <c r="B46" s="155" t="s">
        <v>29</v>
      </c>
      <c r="C46" s="319">
        <f t="shared" ref="C46:I46" si="8">+C18-C44</f>
        <v>391140691.10000062</v>
      </c>
      <c r="D46" s="319">
        <f t="shared" si="8"/>
        <v>-4369194.7400931716</v>
      </c>
      <c r="E46" s="319">
        <f t="shared" si="8"/>
        <v>386771496.3599081</v>
      </c>
      <c r="F46" s="319">
        <f t="shared" si="8"/>
        <v>-19257042.624637008</v>
      </c>
      <c r="G46" s="319">
        <f t="shared" si="8"/>
        <v>367514453.73527145</v>
      </c>
      <c r="H46" s="319">
        <f t="shared" si="8"/>
        <v>22592656.902437001</v>
      </c>
      <c r="I46" s="319">
        <f t="shared" si="8"/>
        <v>390107110.63770795</v>
      </c>
    </row>
    <row r="47" spans="1:9" ht="15.75" thickTop="1" x14ac:dyDescent="0.25">
      <c r="A47" s="282">
        <f t="shared" si="7"/>
        <v>35</v>
      </c>
      <c r="G47" s="347"/>
      <c r="I47" s="347"/>
    </row>
    <row r="48" spans="1:9" s="353" customFormat="1" x14ac:dyDescent="0.25">
      <c r="A48" s="282">
        <f t="shared" si="7"/>
        <v>36</v>
      </c>
      <c r="B48" s="246" t="s">
        <v>30</v>
      </c>
      <c r="C48" s="351">
        <f>C59</f>
        <v>5208778506.3049917</v>
      </c>
      <c r="D48" s="351">
        <f>D59</f>
        <v>72653799.213831171</v>
      </c>
      <c r="E48" s="351">
        <f>E59</f>
        <v>5281432305.5188236</v>
      </c>
      <c r="F48" s="351">
        <f>F59</f>
        <v>-31000127.40374748</v>
      </c>
      <c r="G48" s="351">
        <f>G59</f>
        <v>5250432178.1150761</v>
      </c>
      <c r="H48" s="351"/>
      <c r="I48" s="351">
        <f>I59</f>
        <v>5250432178.1150761</v>
      </c>
    </row>
    <row r="49" spans="1:9" x14ac:dyDescent="0.25">
      <c r="A49" s="282">
        <f t="shared" si="7"/>
        <v>37</v>
      </c>
      <c r="B49" s="155"/>
      <c r="G49" s="347"/>
      <c r="I49" s="347"/>
    </row>
    <row r="50" spans="1:9" x14ac:dyDescent="0.25">
      <c r="A50" s="282">
        <f t="shared" si="7"/>
        <v>38</v>
      </c>
      <c r="B50" s="246" t="s">
        <v>31</v>
      </c>
      <c r="C50" s="321">
        <f>+C46/C48</f>
        <v>7.5092594286077327E-2</v>
      </c>
      <c r="D50" s="321"/>
      <c r="E50" s="321">
        <f>+E46/E48</f>
        <v>7.3232311612846365E-2</v>
      </c>
      <c r="F50" s="321"/>
      <c r="G50" s="321">
        <f>+G46/G48</f>
        <v>6.9996990965267639E-2</v>
      </c>
      <c r="H50" s="57"/>
      <c r="I50" s="321">
        <f>+I46/I48</f>
        <v>7.4299999962623611E-2</v>
      </c>
    </row>
    <row r="51" spans="1:9" x14ac:dyDescent="0.25">
      <c r="A51" s="282">
        <f t="shared" si="7"/>
        <v>39</v>
      </c>
      <c r="B51" s="155"/>
      <c r="C51" s="57"/>
      <c r="D51" s="57"/>
      <c r="E51" s="57"/>
      <c r="F51" s="57" t="s">
        <v>256</v>
      </c>
      <c r="G51" s="57"/>
      <c r="H51" s="57"/>
      <c r="I51" s="57"/>
    </row>
    <row r="52" spans="1:9" x14ac:dyDescent="0.25">
      <c r="A52" s="282">
        <f t="shared" si="7"/>
        <v>40</v>
      </c>
      <c r="B52" s="155" t="s">
        <v>32</v>
      </c>
      <c r="C52" s="57"/>
      <c r="D52" s="57"/>
      <c r="E52" s="57"/>
      <c r="F52" s="57"/>
      <c r="G52" s="57"/>
      <c r="H52" s="57"/>
      <c r="I52" s="57"/>
    </row>
    <row r="53" spans="1:9" x14ac:dyDescent="0.25">
      <c r="A53" s="282">
        <f t="shared" si="7"/>
        <v>41</v>
      </c>
      <c r="B53" s="93" t="s">
        <v>33</v>
      </c>
      <c r="C53" s="351">
        <f>+'BGM-9 (2) Detailed Summary'!C53</f>
        <v>10572466950.394854</v>
      </c>
      <c r="D53" s="351">
        <f>+'BGM-9 (2) Detailed Summary'!AI53</f>
        <v>201783336.47667617</v>
      </c>
      <c r="E53" s="351">
        <f t="shared" ref="E53:E58" si="9">SUM(C53:D53)</f>
        <v>10774250286.871531</v>
      </c>
      <c r="F53" s="351">
        <f>+'BGM-9 (2) Detailed Summary'!BP53</f>
        <v>-27094330.518073998</v>
      </c>
      <c r="G53" s="351">
        <f t="shared" ref="G53:G58" si="10">SUM(E53:F53)</f>
        <v>10747155956.353456</v>
      </c>
      <c r="H53" s="351"/>
      <c r="I53" s="351">
        <f t="shared" ref="I53:I58" si="11">SUM(G53:H53)</f>
        <v>10747155956.353456</v>
      </c>
    </row>
    <row r="54" spans="1:9" x14ac:dyDescent="0.25">
      <c r="A54" s="282">
        <f t="shared" si="7"/>
        <v>42</v>
      </c>
      <c r="B54" s="93" t="s">
        <v>34</v>
      </c>
      <c r="C54" s="57">
        <f>+'BGM-9 (2) Detailed Summary'!C54</f>
        <v>-4244925258.0010071</v>
      </c>
      <c r="D54" s="57">
        <f>+'BGM-9 (2) Detailed Summary'!AI54</f>
        <v>-165414521.52357671</v>
      </c>
      <c r="E54" s="57">
        <f t="shared" si="9"/>
        <v>-4410339779.5245838</v>
      </c>
      <c r="F54" s="57">
        <f>+'BGM-9 (2) Detailed Summary'!BP54</f>
        <v>475292.42644805182</v>
      </c>
      <c r="G54" s="57">
        <f t="shared" si="10"/>
        <v>-4409864487.0981359</v>
      </c>
      <c r="H54" s="57"/>
      <c r="I54" s="57">
        <f t="shared" si="11"/>
        <v>-4409864487.0981359</v>
      </c>
    </row>
    <row r="55" spans="1:9" x14ac:dyDescent="0.25">
      <c r="A55" s="282">
        <f t="shared" si="7"/>
        <v>43</v>
      </c>
      <c r="B55" s="155" t="s">
        <v>35</v>
      </c>
      <c r="C55" s="57">
        <f>+'BGM-9 (2) Detailed Summary'!C55</f>
        <v>285841342.02833331</v>
      </c>
      <c r="D55" s="57">
        <f>+'BGM-9 (2) Detailed Summary'!AI55</f>
        <v>-12697238.698333323</v>
      </c>
      <c r="E55" s="57">
        <f t="shared" si="9"/>
        <v>273144103.32999998</v>
      </c>
      <c r="F55" s="57">
        <f>+'BGM-9 (2) Detailed Summary'!BP55</f>
        <v>-12415144.791333549</v>
      </c>
      <c r="G55" s="57">
        <f t="shared" si="10"/>
        <v>260728958.53866643</v>
      </c>
      <c r="H55" s="57"/>
      <c r="I55" s="57">
        <f t="shared" si="11"/>
        <v>260728958.53866643</v>
      </c>
    </row>
    <row r="56" spans="1:9" x14ac:dyDescent="0.25">
      <c r="A56" s="282">
        <f t="shared" si="7"/>
        <v>44</v>
      </c>
      <c r="B56" s="155" t="s">
        <v>36</v>
      </c>
      <c r="C56" s="57">
        <f>+'BGM-9 (2) Detailed Summary'!C56</f>
        <v>-1443684469.5857882</v>
      </c>
      <c r="D56" s="57">
        <f>+'BGM-9 (2) Detailed Summary'!AI56</f>
        <v>58777727.972977675</v>
      </c>
      <c r="E56" s="57">
        <f t="shared" si="9"/>
        <v>-1384906741.6128106</v>
      </c>
      <c r="F56" s="57">
        <f>+'BGM-9 (2) Detailed Summary'!BP56</f>
        <v>8034055.4792120187</v>
      </c>
      <c r="G56" s="57">
        <f t="shared" si="10"/>
        <v>-1376872686.1335986</v>
      </c>
      <c r="H56" s="57"/>
      <c r="I56" s="57">
        <f t="shared" si="11"/>
        <v>-1376872686.1335986</v>
      </c>
    </row>
    <row r="57" spans="1:9" x14ac:dyDescent="0.25">
      <c r="A57" s="282">
        <f t="shared" si="7"/>
        <v>45</v>
      </c>
      <c r="B57" s="155" t="s">
        <v>37</v>
      </c>
      <c r="C57" s="57">
        <f>+'BGM-9 (2) Detailed Summary'!C57</f>
        <v>145303204.9988502</v>
      </c>
      <c r="D57" s="57">
        <f>+'BGM-9 (2) Detailed Summary'!AI57</f>
        <v>-7927989.0496875346</v>
      </c>
      <c r="E57" s="57">
        <f t="shared" si="9"/>
        <v>137375215.94916266</v>
      </c>
      <c r="F57" s="57">
        <f>+'BGM-9 (2) Detailed Summary'!BP57</f>
        <v>0</v>
      </c>
      <c r="G57" s="57">
        <f t="shared" si="10"/>
        <v>137375215.94916266</v>
      </c>
      <c r="H57" s="57"/>
      <c r="I57" s="57">
        <f t="shared" si="11"/>
        <v>137375215.94916266</v>
      </c>
    </row>
    <row r="58" spans="1:9" x14ac:dyDescent="0.25">
      <c r="A58" s="282">
        <f t="shared" si="7"/>
        <v>46</v>
      </c>
      <c r="B58" s="155" t="s">
        <v>38</v>
      </c>
      <c r="C58" s="57">
        <f>+'BGM-9 (2) Detailed Summary'!C58</f>
        <v>-106223263.53024991</v>
      </c>
      <c r="D58" s="57">
        <f>+'BGM-9 (2) Detailed Summary'!AI58</f>
        <v>-1867515.9642250985</v>
      </c>
      <c r="E58" s="57">
        <f t="shared" si="9"/>
        <v>-108090779.49447501</v>
      </c>
      <c r="F58" s="57">
        <f>+'BGM-9 (2) Detailed Summary'!BP58</f>
        <v>0</v>
      </c>
      <c r="G58" s="57">
        <f t="shared" si="10"/>
        <v>-108090779.49447501</v>
      </c>
      <c r="H58" s="57"/>
      <c r="I58" s="57">
        <f t="shared" si="11"/>
        <v>-108090779.49447501</v>
      </c>
    </row>
    <row r="59" spans="1:9" ht="15.75" thickBot="1" x14ac:dyDescent="0.3">
      <c r="A59" s="282">
        <f t="shared" si="7"/>
        <v>47</v>
      </c>
      <c r="B59" s="155" t="s">
        <v>39</v>
      </c>
      <c r="C59" s="421">
        <f>SUM(C53:C58)</f>
        <v>5208778506.3049917</v>
      </c>
      <c r="D59" s="421">
        <f>SUM(D53:D58)</f>
        <v>72653799.213831171</v>
      </c>
      <c r="E59" s="421">
        <f>SUM(E53:E58)</f>
        <v>5281432305.5188236</v>
      </c>
      <c r="F59" s="421">
        <f>SUM(F53:F58)</f>
        <v>-31000127.40374748</v>
      </c>
      <c r="G59" s="421">
        <f>SUM(G53:G58)</f>
        <v>5250432178.1150761</v>
      </c>
      <c r="H59" s="421"/>
      <c r="I59" s="421">
        <f>SUM(I53:I58)</f>
        <v>5250432178.1150761</v>
      </c>
    </row>
    <row r="60" spans="1:9" ht="15.75" thickTop="1" x14ac:dyDescent="0.25">
      <c r="A60" s="282">
        <f t="shared" si="7"/>
        <v>48</v>
      </c>
    </row>
    <row r="61" spans="1:9" x14ac:dyDescent="0.25">
      <c r="A61" s="282">
        <f t="shared" si="7"/>
        <v>49</v>
      </c>
      <c r="B61" s="155" t="s">
        <v>195</v>
      </c>
      <c r="C61" s="324">
        <f>+'COC, Def, ConvF'!$C$13</f>
        <v>7.4300000000000005E-2</v>
      </c>
      <c r="D61" s="324">
        <f>+'COC, Def, ConvF'!$C$13</f>
        <v>7.4300000000000005E-2</v>
      </c>
      <c r="E61" s="324">
        <f>+'COC, Def, ConvF'!$C$13</f>
        <v>7.4300000000000005E-2</v>
      </c>
      <c r="F61" s="324">
        <f>+'COC, Def, ConvF'!$C$13</f>
        <v>7.4300000000000005E-2</v>
      </c>
      <c r="G61" s="324">
        <f>+'COC, Def, ConvF'!$C$13</f>
        <v>7.4300000000000005E-2</v>
      </c>
      <c r="H61" s="324">
        <f>+'COC, Def, ConvF'!$C$13</f>
        <v>7.4300000000000005E-2</v>
      </c>
      <c r="I61" s="324">
        <f>+'COC, Def, ConvF'!$C$13</f>
        <v>7.4300000000000005E-2</v>
      </c>
    </row>
    <row r="62" spans="1:9" x14ac:dyDescent="0.25">
      <c r="A62" s="282">
        <f t="shared" si="7"/>
        <v>50</v>
      </c>
      <c r="B62" s="155" t="s">
        <v>250</v>
      </c>
      <c r="C62" s="327">
        <f>+'COC, Def, ConvF'!$M$20</f>
        <v>0.75138099999999997</v>
      </c>
      <c r="D62" s="327">
        <f>+'COC, Def, ConvF'!$M$20</f>
        <v>0.75138099999999997</v>
      </c>
      <c r="E62" s="327">
        <f>+'COC, Def, ConvF'!$M$20</f>
        <v>0.75138099999999997</v>
      </c>
      <c r="F62" s="327">
        <f>+'COC, Def, ConvF'!$M$20</f>
        <v>0.75138099999999997</v>
      </c>
      <c r="G62" s="327">
        <f>+'COC, Def, ConvF'!$M$20</f>
        <v>0.75138099999999997</v>
      </c>
      <c r="H62" s="327">
        <f>+'COC, Def, ConvF'!$M$20</f>
        <v>0.75138099999999997</v>
      </c>
      <c r="I62" s="327">
        <f>+'COC, Def, ConvF'!$M$20</f>
        <v>0.75138099999999997</v>
      </c>
    </row>
    <row r="63" spans="1:9" x14ac:dyDescent="0.25">
      <c r="A63" s="282">
        <f t="shared" si="7"/>
        <v>51</v>
      </c>
      <c r="B63" s="155" t="s">
        <v>251</v>
      </c>
      <c r="C63" s="353">
        <f t="shared" ref="C63:I63" si="12">+C46-(C59*C61)</f>
        <v>4128448.0815396905</v>
      </c>
      <c r="D63" s="353">
        <f t="shared" si="12"/>
        <v>-9767372.0216808282</v>
      </c>
      <c r="E63" s="353">
        <f t="shared" si="12"/>
        <v>-5638923.9401405454</v>
      </c>
      <c r="F63" s="353">
        <f t="shared" si="12"/>
        <v>-16953733.158538569</v>
      </c>
      <c r="G63" s="353">
        <f t="shared" si="12"/>
        <v>-22592657.098678708</v>
      </c>
      <c r="H63" s="353">
        <f t="shared" si="12"/>
        <v>22592656.902437001</v>
      </c>
      <c r="I63" s="353">
        <f t="shared" si="12"/>
        <v>-0.19624221324920654</v>
      </c>
    </row>
    <row r="64" spans="1:9" x14ac:dyDescent="0.25">
      <c r="A64" s="282">
        <f t="shared" si="7"/>
        <v>52</v>
      </c>
      <c r="B64" s="155" t="s">
        <v>252</v>
      </c>
      <c r="C64" s="353">
        <f t="shared" ref="C64:I64" si="13">-C63/C62</f>
        <v>-5494480.2723780489</v>
      </c>
      <c r="D64" s="353">
        <f t="shared" si="13"/>
        <v>12999226.785985842</v>
      </c>
      <c r="E64" s="353">
        <f t="shared" si="13"/>
        <v>7504746.5136070056</v>
      </c>
      <c r="F64" s="353">
        <f t="shared" si="13"/>
        <v>22563430.747568239</v>
      </c>
      <c r="G64" s="353">
        <f t="shared" si="13"/>
        <v>30068177.261174701</v>
      </c>
      <c r="H64" s="353">
        <f t="shared" si="13"/>
        <v>-30068177.000000004</v>
      </c>
      <c r="I64" s="353">
        <f t="shared" si="13"/>
        <v>0.26117537341136726</v>
      </c>
    </row>
    <row r="66" spans="2:8" ht="15.75" thickBot="1" x14ac:dyDescent="0.3"/>
    <row r="67" spans="2:8" x14ac:dyDescent="0.25">
      <c r="B67" s="354" t="s">
        <v>415</v>
      </c>
      <c r="C67" s="355"/>
      <c r="D67" s="355"/>
      <c r="E67" s="356">
        <f>+C64+D64-E64</f>
        <v>7.8789889812469482E-7</v>
      </c>
      <c r="F67" s="355"/>
      <c r="G67" s="357">
        <f>+E64+F64-G64</f>
        <v>5.4389238357543945E-7</v>
      </c>
    </row>
    <row r="68" spans="2:8" x14ac:dyDescent="0.25">
      <c r="B68" s="358" t="s">
        <v>414</v>
      </c>
      <c r="C68" s="359"/>
      <c r="D68" s="359"/>
      <c r="E68" s="359"/>
      <c r="F68" s="359"/>
      <c r="G68" s="360"/>
    </row>
    <row r="69" spans="2:8" x14ac:dyDescent="0.25">
      <c r="B69" s="358" t="s">
        <v>416</v>
      </c>
      <c r="C69" s="361">
        <f>+'BGM-9 (2) Detailed Summary'!C46-C46</f>
        <v>0</v>
      </c>
      <c r="D69" s="361">
        <f>+'BGM-9 (2) Detailed Summary'!AI46-D46</f>
        <v>0</v>
      </c>
      <c r="E69" s="361">
        <f>+'BGM-9 (2) Detailed Summary'!AJ46-E46</f>
        <v>0</v>
      </c>
      <c r="F69" s="361">
        <f>+'BGM-9 (2) Detailed Summary'!BP46-F46</f>
        <v>0</v>
      </c>
      <c r="G69" s="362">
        <f>+'BGM-9 (2) Detailed Summary'!BQ46-G46</f>
        <v>0</v>
      </c>
      <c r="H69" s="1"/>
    </row>
    <row r="70" spans="2:8" ht="15.75" thickBot="1" x14ac:dyDescent="0.3">
      <c r="B70" s="363" t="s">
        <v>417</v>
      </c>
      <c r="C70" s="364">
        <f>+'BGM-9 (2) Detailed Summary'!C48-C48</f>
        <v>0</v>
      </c>
      <c r="D70" s="364">
        <f>+'BGM-9 (2) Detailed Summary'!AI48-D48</f>
        <v>0</v>
      </c>
      <c r="E70" s="364">
        <f>+'BGM-9 (2) Detailed Summary'!AJ48-E48</f>
        <v>0</v>
      </c>
      <c r="F70" s="364">
        <f>+'BGM-9 (2) Detailed Summary'!BP48-F48</f>
        <v>0</v>
      </c>
      <c r="G70" s="365">
        <f>+'BGM-9 (2) Detailed Summary'!BQ48-G48</f>
        <v>0</v>
      </c>
      <c r="H70" s="1"/>
    </row>
    <row r="71" spans="2:8" x14ac:dyDescent="0.25">
      <c r="C71" s="1"/>
      <c r="D71" s="106"/>
      <c r="E71" s="106"/>
      <c r="F71" s="106"/>
      <c r="H71" s="1"/>
    </row>
    <row r="72" spans="2:8" x14ac:dyDescent="0.25">
      <c r="C72" s="1"/>
      <c r="D72" s="106"/>
      <c r="E72" s="106"/>
      <c r="F72" s="106"/>
      <c r="H72" s="1"/>
    </row>
    <row r="73" spans="2:8" x14ac:dyDescent="0.25">
      <c r="C73" s="1"/>
      <c r="D73" s="366"/>
      <c r="E73" s="366"/>
      <c r="F73" s="366"/>
      <c r="H73" s="1"/>
    </row>
    <row r="74" spans="2:8" x14ac:dyDescent="0.25">
      <c r="C74" s="1"/>
      <c r="D74" s="109"/>
      <c r="E74" s="109"/>
      <c r="F74" s="109"/>
      <c r="H74" s="1"/>
    </row>
    <row r="75" spans="2:8" x14ac:dyDescent="0.25">
      <c r="C75" s="1"/>
      <c r="D75" s="106"/>
      <c r="E75" s="106"/>
      <c r="F75" s="106"/>
      <c r="H75" s="1"/>
    </row>
    <row r="76" spans="2:8" ht="15" customHeight="1" x14ac:dyDescent="0.25">
      <c r="C76" s="1"/>
      <c r="D76" s="109"/>
      <c r="E76" s="109"/>
      <c r="F76" s="109"/>
      <c r="H76" s="1"/>
    </row>
    <row r="77" spans="2:8" ht="15.75" customHeight="1" x14ac:dyDescent="0.25">
      <c r="C77" s="1"/>
      <c r="D77" s="109"/>
      <c r="E77" s="109"/>
      <c r="F77" s="109"/>
      <c r="H77" s="1"/>
    </row>
    <row r="78" spans="2:8" x14ac:dyDescent="0.25">
      <c r="H78" s="1"/>
    </row>
  </sheetData>
  <printOptions horizontalCentered="1"/>
  <pageMargins left="0.2" right="0.2" top="0.25" bottom="0.25" header="0.05" footer="0.05"/>
  <pageSetup scale="62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8"/>
  <sheetViews>
    <sheetView zoomScaleNormal="100" workbookViewId="0"/>
  </sheetViews>
  <sheetFormatPr defaultColWidth="9.140625" defaultRowHeight="12.75" x14ac:dyDescent="0.2"/>
  <cols>
    <col min="1" max="1" width="9.28515625" style="288" bestFit="1" customWidth="1"/>
    <col min="2" max="2" width="41.7109375" style="288" bestFit="1" customWidth="1"/>
    <col min="3" max="3" width="11.7109375" style="288" bestFit="1" customWidth="1"/>
    <col min="4" max="4" width="6.42578125" style="288" bestFit="1" customWidth="1"/>
    <col min="5" max="5" width="10.5703125" style="288" bestFit="1" customWidth="1"/>
    <col min="6" max="16384" width="9.140625" style="288"/>
  </cols>
  <sheetData>
    <row r="1" spans="1:5" ht="14.25" x14ac:dyDescent="0.2">
      <c r="C1" s="409" t="s">
        <v>585</v>
      </c>
      <c r="D1" s="410"/>
      <c r="E1" s="411"/>
    </row>
    <row r="2" spans="1:5" x14ac:dyDescent="0.2">
      <c r="A2" s="90" t="s">
        <v>45</v>
      </c>
      <c r="B2" s="90"/>
      <c r="C2" s="90"/>
      <c r="D2" s="90"/>
      <c r="E2" s="90"/>
    </row>
    <row r="3" spans="1:5" x14ac:dyDescent="0.2">
      <c r="A3" s="90" t="s">
        <v>72</v>
      </c>
      <c r="B3" s="90"/>
      <c r="C3" s="90"/>
      <c r="D3" s="90"/>
      <c r="E3" s="90"/>
    </row>
    <row r="4" spans="1:5" x14ac:dyDescent="0.2">
      <c r="A4" s="90" t="str">
        <f>CASE_E</f>
        <v>2019 GENERAL RATE CASE</v>
      </c>
      <c r="B4" s="90"/>
      <c r="C4" s="90"/>
      <c r="D4" s="90"/>
      <c r="E4" s="90"/>
    </row>
    <row r="5" spans="1:5" x14ac:dyDescent="0.2">
      <c r="A5" s="90" t="str">
        <f>TESTYEAR_E</f>
        <v>12 MONTHS ENDED DECEMBER 31, 2018</v>
      </c>
      <c r="B5" s="90"/>
      <c r="C5" s="90"/>
      <c r="D5" s="90"/>
      <c r="E5" s="90"/>
    </row>
    <row r="6" spans="1:5" x14ac:dyDescent="0.2">
      <c r="A6" s="129" t="s">
        <v>506</v>
      </c>
      <c r="B6" s="129"/>
      <c r="C6" s="90"/>
      <c r="D6" s="90"/>
      <c r="E6" s="90"/>
    </row>
    <row r="7" spans="1:5" x14ac:dyDescent="0.2">
      <c r="B7" s="29"/>
      <c r="C7" s="29"/>
      <c r="D7" s="29"/>
      <c r="E7" s="29"/>
    </row>
    <row r="9" spans="1:5" x14ac:dyDescent="0.2">
      <c r="A9" s="3" t="s">
        <v>43</v>
      </c>
      <c r="B9" s="3"/>
      <c r="C9" s="292" t="s">
        <v>361</v>
      </c>
      <c r="E9" s="292" t="s">
        <v>363</v>
      </c>
    </row>
    <row r="10" spans="1:5" x14ac:dyDescent="0.2">
      <c r="A10" s="404" t="s">
        <v>44</v>
      </c>
      <c r="B10" s="404" t="s">
        <v>73</v>
      </c>
      <c r="C10" s="408" t="s">
        <v>362</v>
      </c>
      <c r="D10" s="408" t="s">
        <v>343</v>
      </c>
      <c r="E10" s="408" t="s">
        <v>343</v>
      </c>
    </row>
    <row r="12" spans="1:5" x14ac:dyDescent="0.2">
      <c r="A12" s="282">
        <v>1</v>
      </c>
      <c r="B12" s="155" t="s">
        <v>211</v>
      </c>
      <c r="C12" s="137">
        <v>0.51</v>
      </c>
      <c r="D12" s="137">
        <v>5.7647058823529412E-2</v>
      </c>
      <c r="E12" s="130">
        <f>ROUND(C12*D12,4)</f>
        <v>2.9399999999999999E-2</v>
      </c>
    </row>
    <row r="13" spans="1:5" x14ac:dyDescent="0.2">
      <c r="A13" s="282">
        <f t="shared" ref="A13:A18" si="0">A12+1</f>
        <v>2</v>
      </c>
      <c r="B13" s="155" t="s">
        <v>80</v>
      </c>
      <c r="C13" s="137">
        <v>0.49</v>
      </c>
      <c r="D13" s="137">
        <v>9.5000000000000001E-2</v>
      </c>
      <c r="E13" s="130">
        <f>ROUND(C13*D13,4)</f>
        <v>4.6600000000000003E-2</v>
      </c>
    </row>
    <row r="14" spans="1:5" x14ac:dyDescent="0.2">
      <c r="A14" s="282">
        <f t="shared" si="0"/>
        <v>3</v>
      </c>
      <c r="B14" s="155" t="s">
        <v>66</v>
      </c>
      <c r="C14" s="415">
        <f>SUM(C12:C13)</f>
        <v>1</v>
      </c>
      <c r="D14" s="229"/>
      <c r="E14" s="416">
        <f>SUM(E12:E13)</f>
        <v>7.5999999999999998E-2</v>
      </c>
    </row>
    <row r="15" spans="1:5" x14ac:dyDescent="0.2">
      <c r="A15" s="282">
        <f t="shared" si="0"/>
        <v>4</v>
      </c>
      <c r="B15" s="155"/>
    </row>
    <row r="16" spans="1:5" x14ac:dyDescent="0.2">
      <c r="A16" s="282">
        <f t="shared" si="0"/>
        <v>5</v>
      </c>
      <c r="B16" s="155" t="s">
        <v>360</v>
      </c>
      <c r="C16" s="130">
        <f>+C12</f>
        <v>0.51</v>
      </c>
      <c r="D16" s="130">
        <f>D12*0.79</f>
        <v>4.5541176470588238E-2</v>
      </c>
      <c r="E16" s="130">
        <f>ROUND(E12*0.79,4)</f>
        <v>2.3199999999999998E-2</v>
      </c>
    </row>
    <row r="17" spans="1:5" x14ac:dyDescent="0.2">
      <c r="A17" s="282">
        <f t="shared" si="0"/>
        <v>6</v>
      </c>
      <c r="B17" s="155" t="s">
        <v>80</v>
      </c>
      <c r="C17" s="130">
        <f>+C13</f>
        <v>0.49</v>
      </c>
      <c r="D17" s="130">
        <f>+D13</f>
        <v>9.5000000000000001E-2</v>
      </c>
      <c r="E17" s="130">
        <f>ROUND(C17*D17,4)</f>
        <v>4.6600000000000003E-2</v>
      </c>
    </row>
    <row r="18" spans="1:5" x14ac:dyDescent="0.2">
      <c r="A18" s="282">
        <f t="shared" si="0"/>
        <v>7</v>
      </c>
      <c r="B18" s="155" t="s">
        <v>81</v>
      </c>
      <c r="C18" s="415">
        <f>SUM(C16:C17)</f>
        <v>1</v>
      </c>
      <c r="D18" s="229"/>
      <c r="E18" s="416">
        <f>SUM(E16:E17)</f>
        <v>6.9800000000000001E-2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BT70"/>
  <sheetViews>
    <sheetView workbookViewId="0">
      <pane xSplit="4" ySplit="10" topLeftCell="E11" activePane="bottomRight" state="frozen"/>
      <selection activeCell="G83" sqref="G83"/>
      <selection pane="topRight" activeCell="G83" sqref="G83"/>
      <selection pane="bottomLeft" activeCell="G83" sqref="G83"/>
      <selection pane="bottomRight" activeCell="E11" sqref="E11"/>
    </sheetView>
  </sheetViews>
  <sheetFormatPr defaultColWidth="9.140625" defaultRowHeight="12.75" x14ac:dyDescent="0.2"/>
  <cols>
    <col min="1" max="1" width="4.5703125" style="591" customWidth="1"/>
    <col min="2" max="2" width="6.7109375" style="592" bestFit="1" customWidth="1"/>
    <col min="3" max="3" width="3.7109375" style="592" bestFit="1" customWidth="1"/>
    <col min="4" max="4" width="56.28515625" style="591" bestFit="1" customWidth="1"/>
    <col min="5" max="5" width="14.140625" style="591" bestFit="1" customWidth="1"/>
    <col min="6" max="6" width="15.5703125" style="591" bestFit="1" customWidth="1"/>
    <col min="7" max="8" width="13.7109375" style="591" customWidth="1"/>
    <col min="9" max="9" width="12.42578125" style="591" bestFit="1" customWidth="1"/>
    <col min="10" max="10" width="13.140625" style="591" bestFit="1" customWidth="1"/>
    <col min="11" max="11" width="12.28515625" style="591" bestFit="1" customWidth="1"/>
    <col min="12" max="16384" width="9.140625" style="591"/>
  </cols>
  <sheetData>
    <row r="1" spans="1:72" ht="13.5" thickBot="1" x14ac:dyDescent="0.25"/>
    <row r="2" spans="1:72" ht="19.5" thickBot="1" x14ac:dyDescent="0.35">
      <c r="A2" s="593" t="s">
        <v>232</v>
      </c>
      <c r="I2" s="594" t="s">
        <v>728</v>
      </c>
      <c r="J2" s="595"/>
    </row>
    <row r="3" spans="1:72" ht="18.75" x14ac:dyDescent="0.3">
      <c r="A3" s="593" t="s">
        <v>695</v>
      </c>
    </row>
    <row r="4" spans="1:72" ht="19.5" thickBot="1" x14ac:dyDescent="0.35">
      <c r="A4" s="593" t="s">
        <v>696</v>
      </c>
      <c r="I4" s="596" t="s">
        <v>697</v>
      </c>
      <c r="J4" s="596" t="s">
        <v>698</v>
      </c>
    </row>
    <row r="5" spans="1:72" ht="18.75" x14ac:dyDescent="0.3">
      <c r="A5" s="593" t="s">
        <v>699</v>
      </c>
      <c r="I5" s="597" t="s">
        <v>700</v>
      </c>
      <c r="J5" s="597" t="s">
        <v>700</v>
      </c>
    </row>
    <row r="6" spans="1:72" ht="15.75" thickBot="1" x14ac:dyDescent="0.3">
      <c r="I6" s="598">
        <v>0</v>
      </c>
      <c r="J6" s="598">
        <f>1-I6</f>
        <v>1</v>
      </c>
    </row>
    <row r="7" spans="1:72" ht="15" x14ac:dyDescent="0.25">
      <c r="I7" s="597" t="s">
        <v>701</v>
      </c>
      <c r="J7" s="597" t="s">
        <v>701</v>
      </c>
    </row>
    <row r="8" spans="1:72" ht="15.75" thickBot="1" x14ac:dyDescent="0.3">
      <c r="I8" s="599">
        <f>1-J8</f>
        <v>4.5697161037118628E-2</v>
      </c>
      <c r="J8" s="600">
        <f>+'[14]Power Cost Bridge to A-1'!$J$8</f>
        <v>0.95430283896288137</v>
      </c>
    </row>
    <row r="9" spans="1:72" x14ac:dyDescent="0.2">
      <c r="E9" s="592" t="s">
        <v>702</v>
      </c>
      <c r="F9" s="592" t="s">
        <v>703</v>
      </c>
      <c r="G9" s="592" t="s">
        <v>704</v>
      </c>
      <c r="H9" s="592" t="s">
        <v>704</v>
      </c>
      <c r="I9" s="592" t="s">
        <v>705</v>
      </c>
    </row>
    <row r="10" spans="1:72" x14ac:dyDescent="0.2">
      <c r="A10" s="591" t="s">
        <v>706</v>
      </c>
      <c r="B10" s="592" t="s">
        <v>707</v>
      </c>
      <c r="C10" s="592" t="s">
        <v>670</v>
      </c>
      <c r="D10" s="591" t="s">
        <v>122</v>
      </c>
      <c r="E10" s="592" t="s">
        <v>708</v>
      </c>
      <c r="F10" s="592" t="s">
        <v>709</v>
      </c>
      <c r="G10" s="592" t="s">
        <v>710</v>
      </c>
      <c r="H10" s="592" t="s">
        <v>711</v>
      </c>
      <c r="I10" s="592" t="s">
        <v>712</v>
      </c>
    </row>
    <row r="11" spans="1:72" x14ac:dyDescent="0.2">
      <c r="A11" s="592">
        <v>1</v>
      </c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1"/>
      <c r="AB11" s="601"/>
      <c r="AC11" s="601"/>
      <c r="AD11" s="601"/>
      <c r="AE11" s="601"/>
      <c r="AF11" s="601"/>
      <c r="AG11" s="601"/>
      <c r="AH11" s="601"/>
      <c r="AI11" s="601"/>
      <c r="AJ11" s="601"/>
      <c r="AK11" s="601"/>
      <c r="AL11" s="601"/>
      <c r="AM11" s="601"/>
      <c r="AN11" s="601"/>
      <c r="AO11" s="601"/>
      <c r="AP11" s="601"/>
      <c r="AQ11" s="601"/>
      <c r="AR11" s="601"/>
      <c r="AS11" s="601"/>
      <c r="AT11" s="601"/>
      <c r="AU11" s="601"/>
      <c r="AV11" s="601"/>
      <c r="AW11" s="601"/>
      <c r="AX11" s="601"/>
      <c r="AY11" s="601"/>
      <c r="AZ11" s="601"/>
      <c r="BA11" s="601"/>
      <c r="BB11" s="601"/>
      <c r="BC11" s="601"/>
      <c r="BD11" s="601"/>
      <c r="BE11" s="601"/>
      <c r="BF11" s="601"/>
      <c r="BG11" s="601"/>
      <c r="BH11" s="601"/>
      <c r="BI11" s="601"/>
      <c r="BJ11" s="601"/>
      <c r="BK11" s="601"/>
      <c r="BL11" s="601"/>
      <c r="BM11" s="601"/>
      <c r="BN11" s="601"/>
      <c r="BO11" s="601"/>
      <c r="BP11" s="601"/>
      <c r="BQ11" s="601"/>
      <c r="BR11" s="601"/>
      <c r="BS11" s="601"/>
      <c r="BT11" s="601"/>
    </row>
    <row r="12" spans="1:72" x14ac:dyDescent="0.2">
      <c r="A12" s="592">
        <f>+A11+1</f>
        <v>2</v>
      </c>
      <c r="D12" s="602" t="s">
        <v>713</v>
      </c>
      <c r="E12" s="601"/>
      <c r="F12" s="601"/>
      <c r="G12" s="601"/>
      <c r="H12" s="601"/>
      <c r="I12" s="601"/>
      <c r="J12" s="601"/>
      <c r="K12" s="603"/>
      <c r="L12" s="601"/>
      <c r="M12" s="601"/>
      <c r="N12" s="601"/>
      <c r="O12" s="601"/>
      <c r="P12" s="601"/>
      <c r="Q12" s="601"/>
      <c r="R12" s="601"/>
      <c r="S12" s="601"/>
      <c r="T12" s="601"/>
      <c r="U12" s="601"/>
      <c r="V12" s="601"/>
      <c r="W12" s="601"/>
      <c r="X12" s="601"/>
      <c r="Y12" s="601"/>
      <c r="Z12" s="601"/>
      <c r="AA12" s="601"/>
      <c r="AB12" s="601"/>
      <c r="AC12" s="601"/>
      <c r="AD12" s="601"/>
      <c r="AE12" s="601"/>
      <c r="AF12" s="601"/>
      <c r="AG12" s="601"/>
      <c r="AH12" s="601"/>
      <c r="AI12" s="601"/>
      <c r="AJ12" s="601"/>
      <c r="AK12" s="601"/>
      <c r="AL12" s="601"/>
      <c r="AM12" s="601"/>
      <c r="AN12" s="601"/>
      <c r="AO12" s="601"/>
      <c r="AP12" s="601"/>
      <c r="AQ12" s="601"/>
      <c r="AR12" s="601"/>
      <c r="AS12" s="601"/>
      <c r="AT12" s="601"/>
      <c r="AU12" s="601"/>
      <c r="AV12" s="601"/>
      <c r="AW12" s="601"/>
      <c r="AX12" s="601"/>
      <c r="AY12" s="601"/>
      <c r="AZ12" s="601"/>
      <c r="BA12" s="601"/>
      <c r="BB12" s="601"/>
      <c r="BC12" s="601"/>
      <c r="BD12" s="601"/>
      <c r="BE12" s="601"/>
      <c r="BF12" s="601"/>
      <c r="BG12" s="601"/>
      <c r="BH12" s="601"/>
      <c r="BI12" s="601"/>
      <c r="BJ12" s="601"/>
      <c r="BK12" s="601"/>
      <c r="BL12" s="601"/>
      <c r="BM12" s="601"/>
      <c r="BN12" s="601"/>
      <c r="BO12" s="601"/>
      <c r="BP12" s="601"/>
      <c r="BQ12" s="601"/>
      <c r="BR12" s="601"/>
      <c r="BS12" s="601"/>
      <c r="BT12" s="601"/>
    </row>
    <row r="13" spans="1:72" x14ac:dyDescent="0.2">
      <c r="A13" s="592">
        <f t="shared" ref="A13:A28" si="0">+A12+1</f>
        <v>3</v>
      </c>
      <c r="B13" s="604">
        <v>501</v>
      </c>
      <c r="C13" s="604" t="s">
        <v>637</v>
      </c>
      <c r="D13" s="591" t="s">
        <v>522</v>
      </c>
      <c r="E13" s="601">
        <f>+'[14]Power Cost Bridge to A-1'!E13</f>
        <v>79334191.840000004</v>
      </c>
      <c r="F13" s="601">
        <f>+'[14]Power Cost Bridge to A-1'!F13</f>
        <v>39258683.972400762</v>
      </c>
      <c r="G13" s="601"/>
      <c r="H13" s="601"/>
      <c r="I13" s="601">
        <f t="shared" ref="I13:I20" si="1">SUM(F13:H13)</f>
        <v>39258683.972400762</v>
      </c>
      <c r="J13" s="601">
        <f t="shared" ref="J13:J20" si="2">IF(C13="v",I13*$J$8,I13*$J$6)</f>
        <v>37464673.568808615</v>
      </c>
      <c r="K13" s="603"/>
      <c r="L13" s="601"/>
      <c r="M13" s="601"/>
      <c r="N13" s="601"/>
      <c r="O13" s="601"/>
      <c r="P13" s="601"/>
      <c r="Q13" s="601"/>
      <c r="R13" s="601"/>
      <c r="S13" s="601"/>
      <c r="T13" s="601"/>
      <c r="U13" s="601"/>
      <c r="V13" s="601"/>
      <c r="W13" s="601"/>
      <c r="X13" s="601"/>
      <c r="Y13" s="601"/>
      <c r="Z13" s="601"/>
      <c r="AA13" s="601"/>
      <c r="AB13" s="601"/>
      <c r="AC13" s="601"/>
      <c r="AD13" s="601"/>
      <c r="AE13" s="601"/>
      <c r="AF13" s="601"/>
      <c r="AG13" s="601"/>
      <c r="AH13" s="601"/>
      <c r="AI13" s="601"/>
      <c r="AJ13" s="601"/>
      <c r="AK13" s="601"/>
      <c r="AL13" s="601"/>
      <c r="AM13" s="601"/>
      <c r="AN13" s="601"/>
      <c r="AO13" s="601"/>
      <c r="AP13" s="601"/>
      <c r="AQ13" s="601"/>
      <c r="AR13" s="601"/>
      <c r="AS13" s="601"/>
      <c r="AT13" s="601"/>
      <c r="AU13" s="601"/>
      <c r="AV13" s="601"/>
      <c r="AW13" s="601"/>
      <c r="AX13" s="601"/>
      <c r="AY13" s="601"/>
      <c r="AZ13" s="601"/>
      <c r="BA13" s="601"/>
      <c r="BB13" s="601"/>
      <c r="BC13" s="601"/>
      <c r="BD13" s="601"/>
      <c r="BE13" s="601"/>
      <c r="BF13" s="601"/>
      <c r="BG13" s="601"/>
      <c r="BH13" s="601"/>
      <c r="BI13" s="601"/>
      <c r="BJ13" s="601"/>
      <c r="BK13" s="601"/>
      <c r="BL13" s="601"/>
      <c r="BM13" s="601"/>
      <c r="BN13" s="601"/>
      <c r="BO13" s="601"/>
      <c r="BP13" s="601"/>
      <c r="BQ13" s="601"/>
      <c r="BR13" s="601"/>
      <c r="BS13" s="601"/>
      <c r="BT13" s="601"/>
    </row>
    <row r="14" spans="1:72" x14ac:dyDescent="0.2">
      <c r="A14" s="592">
        <f>+A13+1</f>
        <v>4</v>
      </c>
      <c r="B14" s="604">
        <v>547</v>
      </c>
      <c r="C14" s="604" t="s">
        <v>637</v>
      </c>
      <c r="D14" s="591" t="s">
        <v>523</v>
      </c>
      <c r="E14" s="601">
        <f>+'[14]Power Cost Bridge to A-1'!E14</f>
        <v>125903300.81000002</v>
      </c>
      <c r="F14" s="601">
        <f>+'[14]Power Cost Bridge to A-1'!F14</f>
        <v>150750613.92461199</v>
      </c>
      <c r="G14" s="601"/>
      <c r="H14" s="601"/>
      <c r="I14" s="601">
        <f t="shared" si="1"/>
        <v>150750613.92461199</v>
      </c>
      <c r="J14" s="601">
        <f t="shared" si="2"/>
        <v>143861738.84365448</v>
      </c>
      <c r="K14" s="603"/>
      <c r="L14" s="601"/>
      <c r="M14" s="601"/>
      <c r="N14" s="601"/>
      <c r="O14" s="601"/>
      <c r="P14" s="601"/>
      <c r="Q14" s="601"/>
      <c r="R14" s="601"/>
      <c r="S14" s="601"/>
      <c r="T14" s="601"/>
      <c r="U14" s="601"/>
      <c r="V14" s="601"/>
      <c r="W14" s="601"/>
      <c r="X14" s="601"/>
      <c r="Y14" s="601"/>
      <c r="Z14" s="601"/>
      <c r="AA14" s="601"/>
      <c r="AB14" s="601"/>
      <c r="AC14" s="601"/>
      <c r="AD14" s="601"/>
      <c r="AE14" s="601"/>
      <c r="AF14" s="601"/>
      <c r="AG14" s="601"/>
      <c r="AH14" s="601"/>
      <c r="AI14" s="601"/>
      <c r="AJ14" s="601"/>
      <c r="AK14" s="601"/>
      <c r="AL14" s="601"/>
      <c r="AM14" s="601"/>
      <c r="AN14" s="601"/>
      <c r="AO14" s="601"/>
      <c r="AP14" s="601"/>
      <c r="AQ14" s="601"/>
      <c r="AR14" s="601"/>
      <c r="AS14" s="601"/>
      <c r="AT14" s="601"/>
      <c r="AU14" s="601"/>
      <c r="AV14" s="601"/>
      <c r="AW14" s="601"/>
      <c r="AX14" s="601"/>
      <c r="AY14" s="601"/>
      <c r="AZ14" s="601"/>
      <c r="BA14" s="601"/>
      <c r="BB14" s="601"/>
      <c r="BC14" s="601"/>
      <c r="BD14" s="601"/>
      <c r="BE14" s="601"/>
      <c r="BF14" s="601"/>
      <c r="BG14" s="601"/>
      <c r="BH14" s="601"/>
      <c r="BI14" s="601"/>
      <c r="BJ14" s="601"/>
      <c r="BK14" s="601"/>
      <c r="BL14" s="601"/>
      <c r="BM14" s="601"/>
      <c r="BN14" s="601"/>
      <c r="BO14" s="601"/>
      <c r="BP14" s="601"/>
      <c r="BQ14" s="601"/>
      <c r="BR14" s="601"/>
      <c r="BS14" s="601"/>
      <c r="BT14" s="601"/>
    </row>
    <row r="15" spans="1:72" x14ac:dyDescent="0.2">
      <c r="A15" s="592">
        <f t="shared" si="0"/>
        <v>5</v>
      </c>
      <c r="B15" s="604">
        <v>555</v>
      </c>
      <c r="C15" s="604" t="s">
        <v>637</v>
      </c>
      <c r="D15" s="591" t="s">
        <v>524</v>
      </c>
      <c r="E15" s="601">
        <f>+'[14]Power Cost Bridge to A-1'!E15</f>
        <v>588866958.71446157</v>
      </c>
      <c r="F15" s="601">
        <f>+'[14]Power Cost Bridge to A-1'!F15</f>
        <v>454203708.18611747</v>
      </c>
      <c r="G15" s="601"/>
      <c r="H15" s="601"/>
      <c r="I15" s="601">
        <f t="shared" si="1"/>
        <v>454203708.18611747</v>
      </c>
      <c r="J15" s="601">
        <f t="shared" si="2"/>
        <v>433447888.18948001</v>
      </c>
      <c r="K15" s="603"/>
      <c r="L15" s="601"/>
      <c r="M15" s="601"/>
      <c r="N15" s="601"/>
      <c r="O15" s="601"/>
      <c r="P15" s="601"/>
      <c r="Q15" s="601"/>
      <c r="R15" s="601"/>
      <c r="S15" s="601"/>
      <c r="T15" s="601"/>
      <c r="U15" s="601"/>
      <c r="V15" s="601"/>
      <c r="W15" s="601"/>
      <c r="X15" s="601"/>
      <c r="Y15" s="601"/>
      <c r="Z15" s="601"/>
      <c r="AA15" s="601"/>
      <c r="AB15" s="601"/>
      <c r="AC15" s="601"/>
      <c r="AD15" s="601"/>
      <c r="AE15" s="601"/>
      <c r="AF15" s="601"/>
      <c r="AG15" s="601"/>
      <c r="AH15" s="601"/>
      <c r="AI15" s="601"/>
      <c r="AJ15" s="601"/>
      <c r="AK15" s="601"/>
      <c r="AL15" s="601"/>
      <c r="AM15" s="601"/>
      <c r="AN15" s="601"/>
      <c r="AO15" s="601"/>
      <c r="AP15" s="601"/>
      <c r="AQ15" s="601"/>
      <c r="AR15" s="601"/>
      <c r="AS15" s="601"/>
      <c r="AT15" s="601"/>
      <c r="AU15" s="601"/>
      <c r="AV15" s="601"/>
      <c r="AW15" s="601"/>
      <c r="AX15" s="601"/>
      <c r="AY15" s="601"/>
      <c r="AZ15" s="601"/>
      <c r="BA15" s="601"/>
      <c r="BB15" s="601"/>
      <c r="BC15" s="601"/>
      <c r="BD15" s="601"/>
      <c r="BE15" s="601"/>
      <c r="BF15" s="601"/>
      <c r="BG15" s="601"/>
      <c r="BH15" s="601"/>
      <c r="BI15" s="601"/>
      <c r="BJ15" s="601"/>
      <c r="BK15" s="601"/>
      <c r="BL15" s="601"/>
      <c r="BM15" s="601"/>
      <c r="BN15" s="601"/>
      <c r="BO15" s="601"/>
      <c r="BP15" s="601"/>
      <c r="BQ15" s="601"/>
      <c r="BR15" s="601"/>
      <c r="BS15" s="601"/>
      <c r="BT15" s="601"/>
    </row>
    <row r="16" spans="1:72" x14ac:dyDescent="0.2">
      <c r="A16" s="592">
        <f t="shared" si="0"/>
        <v>6</v>
      </c>
      <c r="B16" s="604">
        <v>557</v>
      </c>
      <c r="C16" s="604" t="s">
        <v>632</v>
      </c>
      <c r="D16" s="591" t="s">
        <v>525</v>
      </c>
      <c r="E16" s="601">
        <f>+'[14]Power Cost Bridge to A-1'!E16</f>
        <v>11072849.4899999</v>
      </c>
      <c r="F16" s="612">
        <f>+'[14]Power Cost Bridge to A-1'!F16</f>
        <v>9989396.959999999</v>
      </c>
      <c r="G16" s="601">
        <f>+'[14]Power Cost Bridge to A-1'!G16</f>
        <v>-1833483.02</v>
      </c>
      <c r="H16" s="601">
        <f>+'[14]Power Cost Bridge to A-1'!H16</f>
        <v>-323117.56</v>
      </c>
      <c r="I16" s="601">
        <f t="shared" si="1"/>
        <v>7832796.3799999999</v>
      </c>
      <c r="J16" s="601">
        <f t="shared" si="2"/>
        <v>7832796.3799999999</v>
      </c>
      <c r="K16" s="603"/>
      <c r="L16" s="601"/>
      <c r="M16" s="601"/>
      <c r="N16" s="601"/>
      <c r="O16" s="601"/>
      <c r="P16" s="601"/>
      <c r="Q16" s="601"/>
      <c r="R16" s="601"/>
      <c r="S16" s="601"/>
      <c r="T16" s="601"/>
      <c r="U16" s="601"/>
      <c r="V16" s="601"/>
      <c r="W16" s="601"/>
      <c r="X16" s="601"/>
      <c r="Y16" s="601"/>
      <c r="Z16" s="601"/>
      <c r="AA16" s="601"/>
      <c r="AB16" s="601"/>
      <c r="AC16" s="601"/>
      <c r="AD16" s="601"/>
      <c r="AE16" s="601"/>
      <c r="AF16" s="601"/>
      <c r="AG16" s="601"/>
      <c r="AH16" s="601"/>
      <c r="AI16" s="601"/>
      <c r="AJ16" s="601"/>
      <c r="AK16" s="601"/>
      <c r="AL16" s="601"/>
      <c r="AM16" s="601"/>
      <c r="AN16" s="601"/>
      <c r="AO16" s="601"/>
      <c r="AP16" s="601"/>
      <c r="AQ16" s="601"/>
      <c r="AR16" s="601"/>
      <c r="AS16" s="601"/>
      <c r="AT16" s="601"/>
      <c r="AU16" s="601"/>
      <c r="AV16" s="601"/>
      <c r="AW16" s="601"/>
      <c r="AX16" s="601"/>
      <c r="AY16" s="601"/>
      <c r="AZ16" s="601"/>
      <c r="BA16" s="601"/>
      <c r="BB16" s="601"/>
      <c r="BC16" s="601"/>
      <c r="BD16" s="601"/>
      <c r="BE16" s="601"/>
      <c r="BF16" s="601"/>
      <c r="BG16" s="601"/>
      <c r="BH16" s="601"/>
      <c r="BI16" s="601"/>
      <c r="BJ16" s="601"/>
      <c r="BK16" s="601"/>
      <c r="BL16" s="601"/>
      <c r="BM16" s="601"/>
      <c r="BN16" s="601"/>
      <c r="BO16" s="601"/>
      <c r="BP16" s="601"/>
      <c r="BQ16" s="601"/>
      <c r="BR16" s="601"/>
      <c r="BS16" s="601"/>
      <c r="BT16" s="601"/>
    </row>
    <row r="17" spans="1:72" x14ac:dyDescent="0.2">
      <c r="A17" s="592">
        <f t="shared" si="0"/>
        <v>7</v>
      </c>
      <c r="B17" s="604">
        <v>557</v>
      </c>
      <c r="C17" s="604" t="s">
        <v>637</v>
      </c>
      <c r="D17" s="591" t="s">
        <v>714</v>
      </c>
      <c r="E17" s="601">
        <f>+'[14]Power Cost Bridge to A-1'!E17</f>
        <v>446665.22</v>
      </c>
      <c r="F17" s="601">
        <f>+'[14]Power Cost Bridge to A-1'!F17</f>
        <v>446665.22</v>
      </c>
      <c r="G17" s="601"/>
      <c r="H17" s="601"/>
      <c r="I17" s="601">
        <f t="shared" si="1"/>
        <v>446665.22</v>
      </c>
      <c r="J17" s="601">
        <f t="shared" si="2"/>
        <v>426253.88751197996</v>
      </c>
      <c r="K17" s="603"/>
      <c r="L17" s="601"/>
      <c r="M17" s="601"/>
      <c r="N17" s="601"/>
      <c r="O17" s="601"/>
      <c r="P17" s="601"/>
      <c r="Q17" s="601"/>
      <c r="R17" s="601"/>
      <c r="S17" s="601"/>
      <c r="T17" s="601"/>
      <c r="U17" s="601"/>
      <c r="V17" s="601"/>
      <c r="W17" s="601"/>
      <c r="X17" s="601"/>
      <c r="Y17" s="601"/>
      <c r="Z17" s="601"/>
      <c r="AA17" s="601"/>
      <c r="AB17" s="601"/>
      <c r="AC17" s="601"/>
      <c r="AD17" s="601"/>
      <c r="AE17" s="601"/>
      <c r="AF17" s="601"/>
      <c r="AG17" s="601"/>
      <c r="AH17" s="601"/>
      <c r="AI17" s="601"/>
      <c r="AJ17" s="601"/>
      <c r="AK17" s="601"/>
      <c r="AL17" s="601"/>
      <c r="AM17" s="601"/>
      <c r="AN17" s="601"/>
      <c r="AO17" s="601"/>
      <c r="AP17" s="601"/>
      <c r="AQ17" s="601"/>
      <c r="AR17" s="601"/>
      <c r="AS17" s="601"/>
      <c r="AT17" s="601"/>
      <c r="AU17" s="601"/>
      <c r="AV17" s="601"/>
      <c r="AW17" s="601"/>
      <c r="AX17" s="601"/>
      <c r="AY17" s="601"/>
      <c r="AZ17" s="601"/>
      <c r="BA17" s="601"/>
      <c r="BB17" s="601"/>
      <c r="BC17" s="601"/>
      <c r="BD17" s="601"/>
      <c r="BE17" s="601"/>
      <c r="BF17" s="601"/>
      <c r="BG17" s="601"/>
      <c r="BH17" s="601"/>
      <c r="BI17" s="601"/>
      <c r="BJ17" s="601"/>
      <c r="BK17" s="601"/>
      <c r="BL17" s="601"/>
      <c r="BM17" s="601"/>
      <c r="BN17" s="601"/>
      <c r="BO17" s="601"/>
      <c r="BP17" s="601"/>
      <c r="BQ17" s="601"/>
      <c r="BR17" s="601"/>
      <c r="BS17" s="601"/>
      <c r="BT17" s="601"/>
    </row>
    <row r="18" spans="1:72" x14ac:dyDescent="0.2">
      <c r="A18" s="592">
        <f t="shared" si="0"/>
        <v>8</v>
      </c>
      <c r="B18" s="604">
        <v>565</v>
      </c>
      <c r="C18" s="604" t="s">
        <v>637</v>
      </c>
      <c r="D18" s="591" t="s">
        <v>526</v>
      </c>
      <c r="E18" s="601">
        <f>+'[14]Power Cost Bridge to A-1'!E18</f>
        <v>115807777.5999999</v>
      </c>
      <c r="F18" s="601">
        <f>+'[14]Power Cost Bridge to A-1'!F18</f>
        <v>117713493.80738376</v>
      </c>
      <c r="G18" s="601"/>
      <c r="H18" s="601"/>
      <c r="I18" s="601">
        <f t="shared" si="1"/>
        <v>117713493.80738376</v>
      </c>
      <c r="J18" s="605">
        <f t="shared" si="2"/>
        <v>112334321.32462588</v>
      </c>
      <c r="K18" s="603"/>
      <c r="L18" s="601"/>
      <c r="M18" s="601"/>
      <c r="N18" s="601"/>
      <c r="O18" s="601"/>
      <c r="P18" s="601"/>
      <c r="Q18" s="601"/>
      <c r="R18" s="601"/>
      <c r="S18" s="601"/>
      <c r="T18" s="601"/>
      <c r="U18" s="601"/>
      <c r="V18" s="601"/>
      <c r="W18" s="601"/>
      <c r="X18" s="601"/>
      <c r="Y18" s="601"/>
      <c r="Z18" s="601"/>
      <c r="AA18" s="601"/>
      <c r="AB18" s="601"/>
      <c r="AC18" s="601"/>
      <c r="AD18" s="601"/>
      <c r="AE18" s="601"/>
      <c r="AF18" s="601"/>
      <c r="AG18" s="601"/>
      <c r="AH18" s="601"/>
      <c r="AI18" s="601"/>
      <c r="AJ18" s="601"/>
      <c r="AK18" s="601"/>
      <c r="AL18" s="601"/>
      <c r="AM18" s="601"/>
      <c r="AN18" s="601"/>
      <c r="AO18" s="601"/>
      <c r="AP18" s="601"/>
      <c r="AQ18" s="601"/>
      <c r="AR18" s="601"/>
      <c r="AS18" s="601"/>
      <c r="AT18" s="601"/>
      <c r="AU18" s="601"/>
      <c r="AV18" s="601"/>
      <c r="AW18" s="601"/>
      <c r="AX18" s="601"/>
      <c r="AY18" s="601"/>
      <c r="AZ18" s="601"/>
      <c r="BA18" s="601"/>
      <c r="BB18" s="601"/>
      <c r="BC18" s="601"/>
      <c r="BD18" s="601"/>
      <c r="BE18" s="601"/>
      <c r="BF18" s="601"/>
      <c r="BG18" s="601"/>
      <c r="BH18" s="601"/>
      <c r="BI18" s="601"/>
      <c r="BJ18" s="601"/>
      <c r="BK18" s="601"/>
      <c r="BL18" s="601"/>
      <c r="BM18" s="601"/>
      <c r="BN18" s="601"/>
      <c r="BO18" s="601"/>
      <c r="BP18" s="601"/>
      <c r="BQ18" s="601"/>
      <c r="BR18" s="601"/>
      <c r="BS18" s="601"/>
      <c r="BT18" s="601"/>
    </row>
    <row r="19" spans="1:72" x14ac:dyDescent="0.2">
      <c r="A19" s="592">
        <f t="shared" si="0"/>
        <v>9</v>
      </c>
      <c r="B19" s="604">
        <v>447</v>
      </c>
      <c r="C19" s="604" t="s">
        <v>637</v>
      </c>
      <c r="D19" s="591" t="s">
        <v>527</v>
      </c>
      <c r="E19" s="601">
        <f>+'[14]Power Cost Bridge to A-1'!E19</f>
        <v>-155333122.24000001</v>
      </c>
      <c r="F19" s="601">
        <f>+'[14]Power Cost Bridge to A-1'!F19</f>
        <v>-5731396.5749000004</v>
      </c>
      <c r="G19" s="601"/>
      <c r="H19" s="601"/>
      <c r="I19" s="601">
        <f t="shared" si="1"/>
        <v>-5731396.5749000004</v>
      </c>
      <c r="J19" s="601">
        <f t="shared" si="2"/>
        <v>-5469488.0226492053</v>
      </c>
      <c r="K19" s="603"/>
      <c r="L19" s="601"/>
      <c r="M19" s="601"/>
      <c r="N19" s="601"/>
      <c r="O19" s="601"/>
      <c r="P19" s="601"/>
      <c r="Q19" s="601"/>
      <c r="R19" s="601"/>
      <c r="S19" s="601"/>
      <c r="T19" s="601"/>
      <c r="U19" s="601"/>
      <c r="V19" s="601"/>
      <c r="W19" s="601"/>
      <c r="X19" s="601"/>
      <c r="Y19" s="601"/>
      <c r="Z19" s="601"/>
      <c r="AA19" s="601"/>
      <c r="AB19" s="601"/>
      <c r="AC19" s="601"/>
      <c r="AD19" s="601"/>
      <c r="AE19" s="601"/>
      <c r="AF19" s="601"/>
      <c r="AG19" s="601"/>
      <c r="AH19" s="601"/>
      <c r="AI19" s="601"/>
      <c r="AJ19" s="601"/>
      <c r="AK19" s="601"/>
      <c r="AL19" s="601"/>
      <c r="AM19" s="601"/>
      <c r="AN19" s="601"/>
      <c r="AO19" s="601"/>
      <c r="AP19" s="601"/>
      <c r="AQ19" s="601"/>
      <c r="AR19" s="601"/>
      <c r="AS19" s="601"/>
      <c r="AT19" s="601"/>
      <c r="AU19" s="601"/>
      <c r="AV19" s="601"/>
      <c r="AW19" s="601"/>
      <c r="AX19" s="601"/>
      <c r="AY19" s="601"/>
      <c r="AZ19" s="601"/>
      <c r="BA19" s="601"/>
      <c r="BB19" s="601"/>
      <c r="BC19" s="601"/>
      <c r="BD19" s="601"/>
      <c r="BE19" s="601"/>
      <c r="BF19" s="601"/>
      <c r="BG19" s="601"/>
      <c r="BH19" s="601"/>
      <c r="BI19" s="601"/>
      <c r="BJ19" s="601"/>
      <c r="BK19" s="601"/>
      <c r="BL19" s="601"/>
      <c r="BM19" s="601"/>
      <c r="BN19" s="601"/>
      <c r="BO19" s="601"/>
      <c r="BP19" s="601"/>
      <c r="BQ19" s="601"/>
      <c r="BR19" s="601"/>
      <c r="BS19" s="601"/>
      <c r="BT19" s="601"/>
    </row>
    <row r="20" spans="1:72" x14ac:dyDescent="0.2">
      <c r="A20" s="592">
        <f t="shared" si="0"/>
        <v>10</v>
      </c>
      <c r="B20" s="604">
        <v>456</v>
      </c>
      <c r="C20" s="604" t="s">
        <v>637</v>
      </c>
      <c r="D20" s="591" t="s">
        <v>528</v>
      </c>
      <c r="E20" s="601">
        <f>+'[14]Power Cost Bridge to A-1'!E20</f>
        <v>-69470811.980000019</v>
      </c>
      <c r="F20" s="601">
        <f>+'[14]Power Cost Bridge to A-1'!F20</f>
        <v>-22440595.249540851</v>
      </c>
      <c r="G20" s="601"/>
      <c r="H20" s="601"/>
      <c r="I20" s="601">
        <f t="shared" si="1"/>
        <v>-22440595.249540851</v>
      </c>
      <c r="J20" s="601">
        <f t="shared" si="2"/>
        <v>-21415123.754653782</v>
      </c>
      <c r="K20" s="603"/>
      <c r="L20" s="601"/>
      <c r="M20" s="601"/>
      <c r="N20" s="601"/>
      <c r="O20" s="601"/>
      <c r="P20" s="601"/>
      <c r="Q20" s="601"/>
      <c r="R20" s="601"/>
      <c r="S20" s="601"/>
      <c r="T20" s="601"/>
      <c r="U20" s="601"/>
      <c r="V20" s="601"/>
      <c r="W20" s="601"/>
      <c r="X20" s="601"/>
      <c r="Y20" s="601"/>
      <c r="Z20" s="601"/>
      <c r="AA20" s="601"/>
      <c r="AB20" s="601"/>
      <c r="AC20" s="601"/>
      <c r="AD20" s="601"/>
      <c r="AE20" s="601"/>
      <c r="AF20" s="601"/>
      <c r="AG20" s="601"/>
      <c r="AH20" s="601"/>
      <c r="AI20" s="601"/>
      <c r="AJ20" s="601"/>
      <c r="AK20" s="601"/>
      <c r="AL20" s="601"/>
      <c r="AM20" s="601"/>
      <c r="AN20" s="601"/>
      <c r="AO20" s="601"/>
      <c r="AP20" s="601"/>
      <c r="AQ20" s="601"/>
      <c r="AR20" s="601"/>
      <c r="AS20" s="601"/>
      <c r="AT20" s="601"/>
      <c r="AU20" s="601"/>
      <c r="AV20" s="601"/>
      <c r="AW20" s="601"/>
      <c r="AX20" s="601"/>
      <c r="AY20" s="601"/>
      <c r="AZ20" s="601"/>
      <c r="BA20" s="601"/>
      <c r="BB20" s="601"/>
      <c r="BC20" s="601"/>
      <c r="BD20" s="601"/>
      <c r="BE20" s="601"/>
      <c r="BF20" s="601"/>
      <c r="BG20" s="601"/>
      <c r="BH20" s="601"/>
      <c r="BI20" s="601"/>
      <c r="BJ20" s="601"/>
      <c r="BK20" s="601"/>
      <c r="BL20" s="601"/>
      <c r="BM20" s="601"/>
      <c r="BN20" s="601"/>
      <c r="BO20" s="601"/>
      <c r="BP20" s="601"/>
      <c r="BQ20" s="601"/>
      <c r="BR20" s="601"/>
      <c r="BS20" s="601"/>
      <c r="BT20" s="601"/>
    </row>
    <row r="21" spans="1:72" x14ac:dyDescent="0.2">
      <c r="A21" s="592">
        <f t="shared" si="0"/>
        <v>11</v>
      </c>
      <c r="B21" s="604"/>
      <c r="C21" s="604"/>
      <c r="D21" s="606" t="s">
        <v>142</v>
      </c>
      <c r="E21" s="607">
        <f t="shared" ref="E21:J21" si="3">SUM(E13:E20)</f>
        <v>696627809.45446146</v>
      </c>
      <c r="F21" s="607">
        <f t="shared" si="3"/>
        <v>744190570.24607325</v>
      </c>
      <c r="G21" s="607">
        <f t="shared" si="3"/>
        <v>-1833483.02</v>
      </c>
      <c r="H21" s="607">
        <f t="shared" si="3"/>
        <v>-323117.56</v>
      </c>
      <c r="I21" s="607">
        <f t="shared" si="3"/>
        <v>742033969.6660732</v>
      </c>
      <c r="J21" s="607">
        <f t="shared" si="3"/>
        <v>708483060.41677797</v>
      </c>
      <c r="K21" s="603"/>
      <c r="L21" s="601"/>
      <c r="M21" s="601"/>
      <c r="N21" s="601"/>
      <c r="O21" s="601"/>
      <c r="P21" s="601"/>
      <c r="Q21" s="601"/>
      <c r="R21" s="601"/>
      <c r="S21" s="601"/>
      <c r="T21" s="601"/>
      <c r="U21" s="601"/>
      <c r="V21" s="601"/>
      <c r="W21" s="601"/>
      <c r="X21" s="601"/>
      <c r="Y21" s="601"/>
      <c r="Z21" s="601"/>
      <c r="AA21" s="601"/>
      <c r="AB21" s="601"/>
      <c r="AC21" s="601"/>
      <c r="AD21" s="601"/>
      <c r="AE21" s="601"/>
      <c r="AF21" s="601"/>
      <c r="AG21" s="601"/>
      <c r="AH21" s="601"/>
      <c r="AI21" s="601"/>
      <c r="AJ21" s="601"/>
      <c r="AK21" s="601"/>
      <c r="AL21" s="601"/>
      <c r="AM21" s="601"/>
      <c r="AN21" s="601"/>
      <c r="AO21" s="601"/>
      <c r="AP21" s="601"/>
      <c r="AQ21" s="601"/>
      <c r="AR21" s="601"/>
      <c r="AS21" s="601"/>
      <c r="AT21" s="601"/>
      <c r="AU21" s="601"/>
      <c r="AV21" s="601"/>
      <c r="AW21" s="601"/>
      <c r="AX21" s="601"/>
      <c r="AY21" s="601"/>
      <c r="AZ21" s="601"/>
      <c r="BA21" s="601"/>
      <c r="BB21" s="601"/>
      <c r="BC21" s="601"/>
      <c r="BD21" s="601"/>
      <c r="BE21" s="601"/>
      <c r="BF21" s="601"/>
      <c r="BG21" s="601"/>
      <c r="BH21" s="601"/>
      <c r="BI21" s="601"/>
      <c r="BJ21" s="601"/>
      <c r="BK21" s="601"/>
      <c r="BL21" s="601"/>
      <c r="BM21" s="601"/>
      <c r="BN21" s="601"/>
      <c r="BO21" s="601"/>
      <c r="BP21" s="601"/>
      <c r="BQ21" s="601"/>
      <c r="BR21" s="601"/>
      <c r="BS21" s="601"/>
      <c r="BT21" s="601"/>
    </row>
    <row r="22" spans="1:72" x14ac:dyDescent="0.2">
      <c r="A22" s="592">
        <f t="shared" si="0"/>
        <v>12</v>
      </c>
      <c r="B22" s="604"/>
      <c r="C22" s="604"/>
      <c r="D22" s="608" t="s">
        <v>715</v>
      </c>
      <c r="E22" s="609">
        <f>+'[14]Restating=&gt;'!D21-E21</f>
        <v>0</v>
      </c>
      <c r="F22" s="609">
        <f>+'[14]PKW RY PC1'!D17*1000-F21</f>
        <v>-685114.35963702202</v>
      </c>
      <c r="G22" s="601"/>
      <c r="H22" s="601"/>
      <c r="I22" s="609">
        <f>+F21+G21+H21-I21</f>
        <v>0</v>
      </c>
      <c r="J22" s="601"/>
      <c r="K22" s="603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1"/>
      <c r="Z22" s="601"/>
      <c r="AA22" s="601"/>
      <c r="AB22" s="601"/>
      <c r="AC22" s="601"/>
      <c r="AD22" s="601"/>
      <c r="AE22" s="601"/>
      <c r="AF22" s="601"/>
      <c r="AG22" s="601"/>
      <c r="AH22" s="601"/>
      <c r="AI22" s="601"/>
      <c r="AJ22" s="601"/>
      <c r="AK22" s="601"/>
      <c r="AL22" s="601"/>
      <c r="AM22" s="601"/>
      <c r="AN22" s="601"/>
      <c r="AO22" s="601"/>
      <c r="AP22" s="601"/>
      <c r="AQ22" s="601"/>
      <c r="AR22" s="601"/>
      <c r="AS22" s="601"/>
      <c r="AT22" s="601"/>
      <c r="AU22" s="601"/>
      <c r="AV22" s="601"/>
      <c r="AW22" s="601"/>
      <c r="AX22" s="601"/>
      <c r="AY22" s="601"/>
      <c r="AZ22" s="601"/>
      <c r="BA22" s="601"/>
      <c r="BB22" s="601"/>
      <c r="BC22" s="601"/>
      <c r="BD22" s="601"/>
      <c r="BE22" s="601"/>
      <c r="BF22" s="601"/>
      <c r="BG22" s="601"/>
      <c r="BH22" s="601"/>
      <c r="BI22" s="601"/>
      <c r="BJ22" s="601"/>
      <c r="BK22" s="601"/>
      <c r="BL22" s="601"/>
      <c r="BM22" s="601"/>
      <c r="BN22" s="601"/>
      <c r="BO22" s="601"/>
      <c r="BP22" s="601"/>
      <c r="BQ22" s="601"/>
      <c r="BR22" s="601"/>
      <c r="BS22" s="601"/>
      <c r="BT22" s="601"/>
    </row>
    <row r="23" spans="1:72" x14ac:dyDescent="0.2">
      <c r="A23" s="592">
        <f t="shared" si="0"/>
        <v>13</v>
      </c>
      <c r="B23" s="604"/>
      <c r="C23" s="604"/>
      <c r="D23" s="602" t="s">
        <v>530</v>
      </c>
      <c r="E23" s="601"/>
      <c r="F23" s="601"/>
      <c r="G23" s="601"/>
      <c r="H23" s="601"/>
      <c r="I23" s="601"/>
      <c r="J23" s="601"/>
      <c r="K23" s="603"/>
      <c r="L23" s="601"/>
      <c r="M23" s="601"/>
      <c r="N23" s="601"/>
      <c r="O23" s="601"/>
      <c r="P23" s="601"/>
      <c r="Q23" s="601"/>
      <c r="R23" s="601"/>
      <c r="S23" s="601"/>
      <c r="T23" s="601"/>
      <c r="U23" s="601"/>
      <c r="V23" s="601"/>
      <c r="W23" s="601"/>
      <c r="X23" s="601"/>
      <c r="Y23" s="601"/>
      <c r="Z23" s="601"/>
      <c r="AA23" s="601"/>
      <c r="AB23" s="601"/>
      <c r="AC23" s="601"/>
      <c r="AD23" s="601"/>
      <c r="AE23" s="601"/>
      <c r="AF23" s="601"/>
      <c r="AG23" s="601"/>
      <c r="AH23" s="601"/>
      <c r="AI23" s="601"/>
      <c r="AJ23" s="601"/>
      <c r="AK23" s="601"/>
      <c r="AL23" s="601"/>
      <c r="AM23" s="601"/>
      <c r="AN23" s="601"/>
      <c r="AO23" s="601"/>
      <c r="AP23" s="601"/>
      <c r="AQ23" s="601"/>
      <c r="AR23" s="601"/>
      <c r="AS23" s="601"/>
      <c r="AT23" s="601"/>
      <c r="AU23" s="601"/>
      <c r="AV23" s="601"/>
      <c r="AW23" s="601"/>
      <c r="AX23" s="601"/>
      <c r="AY23" s="601"/>
      <c r="AZ23" s="601"/>
      <c r="BA23" s="601"/>
      <c r="BB23" s="601"/>
      <c r="BC23" s="601"/>
      <c r="BD23" s="601"/>
      <c r="BE23" s="601"/>
      <c r="BF23" s="601"/>
      <c r="BG23" s="601"/>
      <c r="BH23" s="601"/>
      <c r="BI23" s="601"/>
      <c r="BJ23" s="601"/>
      <c r="BK23" s="601"/>
      <c r="BL23" s="601"/>
      <c r="BM23" s="601"/>
      <c r="BN23" s="601"/>
      <c r="BO23" s="601"/>
      <c r="BP23" s="601"/>
      <c r="BQ23" s="601"/>
      <c r="BR23" s="601"/>
      <c r="BS23" s="601"/>
      <c r="BT23" s="601"/>
    </row>
    <row r="24" spans="1:72" x14ac:dyDescent="0.2">
      <c r="A24" s="592">
        <f t="shared" si="0"/>
        <v>14</v>
      </c>
      <c r="B24" s="604" t="s">
        <v>716</v>
      </c>
      <c r="C24" s="604" t="s">
        <v>632</v>
      </c>
      <c r="D24" s="610" t="s">
        <v>531</v>
      </c>
      <c r="E24" s="601">
        <f>+'[14]Power Cost Bridge to A-1'!E24</f>
        <v>127167992.89</v>
      </c>
      <c r="F24" s="601">
        <f>+'[14]Power Cost Bridge to A-1'!F24</f>
        <v>116281330.74835677</v>
      </c>
      <c r="G24" s="601">
        <f>+'[14]Power Cost Bridge to A-1'!G24</f>
        <v>-6141737.9100000001</v>
      </c>
      <c r="H24" s="601">
        <f>+'[14]Power Cost Bridge to A-1'!H24</f>
        <v>-1619460.36</v>
      </c>
      <c r="I24" s="601">
        <f>SUM(F24:H24)</f>
        <v>108520132.47835678</v>
      </c>
      <c r="J24" s="601">
        <f>IF(C24="v",I24*$J$8,I24*$J$6)</f>
        <v>108520132.47835678</v>
      </c>
      <c r="K24" s="603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01"/>
      <c r="AI24" s="601"/>
      <c r="AJ24" s="601"/>
      <c r="AK24" s="601"/>
      <c r="AL24" s="601"/>
      <c r="AM24" s="601"/>
      <c r="AN24" s="601"/>
      <c r="AO24" s="601"/>
      <c r="AP24" s="601"/>
      <c r="AQ24" s="601"/>
      <c r="AR24" s="601"/>
      <c r="AS24" s="601"/>
      <c r="AT24" s="601"/>
      <c r="AU24" s="601"/>
      <c r="AV24" s="601"/>
      <c r="AW24" s="601"/>
      <c r="AX24" s="601"/>
      <c r="AY24" s="601"/>
      <c r="AZ24" s="601"/>
      <c r="BA24" s="601"/>
      <c r="BB24" s="601"/>
      <c r="BC24" s="601"/>
      <c r="BD24" s="601"/>
      <c r="BE24" s="601"/>
      <c r="BF24" s="601"/>
      <c r="BG24" s="601"/>
      <c r="BH24" s="601"/>
      <c r="BI24" s="601"/>
      <c r="BJ24" s="601"/>
      <c r="BK24" s="601"/>
      <c r="BL24" s="601"/>
      <c r="BM24" s="601"/>
      <c r="BN24" s="601"/>
      <c r="BO24" s="601"/>
      <c r="BP24" s="601"/>
      <c r="BQ24" s="601"/>
      <c r="BR24" s="601"/>
      <c r="BS24" s="601"/>
      <c r="BT24" s="601"/>
    </row>
    <row r="25" spans="1:72" x14ac:dyDescent="0.2">
      <c r="A25" s="592">
        <f t="shared" si="0"/>
        <v>15</v>
      </c>
      <c r="B25" s="604" t="s">
        <v>716</v>
      </c>
      <c r="C25" s="604" t="s">
        <v>632</v>
      </c>
      <c r="D25" s="606" t="s">
        <v>717</v>
      </c>
      <c r="E25" s="601">
        <f>+'[14]Power Cost Bridge to A-1'!E25</f>
        <v>876514.03</v>
      </c>
      <c r="F25" s="601">
        <f>+'[14]Power Cost Bridge to A-1'!F25</f>
        <v>876514.03</v>
      </c>
      <c r="G25" s="601"/>
      <c r="H25" s="601"/>
      <c r="I25" s="601">
        <f>SUM(F25:H25)</f>
        <v>876514.03</v>
      </c>
      <c r="J25" s="601">
        <f>IF(C25="v",I25*$J$8,I25*$J$6)</f>
        <v>876514.03</v>
      </c>
      <c r="K25" s="603"/>
      <c r="L25" s="601"/>
      <c r="M25" s="601"/>
      <c r="N25" s="601"/>
      <c r="O25" s="601"/>
      <c r="P25" s="601"/>
      <c r="Q25" s="601"/>
      <c r="R25" s="601"/>
      <c r="S25" s="601"/>
      <c r="T25" s="601"/>
      <c r="U25" s="601"/>
      <c r="V25" s="601"/>
      <c r="W25" s="601"/>
      <c r="X25" s="601"/>
      <c r="Y25" s="601"/>
      <c r="Z25" s="601"/>
      <c r="AA25" s="601"/>
      <c r="AB25" s="601"/>
      <c r="AC25" s="601"/>
      <c r="AD25" s="601"/>
      <c r="AE25" s="601"/>
      <c r="AF25" s="601"/>
      <c r="AG25" s="601"/>
      <c r="AH25" s="601"/>
      <c r="AI25" s="601"/>
      <c r="AJ25" s="601"/>
      <c r="AK25" s="601"/>
      <c r="AL25" s="601"/>
      <c r="AM25" s="601"/>
      <c r="AN25" s="601"/>
      <c r="AO25" s="601"/>
      <c r="AP25" s="601"/>
      <c r="AQ25" s="601"/>
      <c r="AR25" s="601"/>
      <c r="AS25" s="601"/>
      <c r="AT25" s="601"/>
      <c r="AU25" s="601"/>
      <c r="AV25" s="601"/>
      <c r="AW25" s="601"/>
      <c r="AX25" s="601"/>
      <c r="AY25" s="601"/>
      <c r="AZ25" s="601"/>
      <c r="BA25" s="601"/>
      <c r="BB25" s="601"/>
      <c r="BC25" s="601"/>
      <c r="BD25" s="601"/>
      <c r="BE25" s="601"/>
      <c r="BF25" s="601"/>
      <c r="BG25" s="601"/>
      <c r="BH25" s="601"/>
      <c r="BI25" s="601"/>
      <c r="BJ25" s="601"/>
      <c r="BK25" s="601"/>
      <c r="BL25" s="601"/>
      <c r="BM25" s="601"/>
      <c r="BN25" s="601"/>
      <c r="BO25" s="601"/>
      <c r="BP25" s="601"/>
      <c r="BQ25" s="601"/>
      <c r="BR25" s="601"/>
      <c r="BS25" s="601"/>
      <c r="BT25" s="601"/>
    </row>
    <row r="26" spans="1:72" x14ac:dyDescent="0.2">
      <c r="A26" s="592">
        <f t="shared" si="0"/>
        <v>16</v>
      </c>
      <c r="B26" s="604" t="s">
        <v>718</v>
      </c>
      <c r="C26" s="604" t="s">
        <v>632</v>
      </c>
      <c r="D26" s="606" t="s">
        <v>719</v>
      </c>
      <c r="E26" s="601">
        <f>+'[14]Power Cost Bridge to A-1'!E26</f>
        <v>-7201724.9500000002</v>
      </c>
      <c r="F26" s="601">
        <f>+'[14]Power Cost Bridge to A-1'!F26</f>
        <v>-8666881.7085096519</v>
      </c>
      <c r="G26" s="605"/>
      <c r="H26" s="601"/>
      <c r="I26" s="601">
        <f>SUM(F26:H26)</f>
        <v>-8666881.7085096519</v>
      </c>
      <c r="J26" s="601">
        <f>IF(C26="v",I26*$J$8,I26*$J$6)</f>
        <v>-8666881.7085096519</v>
      </c>
      <c r="K26" s="603"/>
      <c r="L26" s="601"/>
      <c r="M26" s="601"/>
      <c r="N26" s="601"/>
      <c r="O26" s="601"/>
      <c r="P26" s="601"/>
      <c r="Q26" s="601"/>
      <c r="R26" s="601"/>
      <c r="S26" s="601"/>
      <c r="T26" s="601"/>
      <c r="U26" s="601"/>
      <c r="V26" s="601"/>
      <c r="W26" s="601"/>
      <c r="X26" s="601"/>
      <c r="Y26" s="601"/>
      <c r="Z26" s="601"/>
      <c r="AA26" s="601"/>
      <c r="AB26" s="601"/>
      <c r="AC26" s="601"/>
      <c r="AD26" s="601"/>
      <c r="AE26" s="601"/>
      <c r="AF26" s="601"/>
      <c r="AG26" s="601"/>
      <c r="AH26" s="601"/>
      <c r="AI26" s="601"/>
      <c r="AJ26" s="601"/>
      <c r="AK26" s="601"/>
      <c r="AL26" s="601"/>
      <c r="AM26" s="601"/>
      <c r="AN26" s="601"/>
      <c r="AO26" s="601"/>
      <c r="AP26" s="601"/>
      <c r="AQ26" s="601"/>
      <c r="AR26" s="601"/>
      <c r="AS26" s="601"/>
      <c r="AT26" s="601"/>
      <c r="AU26" s="601"/>
      <c r="AV26" s="601"/>
      <c r="AW26" s="601"/>
      <c r="AX26" s="601"/>
      <c r="AY26" s="601"/>
      <c r="AZ26" s="601"/>
      <c r="BA26" s="601"/>
      <c r="BB26" s="601"/>
      <c r="BC26" s="601"/>
      <c r="BD26" s="601"/>
      <c r="BE26" s="601"/>
      <c r="BF26" s="601"/>
      <c r="BG26" s="601"/>
      <c r="BH26" s="601"/>
      <c r="BI26" s="601"/>
      <c r="BJ26" s="601"/>
      <c r="BK26" s="601"/>
      <c r="BL26" s="601"/>
      <c r="BM26" s="601"/>
      <c r="BN26" s="601"/>
      <c r="BO26" s="601"/>
      <c r="BP26" s="601"/>
      <c r="BQ26" s="601"/>
      <c r="BR26" s="601"/>
      <c r="BS26" s="601"/>
      <c r="BT26" s="601"/>
    </row>
    <row r="27" spans="1:72" x14ac:dyDescent="0.2">
      <c r="A27" s="592">
        <f t="shared" si="0"/>
        <v>17</v>
      </c>
      <c r="B27" s="604" t="s">
        <v>720</v>
      </c>
      <c r="C27" s="604" t="s">
        <v>637</v>
      </c>
      <c r="D27" s="606" t="s">
        <v>721</v>
      </c>
      <c r="E27" s="601" t="e">
        <f>+'[14]Power Cost Bridge to A-1'!E27</f>
        <v>#REF!</v>
      </c>
      <c r="F27" s="601">
        <f>+'[14]Power Cost Bridge to A-1'!F27</f>
        <v>4959912</v>
      </c>
      <c r="G27" s="601"/>
      <c r="H27" s="601"/>
      <c r="I27" s="601">
        <f>SUM(F27:H27)</f>
        <v>4959912</v>
      </c>
      <c r="J27" s="601">
        <f>IF(C27="v",I27*$J$8,I27*$J$6)</f>
        <v>4733258.1026060628</v>
      </c>
      <c r="K27" s="603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601"/>
      <c r="Y27" s="601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  <c r="AJ27" s="601"/>
      <c r="AK27" s="601"/>
      <c r="AL27" s="601"/>
      <c r="AM27" s="601"/>
      <c r="AN27" s="601"/>
      <c r="AO27" s="601"/>
      <c r="AP27" s="601"/>
      <c r="AQ27" s="601"/>
      <c r="AR27" s="601"/>
      <c r="AS27" s="601"/>
      <c r="AT27" s="601"/>
      <c r="AU27" s="601"/>
      <c r="AV27" s="601"/>
      <c r="AW27" s="601"/>
      <c r="AX27" s="601"/>
      <c r="AY27" s="601"/>
      <c r="AZ27" s="601"/>
      <c r="BA27" s="601"/>
      <c r="BB27" s="601"/>
      <c r="BC27" s="601"/>
      <c r="BD27" s="601"/>
      <c r="BE27" s="601"/>
      <c r="BF27" s="601"/>
      <c r="BG27" s="601"/>
      <c r="BH27" s="601"/>
      <c r="BI27" s="601"/>
      <c r="BJ27" s="601"/>
      <c r="BK27" s="601"/>
      <c r="BL27" s="601"/>
      <c r="BM27" s="601"/>
      <c r="BN27" s="601"/>
      <c r="BO27" s="601"/>
      <c r="BP27" s="601"/>
      <c r="BQ27" s="601"/>
      <c r="BR27" s="601"/>
      <c r="BS27" s="601"/>
      <c r="BT27" s="601"/>
    </row>
    <row r="28" spans="1:72" ht="13.5" thickBot="1" x14ac:dyDescent="0.25">
      <c r="A28" s="592">
        <f t="shared" si="0"/>
        <v>18</v>
      </c>
      <c r="B28" s="604"/>
      <c r="C28" s="604"/>
      <c r="D28" s="606" t="s">
        <v>97</v>
      </c>
      <c r="E28" s="611" t="e">
        <f t="shared" ref="E28:J28" si="4">SUM(E21:E27)</f>
        <v>#REF!</v>
      </c>
      <c r="F28" s="611">
        <f t="shared" si="4"/>
        <v>856956330.95628333</v>
      </c>
      <c r="G28" s="611">
        <f t="shared" si="4"/>
        <v>-7975220.9299999997</v>
      </c>
      <c r="H28" s="611">
        <f t="shared" si="4"/>
        <v>-1942577.9200000002</v>
      </c>
      <c r="I28" s="611">
        <f t="shared" si="4"/>
        <v>847723646.46592021</v>
      </c>
      <c r="J28" s="611">
        <f t="shared" si="4"/>
        <v>813946083.31923103</v>
      </c>
      <c r="K28" s="603"/>
      <c r="L28" s="601"/>
      <c r="M28" s="601"/>
      <c r="N28" s="601"/>
      <c r="O28" s="601"/>
      <c r="P28" s="601"/>
      <c r="Q28" s="601"/>
      <c r="R28" s="601"/>
      <c r="S28" s="601"/>
      <c r="T28" s="601"/>
      <c r="U28" s="601"/>
      <c r="V28" s="601"/>
      <c r="W28" s="601"/>
      <c r="X28" s="601"/>
      <c r="Y28" s="601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  <c r="AJ28" s="601"/>
      <c r="AK28" s="601"/>
      <c r="AL28" s="601"/>
      <c r="AM28" s="601"/>
      <c r="AN28" s="601"/>
      <c r="AO28" s="601"/>
      <c r="AP28" s="601"/>
      <c r="AQ28" s="601"/>
      <c r="AR28" s="601"/>
      <c r="AS28" s="601"/>
      <c r="AT28" s="601"/>
      <c r="AU28" s="601"/>
      <c r="AV28" s="601"/>
      <c r="AW28" s="601"/>
      <c r="AX28" s="601"/>
      <c r="AY28" s="601"/>
      <c r="AZ28" s="601"/>
      <c r="BA28" s="601"/>
      <c r="BB28" s="601"/>
      <c r="BC28" s="601"/>
      <c r="BD28" s="601"/>
      <c r="BE28" s="601"/>
      <c r="BF28" s="601"/>
      <c r="BG28" s="601"/>
      <c r="BH28" s="601"/>
      <c r="BI28" s="601"/>
      <c r="BJ28" s="601"/>
      <c r="BK28" s="601"/>
      <c r="BL28" s="601"/>
      <c r="BM28" s="601"/>
      <c r="BN28" s="601"/>
      <c r="BO28" s="601"/>
      <c r="BP28" s="601"/>
      <c r="BQ28" s="601"/>
      <c r="BR28" s="601"/>
      <c r="BS28" s="601"/>
      <c r="BT28" s="601"/>
    </row>
    <row r="29" spans="1:72" ht="13.5" thickTop="1" x14ac:dyDescent="0.2">
      <c r="B29" s="604"/>
      <c r="C29" s="604"/>
      <c r="E29" s="603"/>
      <c r="F29" s="603"/>
      <c r="G29" s="603"/>
      <c r="H29" s="603"/>
      <c r="I29" s="603"/>
      <c r="J29" s="603"/>
      <c r="K29" s="603"/>
      <c r="L29" s="601"/>
      <c r="M29" s="601"/>
      <c r="N29" s="601"/>
      <c r="O29" s="601"/>
      <c r="P29" s="601"/>
      <c r="Q29" s="601"/>
      <c r="R29" s="601"/>
      <c r="S29" s="601"/>
      <c r="T29" s="601"/>
      <c r="U29" s="601"/>
      <c r="V29" s="601"/>
      <c r="W29" s="601"/>
      <c r="X29" s="601"/>
      <c r="Y29" s="601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  <c r="AJ29" s="601"/>
      <c r="AK29" s="601"/>
      <c r="AL29" s="601"/>
      <c r="AM29" s="601"/>
      <c r="AN29" s="601"/>
      <c r="AO29" s="601"/>
      <c r="AP29" s="601"/>
      <c r="AQ29" s="601"/>
      <c r="AR29" s="601"/>
      <c r="AS29" s="601"/>
      <c r="AT29" s="601"/>
      <c r="AU29" s="601"/>
      <c r="AV29" s="601"/>
      <c r="AW29" s="601"/>
      <c r="AX29" s="601"/>
      <c r="AY29" s="601"/>
      <c r="AZ29" s="601"/>
      <c r="BA29" s="601"/>
      <c r="BB29" s="601"/>
      <c r="BC29" s="601"/>
      <c r="BD29" s="601"/>
      <c r="BE29" s="601"/>
      <c r="BF29" s="601"/>
      <c r="BG29" s="601"/>
      <c r="BH29" s="601"/>
      <c r="BI29" s="601"/>
      <c r="BJ29" s="601"/>
      <c r="BK29" s="601"/>
      <c r="BL29" s="601"/>
      <c r="BM29" s="601"/>
      <c r="BN29" s="601"/>
      <c r="BO29" s="601"/>
      <c r="BP29" s="601"/>
      <c r="BQ29" s="601"/>
      <c r="BR29" s="601"/>
      <c r="BS29" s="601"/>
      <c r="BT29" s="601"/>
    </row>
    <row r="30" spans="1:72" x14ac:dyDescent="0.2">
      <c r="B30" s="604"/>
      <c r="C30" s="604"/>
      <c r="E30" s="601"/>
      <c r="F30" s="601"/>
      <c r="G30" s="601"/>
      <c r="H30" s="601"/>
      <c r="I30" s="601"/>
      <c r="J30" s="601"/>
      <c r="K30" s="603"/>
      <c r="L30" s="601"/>
      <c r="M30" s="601"/>
      <c r="N30" s="601"/>
      <c r="O30" s="601"/>
      <c r="P30" s="601"/>
      <c r="Q30" s="601"/>
      <c r="R30" s="601"/>
      <c r="S30" s="601"/>
      <c r="T30" s="601"/>
      <c r="U30" s="601"/>
      <c r="V30" s="601"/>
      <c r="W30" s="601"/>
      <c r="X30" s="601"/>
      <c r="Y30" s="601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  <c r="AJ30" s="601"/>
      <c r="AK30" s="601"/>
      <c r="AL30" s="601"/>
      <c r="AM30" s="601"/>
      <c r="AN30" s="601"/>
      <c r="AO30" s="601"/>
      <c r="AP30" s="601"/>
      <c r="AQ30" s="601"/>
      <c r="AR30" s="601"/>
      <c r="AS30" s="601"/>
      <c r="AT30" s="601"/>
      <c r="AU30" s="601"/>
      <c r="AV30" s="601"/>
      <c r="AW30" s="601"/>
      <c r="AX30" s="601"/>
      <c r="AY30" s="601"/>
      <c r="AZ30" s="601"/>
      <c r="BA30" s="601"/>
      <c r="BB30" s="601"/>
      <c r="BC30" s="601"/>
      <c r="BD30" s="601"/>
      <c r="BE30" s="601"/>
      <c r="BF30" s="601"/>
      <c r="BG30" s="601"/>
      <c r="BH30" s="601"/>
      <c r="BI30" s="601"/>
      <c r="BJ30" s="601"/>
      <c r="BK30" s="601"/>
      <c r="BL30" s="601"/>
      <c r="BM30" s="601"/>
      <c r="BN30" s="601"/>
      <c r="BO30" s="601"/>
      <c r="BP30" s="601"/>
      <c r="BQ30" s="601"/>
      <c r="BR30" s="601"/>
      <c r="BS30" s="601"/>
      <c r="BT30" s="601"/>
    </row>
    <row r="31" spans="1:72" x14ac:dyDescent="0.2">
      <c r="A31" s="603"/>
      <c r="B31" s="603"/>
      <c r="C31" s="603"/>
      <c r="D31" s="603"/>
      <c r="E31" s="603"/>
      <c r="F31" s="603"/>
      <c r="G31" s="603"/>
      <c r="H31" s="603"/>
      <c r="I31" s="603"/>
      <c r="J31" s="603"/>
      <c r="K31" s="603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  <c r="AD31" s="601"/>
      <c r="AE31" s="601"/>
      <c r="AF31" s="601"/>
      <c r="AG31" s="601"/>
      <c r="AH31" s="601"/>
      <c r="AI31" s="601"/>
      <c r="AJ31" s="601"/>
      <c r="AK31" s="601"/>
      <c r="AL31" s="601"/>
      <c r="AM31" s="601"/>
      <c r="AN31" s="601"/>
      <c r="AO31" s="601"/>
      <c r="AP31" s="601"/>
      <c r="AQ31" s="601"/>
      <c r="AR31" s="601"/>
      <c r="AS31" s="601"/>
      <c r="AT31" s="601"/>
      <c r="AU31" s="601"/>
      <c r="AV31" s="601"/>
      <c r="AW31" s="601"/>
      <c r="AX31" s="601"/>
      <c r="AY31" s="601"/>
      <c r="AZ31" s="601"/>
      <c r="BA31" s="601"/>
      <c r="BB31" s="601"/>
      <c r="BC31" s="601"/>
      <c r="BD31" s="601"/>
      <c r="BE31" s="601"/>
      <c r="BF31" s="601"/>
      <c r="BG31" s="601"/>
      <c r="BH31" s="601"/>
      <c r="BI31" s="601"/>
      <c r="BJ31" s="601"/>
      <c r="BK31" s="601"/>
      <c r="BL31" s="601"/>
      <c r="BM31" s="601"/>
      <c r="BN31" s="601"/>
      <c r="BO31" s="601"/>
      <c r="BP31" s="601"/>
      <c r="BQ31" s="601"/>
      <c r="BR31" s="601"/>
      <c r="BS31" s="601"/>
      <c r="BT31" s="601"/>
    </row>
    <row r="32" spans="1:72" x14ac:dyDescent="0.2">
      <c r="A32" s="603"/>
      <c r="B32" s="603"/>
      <c r="C32" s="603"/>
      <c r="D32" s="603"/>
      <c r="E32" s="603"/>
      <c r="F32" s="603"/>
      <c r="G32" s="603"/>
      <c r="H32" s="603"/>
      <c r="I32" s="603"/>
      <c r="J32" s="603"/>
      <c r="K32" s="603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  <c r="AD32" s="601"/>
      <c r="AE32" s="601"/>
      <c r="AF32" s="601"/>
      <c r="AG32" s="601"/>
      <c r="AH32" s="601"/>
      <c r="AI32" s="601"/>
      <c r="AJ32" s="601"/>
      <c r="AK32" s="601"/>
      <c r="AL32" s="601"/>
      <c r="AM32" s="601"/>
      <c r="AN32" s="601"/>
      <c r="AO32" s="601"/>
      <c r="AP32" s="601"/>
      <c r="AQ32" s="601"/>
      <c r="AR32" s="601"/>
      <c r="AS32" s="601"/>
      <c r="AT32" s="601"/>
      <c r="AU32" s="601"/>
      <c r="AV32" s="601"/>
      <c r="AW32" s="601"/>
      <c r="AX32" s="601"/>
      <c r="AY32" s="601"/>
      <c r="AZ32" s="601"/>
      <c r="BA32" s="601"/>
      <c r="BB32" s="601"/>
      <c r="BC32" s="601"/>
      <c r="BD32" s="601"/>
      <c r="BE32" s="601"/>
      <c r="BF32" s="601"/>
      <c r="BG32" s="601"/>
      <c r="BH32" s="601"/>
      <c r="BI32" s="601"/>
      <c r="BJ32" s="601"/>
      <c r="BK32" s="601"/>
      <c r="BL32" s="601"/>
      <c r="BM32" s="601"/>
      <c r="BN32" s="601"/>
      <c r="BO32" s="601"/>
      <c r="BP32" s="601"/>
      <c r="BQ32" s="601"/>
      <c r="BR32" s="601"/>
      <c r="BS32" s="601"/>
      <c r="BT32" s="601"/>
    </row>
    <row r="33" spans="1:72" x14ac:dyDescent="0.2">
      <c r="A33" s="603"/>
      <c r="B33" s="603"/>
      <c r="C33" s="603"/>
      <c r="D33" s="603"/>
      <c r="E33" s="603"/>
      <c r="F33" s="603"/>
      <c r="G33" s="603"/>
      <c r="H33" s="603"/>
      <c r="I33" s="603"/>
      <c r="J33" s="603"/>
      <c r="K33" s="603"/>
      <c r="L33" s="601"/>
      <c r="M33" s="601"/>
      <c r="N33" s="601"/>
      <c r="O33" s="601"/>
      <c r="P33" s="601"/>
      <c r="Q33" s="601"/>
      <c r="R33" s="601"/>
      <c r="S33" s="601"/>
      <c r="T33" s="601"/>
      <c r="U33" s="601"/>
      <c r="V33" s="601"/>
      <c r="W33" s="601"/>
      <c r="X33" s="601"/>
      <c r="Y33" s="601"/>
      <c r="Z33" s="601"/>
      <c r="AA33" s="601"/>
      <c r="AB33" s="601"/>
      <c r="AC33" s="601"/>
      <c r="AD33" s="601"/>
      <c r="AE33" s="601"/>
      <c r="AF33" s="601"/>
      <c r="AG33" s="601"/>
      <c r="AH33" s="601"/>
      <c r="AI33" s="601"/>
      <c r="AJ33" s="601"/>
      <c r="AK33" s="601"/>
      <c r="AL33" s="601"/>
      <c r="AM33" s="601"/>
      <c r="AN33" s="601"/>
      <c r="AO33" s="601"/>
      <c r="AP33" s="601"/>
      <c r="AQ33" s="601"/>
      <c r="AR33" s="601"/>
      <c r="AS33" s="601"/>
      <c r="AT33" s="601"/>
      <c r="AU33" s="601"/>
      <c r="AV33" s="601"/>
      <c r="AW33" s="601"/>
      <c r="AX33" s="601"/>
      <c r="AY33" s="601"/>
      <c r="AZ33" s="601"/>
      <c r="BA33" s="601"/>
      <c r="BB33" s="601"/>
      <c r="BC33" s="601"/>
      <c r="BD33" s="601"/>
      <c r="BE33" s="601"/>
      <c r="BF33" s="601"/>
      <c r="BG33" s="601"/>
      <c r="BH33" s="601"/>
      <c r="BI33" s="601"/>
      <c r="BJ33" s="601"/>
      <c r="BK33" s="601"/>
      <c r="BL33" s="601"/>
      <c r="BM33" s="601"/>
      <c r="BN33" s="601"/>
      <c r="BO33" s="601"/>
      <c r="BP33" s="601"/>
      <c r="BQ33" s="601"/>
      <c r="BR33" s="601"/>
      <c r="BS33" s="601"/>
      <c r="BT33" s="601"/>
    </row>
    <row r="34" spans="1:72" x14ac:dyDescent="0.2">
      <c r="A34" s="603"/>
      <c r="B34" s="603"/>
      <c r="C34" s="603"/>
      <c r="D34" s="603"/>
      <c r="E34" s="603"/>
      <c r="F34" s="603"/>
      <c r="G34" s="603"/>
      <c r="H34" s="603"/>
      <c r="I34" s="603"/>
      <c r="J34" s="603"/>
      <c r="K34" s="603"/>
      <c r="L34" s="601"/>
      <c r="M34" s="601"/>
      <c r="N34" s="601"/>
      <c r="O34" s="601"/>
      <c r="P34" s="601"/>
      <c r="Q34" s="601"/>
      <c r="R34" s="601"/>
      <c r="S34" s="601"/>
      <c r="T34" s="601"/>
      <c r="U34" s="601"/>
      <c r="V34" s="601"/>
      <c r="W34" s="601"/>
      <c r="X34" s="601"/>
      <c r="Y34" s="601"/>
      <c r="Z34" s="601"/>
      <c r="AA34" s="601"/>
      <c r="AB34" s="601"/>
      <c r="AC34" s="601"/>
      <c r="AD34" s="601"/>
      <c r="AE34" s="601"/>
      <c r="AF34" s="601"/>
      <c r="AG34" s="601"/>
      <c r="AH34" s="601"/>
      <c r="AI34" s="601"/>
      <c r="AJ34" s="601"/>
      <c r="AK34" s="601"/>
      <c r="AL34" s="601"/>
      <c r="AM34" s="601"/>
      <c r="AN34" s="601"/>
      <c r="AO34" s="601"/>
      <c r="AP34" s="601"/>
      <c r="AQ34" s="601"/>
      <c r="AR34" s="601"/>
      <c r="AS34" s="601"/>
      <c r="AT34" s="601"/>
      <c r="AU34" s="601"/>
      <c r="AV34" s="601"/>
      <c r="AW34" s="601"/>
      <c r="AX34" s="601"/>
      <c r="AY34" s="601"/>
      <c r="AZ34" s="601"/>
      <c r="BA34" s="601"/>
      <c r="BB34" s="601"/>
      <c r="BC34" s="601"/>
      <c r="BD34" s="601"/>
      <c r="BE34" s="601"/>
      <c r="BF34" s="601"/>
      <c r="BG34" s="601"/>
      <c r="BH34" s="601"/>
      <c r="BI34" s="601"/>
      <c r="BJ34" s="601"/>
      <c r="BK34" s="601"/>
      <c r="BL34" s="601"/>
      <c r="BM34" s="601"/>
      <c r="BN34" s="601"/>
      <c r="BO34" s="601"/>
      <c r="BP34" s="601"/>
      <c r="BQ34" s="601"/>
      <c r="BR34" s="601"/>
      <c r="BS34" s="601"/>
      <c r="BT34" s="601"/>
    </row>
    <row r="35" spans="1:72" x14ac:dyDescent="0.2">
      <c r="A35" s="603"/>
      <c r="B35" s="603"/>
      <c r="C35" s="603"/>
      <c r="D35" s="603"/>
      <c r="E35" s="603"/>
      <c r="F35" s="603"/>
      <c r="G35" s="603"/>
      <c r="H35" s="603"/>
      <c r="I35" s="603"/>
      <c r="J35" s="603"/>
      <c r="K35" s="603"/>
      <c r="L35" s="601"/>
      <c r="M35" s="601"/>
      <c r="N35" s="601"/>
      <c r="O35" s="601"/>
      <c r="P35" s="601"/>
      <c r="Q35" s="601"/>
      <c r="R35" s="601"/>
      <c r="S35" s="601"/>
      <c r="T35" s="601"/>
      <c r="U35" s="601"/>
      <c r="V35" s="601"/>
      <c r="W35" s="601"/>
      <c r="X35" s="601"/>
      <c r="Y35" s="601"/>
      <c r="Z35" s="601"/>
      <c r="AA35" s="601"/>
      <c r="AB35" s="601"/>
      <c r="AC35" s="601"/>
      <c r="AD35" s="601"/>
      <c r="AE35" s="601"/>
      <c r="AF35" s="601"/>
      <c r="AG35" s="601"/>
      <c r="AH35" s="601"/>
      <c r="AI35" s="601"/>
      <c r="AJ35" s="601"/>
      <c r="AK35" s="601"/>
      <c r="AL35" s="601"/>
      <c r="AM35" s="601"/>
      <c r="AN35" s="601"/>
      <c r="AO35" s="601"/>
      <c r="AP35" s="601"/>
      <c r="AQ35" s="601"/>
      <c r="AR35" s="601"/>
      <c r="AS35" s="601"/>
      <c r="AT35" s="601"/>
      <c r="AU35" s="601"/>
      <c r="AV35" s="601"/>
      <c r="AW35" s="601"/>
      <c r="AX35" s="601"/>
      <c r="AY35" s="601"/>
      <c r="AZ35" s="601"/>
      <c r="BA35" s="601"/>
      <c r="BB35" s="601"/>
      <c r="BC35" s="601"/>
      <c r="BD35" s="601"/>
      <c r="BE35" s="601"/>
      <c r="BF35" s="601"/>
      <c r="BG35" s="601"/>
      <c r="BH35" s="601"/>
      <c r="BI35" s="601"/>
      <c r="BJ35" s="601"/>
      <c r="BK35" s="601"/>
      <c r="BL35" s="601"/>
      <c r="BM35" s="601"/>
      <c r="BN35" s="601"/>
      <c r="BO35" s="601"/>
      <c r="BP35" s="601"/>
      <c r="BQ35" s="601"/>
      <c r="BR35" s="601"/>
      <c r="BS35" s="601"/>
      <c r="BT35" s="601"/>
    </row>
    <row r="36" spans="1:72" x14ac:dyDescent="0.2">
      <c r="A36" s="603"/>
      <c r="B36" s="603"/>
      <c r="C36" s="603"/>
      <c r="D36" s="603"/>
      <c r="E36" s="603"/>
      <c r="F36" s="603"/>
      <c r="G36" s="603"/>
      <c r="H36" s="603"/>
      <c r="I36" s="603"/>
      <c r="J36" s="603"/>
      <c r="K36" s="601"/>
      <c r="L36" s="601"/>
      <c r="M36" s="601"/>
      <c r="N36" s="601"/>
      <c r="O36" s="601"/>
      <c r="P36" s="601"/>
      <c r="Q36" s="601"/>
      <c r="R36" s="601"/>
      <c r="S36" s="601"/>
      <c r="T36" s="601"/>
      <c r="U36" s="601"/>
      <c r="V36" s="601"/>
      <c r="W36" s="601"/>
      <c r="X36" s="601"/>
      <c r="Y36" s="601"/>
      <c r="Z36" s="601"/>
      <c r="AA36" s="601"/>
      <c r="AB36" s="601"/>
      <c r="AC36" s="601"/>
      <c r="AD36" s="601"/>
      <c r="AE36" s="601"/>
      <c r="AF36" s="601"/>
      <c r="AG36" s="601"/>
      <c r="AH36" s="601"/>
      <c r="AI36" s="601"/>
      <c r="AJ36" s="601"/>
      <c r="AK36" s="601"/>
      <c r="AL36" s="601"/>
      <c r="AM36" s="601"/>
      <c r="AN36" s="601"/>
      <c r="AO36" s="601"/>
      <c r="AP36" s="601"/>
      <c r="AQ36" s="601"/>
      <c r="AR36" s="601"/>
      <c r="AS36" s="601"/>
      <c r="AT36" s="601"/>
      <c r="AU36" s="601"/>
      <c r="AV36" s="601"/>
      <c r="AW36" s="601"/>
      <c r="AX36" s="601"/>
      <c r="AY36" s="601"/>
      <c r="AZ36" s="601"/>
      <c r="BA36" s="601"/>
      <c r="BB36" s="601"/>
      <c r="BC36" s="601"/>
      <c r="BD36" s="601"/>
      <c r="BE36" s="601"/>
      <c r="BF36" s="601"/>
      <c r="BG36" s="601"/>
      <c r="BH36" s="601"/>
      <c r="BI36" s="601"/>
      <c r="BJ36" s="601"/>
      <c r="BK36" s="601"/>
      <c r="BL36" s="601"/>
      <c r="BM36" s="601"/>
      <c r="BN36" s="601"/>
      <c r="BO36" s="601"/>
      <c r="BP36" s="601"/>
      <c r="BQ36" s="601"/>
      <c r="BR36" s="601"/>
      <c r="BS36" s="601"/>
      <c r="BT36" s="601"/>
    </row>
    <row r="37" spans="1:72" x14ac:dyDescent="0.2">
      <c r="A37" s="603"/>
      <c r="B37" s="603"/>
      <c r="C37" s="603"/>
      <c r="D37" s="603"/>
      <c r="E37" s="603"/>
      <c r="F37" s="603"/>
      <c r="G37" s="603"/>
      <c r="H37" s="603"/>
      <c r="I37" s="603"/>
      <c r="J37" s="603"/>
      <c r="K37" s="601"/>
      <c r="L37" s="601"/>
      <c r="M37" s="601"/>
      <c r="N37" s="601"/>
      <c r="O37" s="601"/>
      <c r="P37" s="601"/>
      <c r="Q37" s="601"/>
      <c r="R37" s="601"/>
      <c r="S37" s="601"/>
      <c r="T37" s="601"/>
      <c r="U37" s="601"/>
      <c r="V37" s="601"/>
      <c r="W37" s="601"/>
      <c r="X37" s="601"/>
      <c r="Y37" s="601"/>
      <c r="Z37" s="601"/>
      <c r="AA37" s="601"/>
      <c r="AB37" s="601"/>
      <c r="AC37" s="601"/>
      <c r="AD37" s="601"/>
      <c r="AE37" s="601"/>
      <c r="AF37" s="601"/>
      <c r="AG37" s="601"/>
      <c r="AH37" s="601"/>
      <c r="AI37" s="601"/>
      <c r="AJ37" s="601"/>
      <c r="AK37" s="601"/>
      <c r="AL37" s="601"/>
      <c r="AM37" s="601"/>
      <c r="AN37" s="601"/>
      <c r="AO37" s="601"/>
      <c r="AP37" s="601"/>
      <c r="AQ37" s="601"/>
      <c r="AR37" s="601"/>
      <c r="AS37" s="601"/>
      <c r="AT37" s="601"/>
      <c r="AU37" s="601"/>
      <c r="AV37" s="601"/>
      <c r="AW37" s="601"/>
      <c r="AX37" s="601"/>
      <c r="AY37" s="601"/>
      <c r="AZ37" s="601"/>
      <c r="BA37" s="601"/>
      <c r="BB37" s="601"/>
      <c r="BC37" s="601"/>
      <c r="BD37" s="601"/>
      <c r="BE37" s="601"/>
      <c r="BF37" s="601"/>
      <c r="BG37" s="601"/>
      <c r="BH37" s="601"/>
      <c r="BI37" s="601"/>
      <c r="BJ37" s="601"/>
      <c r="BK37" s="601"/>
      <c r="BL37" s="601"/>
      <c r="BM37" s="601"/>
      <c r="BN37" s="601"/>
      <c r="BO37" s="601"/>
      <c r="BP37" s="601"/>
      <c r="BQ37" s="601"/>
      <c r="BR37" s="601"/>
      <c r="BS37" s="601"/>
      <c r="BT37" s="601"/>
    </row>
    <row r="38" spans="1:72" x14ac:dyDescent="0.2">
      <c r="A38" s="603"/>
      <c r="B38" s="603"/>
      <c r="C38" s="603"/>
      <c r="D38" s="603"/>
      <c r="E38" s="603"/>
      <c r="F38" s="603"/>
      <c r="G38" s="603"/>
      <c r="H38" s="603"/>
      <c r="I38" s="603"/>
      <c r="J38" s="603"/>
      <c r="K38" s="601"/>
      <c r="L38" s="601"/>
      <c r="M38" s="601"/>
      <c r="N38" s="601"/>
      <c r="O38" s="601"/>
      <c r="P38" s="601"/>
      <c r="Q38" s="601"/>
      <c r="R38" s="601"/>
      <c r="S38" s="601"/>
      <c r="T38" s="601"/>
      <c r="U38" s="601"/>
      <c r="V38" s="601"/>
      <c r="W38" s="601"/>
      <c r="X38" s="601"/>
      <c r="Y38" s="601"/>
      <c r="Z38" s="601"/>
      <c r="AA38" s="601"/>
      <c r="AB38" s="601"/>
      <c r="AC38" s="601"/>
      <c r="AD38" s="601"/>
      <c r="AE38" s="601"/>
      <c r="AF38" s="601"/>
      <c r="AG38" s="601"/>
      <c r="AH38" s="601"/>
      <c r="AI38" s="601"/>
      <c r="AJ38" s="601"/>
      <c r="AK38" s="601"/>
      <c r="AL38" s="601"/>
      <c r="AM38" s="601"/>
      <c r="AN38" s="601"/>
      <c r="AO38" s="601"/>
      <c r="AP38" s="601"/>
      <c r="AQ38" s="601"/>
      <c r="AR38" s="601"/>
      <c r="AS38" s="601"/>
      <c r="AT38" s="601"/>
      <c r="AU38" s="601"/>
      <c r="AV38" s="601"/>
      <c r="AW38" s="601"/>
      <c r="AX38" s="601"/>
      <c r="AY38" s="601"/>
      <c r="AZ38" s="601"/>
      <c r="BA38" s="601"/>
      <c r="BB38" s="601"/>
      <c r="BC38" s="601"/>
      <c r="BD38" s="601"/>
      <c r="BE38" s="601"/>
      <c r="BF38" s="601"/>
      <c r="BG38" s="601"/>
      <c r="BH38" s="601"/>
      <c r="BI38" s="601"/>
      <c r="BJ38" s="601"/>
      <c r="BK38" s="601"/>
      <c r="BL38" s="601"/>
      <c r="BM38" s="601"/>
      <c r="BN38" s="601"/>
      <c r="BO38" s="601"/>
      <c r="BP38" s="601"/>
      <c r="BQ38" s="601"/>
      <c r="BR38" s="601"/>
      <c r="BS38" s="601"/>
      <c r="BT38" s="601"/>
    </row>
    <row r="39" spans="1:72" x14ac:dyDescent="0.2">
      <c r="A39" s="603"/>
      <c r="B39" s="603"/>
      <c r="C39" s="603"/>
      <c r="D39" s="603"/>
      <c r="E39" s="603"/>
      <c r="F39" s="603"/>
      <c r="G39" s="603"/>
      <c r="H39" s="603"/>
      <c r="I39" s="603"/>
      <c r="J39" s="603"/>
      <c r="K39" s="601"/>
      <c r="L39" s="601"/>
      <c r="M39" s="601"/>
      <c r="N39" s="601"/>
      <c r="O39" s="601"/>
      <c r="P39" s="601"/>
      <c r="Q39" s="601"/>
      <c r="R39" s="601"/>
      <c r="S39" s="601"/>
      <c r="T39" s="601"/>
      <c r="U39" s="601"/>
      <c r="V39" s="601"/>
      <c r="W39" s="601"/>
      <c r="X39" s="601"/>
      <c r="Y39" s="601"/>
      <c r="Z39" s="601"/>
      <c r="AA39" s="601"/>
      <c r="AB39" s="601"/>
      <c r="AC39" s="601"/>
      <c r="AD39" s="601"/>
      <c r="AE39" s="601"/>
      <c r="AF39" s="601"/>
      <c r="AG39" s="601"/>
      <c r="AH39" s="601"/>
      <c r="AI39" s="601"/>
      <c r="AJ39" s="601"/>
      <c r="AK39" s="601"/>
      <c r="AL39" s="601"/>
      <c r="AM39" s="601"/>
      <c r="AN39" s="601"/>
      <c r="AO39" s="601"/>
      <c r="AP39" s="601"/>
      <c r="AQ39" s="601"/>
      <c r="AR39" s="601"/>
      <c r="AS39" s="601"/>
      <c r="AT39" s="601"/>
      <c r="AU39" s="601"/>
      <c r="AV39" s="601"/>
      <c r="AW39" s="601"/>
      <c r="AX39" s="601"/>
      <c r="AY39" s="601"/>
      <c r="AZ39" s="601"/>
      <c r="BA39" s="601"/>
      <c r="BB39" s="601"/>
      <c r="BC39" s="601"/>
      <c r="BD39" s="601"/>
      <c r="BE39" s="601"/>
      <c r="BF39" s="601"/>
      <c r="BG39" s="601"/>
      <c r="BH39" s="601"/>
      <c r="BI39" s="601"/>
      <c r="BJ39" s="601"/>
      <c r="BK39" s="601"/>
      <c r="BL39" s="601"/>
      <c r="BM39" s="601"/>
      <c r="BN39" s="601"/>
      <c r="BO39" s="601"/>
      <c r="BP39" s="601"/>
      <c r="BQ39" s="601"/>
      <c r="BR39" s="601"/>
      <c r="BS39" s="601"/>
      <c r="BT39" s="601"/>
    </row>
    <row r="40" spans="1:72" x14ac:dyDescent="0.2">
      <c r="A40" s="603"/>
      <c r="B40" s="603"/>
      <c r="C40" s="603"/>
      <c r="D40" s="603"/>
      <c r="E40" s="603"/>
      <c r="F40" s="603"/>
      <c r="G40" s="603"/>
      <c r="H40" s="603"/>
      <c r="I40" s="603"/>
      <c r="J40" s="603"/>
      <c r="K40" s="601"/>
      <c r="L40" s="601"/>
      <c r="M40" s="601"/>
      <c r="N40" s="601"/>
      <c r="O40" s="601"/>
      <c r="P40" s="601"/>
      <c r="Q40" s="601"/>
      <c r="R40" s="601"/>
      <c r="S40" s="601"/>
      <c r="T40" s="601"/>
      <c r="U40" s="601"/>
      <c r="V40" s="601"/>
      <c r="W40" s="601"/>
      <c r="X40" s="601"/>
      <c r="Y40" s="601"/>
      <c r="Z40" s="601"/>
      <c r="AA40" s="601"/>
      <c r="AB40" s="601"/>
      <c r="AC40" s="601"/>
      <c r="AD40" s="601"/>
      <c r="AE40" s="601"/>
      <c r="AF40" s="601"/>
      <c r="AG40" s="601"/>
      <c r="AH40" s="601"/>
      <c r="AI40" s="601"/>
      <c r="AJ40" s="601"/>
      <c r="AK40" s="601"/>
      <c r="AL40" s="601"/>
      <c r="AM40" s="601"/>
      <c r="AN40" s="601"/>
      <c r="AO40" s="601"/>
      <c r="AP40" s="601"/>
      <c r="AQ40" s="601"/>
      <c r="AR40" s="601"/>
      <c r="AS40" s="601"/>
      <c r="AT40" s="601"/>
      <c r="AU40" s="601"/>
      <c r="AV40" s="601"/>
      <c r="AW40" s="601"/>
      <c r="AX40" s="601"/>
      <c r="AY40" s="601"/>
      <c r="AZ40" s="601"/>
      <c r="BA40" s="601"/>
      <c r="BB40" s="601"/>
      <c r="BC40" s="601"/>
      <c r="BD40" s="601"/>
      <c r="BE40" s="601"/>
      <c r="BF40" s="601"/>
      <c r="BG40" s="601"/>
      <c r="BH40" s="601"/>
      <c r="BI40" s="601"/>
      <c r="BJ40" s="601"/>
      <c r="BK40" s="601"/>
      <c r="BL40" s="601"/>
      <c r="BM40" s="601"/>
      <c r="BN40" s="601"/>
      <c r="BO40" s="601"/>
      <c r="BP40" s="601"/>
      <c r="BQ40" s="601"/>
      <c r="BR40" s="601"/>
      <c r="BS40" s="601"/>
      <c r="BT40" s="601"/>
    </row>
    <row r="41" spans="1:72" x14ac:dyDescent="0.2">
      <c r="A41" s="603"/>
      <c r="B41" s="603"/>
      <c r="C41" s="603"/>
      <c r="D41" s="603"/>
      <c r="E41" s="603"/>
      <c r="F41" s="603"/>
      <c r="G41" s="603"/>
      <c r="H41" s="603"/>
      <c r="I41" s="603"/>
      <c r="J41" s="603"/>
      <c r="K41" s="601"/>
      <c r="L41" s="601"/>
      <c r="M41" s="601"/>
      <c r="N41" s="601"/>
      <c r="O41" s="601"/>
      <c r="P41" s="601"/>
      <c r="Q41" s="601"/>
      <c r="R41" s="601"/>
      <c r="S41" s="601"/>
      <c r="T41" s="601"/>
      <c r="U41" s="601"/>
      <c r="V41" s="601"/>
      <c r="W41" s="601"/>
      <c r="X41" s="601"/>
      <c r="Y41" s="601"/>
      <c r="Z41" s="601"/>
      <c r="AA41" s="601"/>
      <c r="AB41" s="601"/>
      <c r="AC41" s="601"/>
      <c r="AD41" s="601"/>
      <c r="AE41" s="601"/>
      <c r="AF41" s="601"/>
      <c r="AG41" s="601"/>
      <c r="AH41" s="601"/>
      <c r="AI41" s="601"/>
      <c r="AJ41" s="601"/>
      <c r="AK41" s="601"/>
      <c r="AL41" s="601"/>
      <c r="AM41" s="601"/>
      <c r="AN41" s="601"/>
      <c r="AO41" s="601"/>
      <c r="AP41" s="601"/>
      <c r="AQ41" s="601"/>
      <c r="AR41" s="601"/>
      <c r="AS41" s="601"/>
      <c r="AT41" s="601"/>
      <c r="AU41" s="601"/>
      <c r="AV41" s="601"/>
      <c r="AW41" s="601"/>
      <c r="AX41" s="601"/>
      <c r="AY41" s="601"/>
      <c r="AZ41" s="601"/>
      <c r="BA41" s="601"/>
      <c r="BB41" s="601"/>
      <c r="BC41" s="601"/>
      <c r="BD41" s="601"/>
      <c r="BE41" s="601"/>
      <c r="BF41" s="601"/>
      <c r="BG41" s="601"/>
      <c r="BH41" s="601"/>
      <c r="BI41" s="601"/>
      <c r="BJ41" s="601"/>
      <c r="BK41" s="601"/>
      <c r="BL41" s="601"/>
      <c r="BM41" s="601"/>
      <c r="BN41" s="601"/>
      <c r="BO41" s="601"/>
      <c r="BP41" s="601"/>
      <c r="BQ41" s="601"/>
      <c r="BR41" s="601"/>
      <c r="BS41" s="601"/>
      <c r="BT41" s="601"/>
    </row>
    <row r="42" spans="1:72" x14ac:dyDescent="0.2">
      <c r="A42" s="603"/>
      <c r="B42" s="603"/>
      <c r="C42" s="603"/>
      <c r="D42" s="603"/>
      <c r="E42" s="603"/>
      <c r="F42" s="603"/>
      <c r="G42" s="603"/>
      <c r="H42" s="603"/>
      <c r="I42" s="603"/>
      <c r="J42" s="603"/>
      <c r="K42" s="601"/>
      <c r="L42" s="601"/>
      <c r="M42" s="601"/>
      <c r="N42" s="601"/>
      <c r="O42" s="601"/>
      <c r="P42" s="601"/>
      <c r="Q42" s="601"/>
      <c r="R42" s="601"/>
      <c r="S42" s="601"/>
      <c r="T42" s="601"/>
      <c r="U42" s="601"/>
      <c r="V42" s="601"/>
      <c r="W42" s="601"/>
      <c r="X42" s="601"/>
      <c r="Y42" s="601"/>
      <c r="Z42" s="601"/>
      <c r="AA42" s="601"/>
      <c r="AB42" s="601"/>
      <c r="AC42" s="601"/>
      <c r="AD42" s="601"/>
      <c r="AE42" s="601"/>
      <c r="AF42" s="601"/>
      <c r="AG42" s="601"/>
      <c r="AH42" s="601"/>
      <c r="AI42" s="601"/>
      <c r="AJ42" s="601"/>
      <c r="AK42" s="601"/>
      <c r="AL42" s="601"/>
      <c r="AM42" s="601"/>
      <c r="AN42" s="601"/>
      <c r="AO42" s="601"/>
      <c r="AP42" s="601"/>
      <c r="AQ42" s="601"/>
      <c r="AR42" s="601"/>
      <c r="AS42" s="601"/>
      <c r="AT42" s="601"/>
      <c r="AU42" s="601"/>
      <c r="AV42" s="601"/>
      <c r="AW42" s="601"/>
      <c r="AX42" s="601"/>
      <c r="AY42" s="601"/>
      <c r="AZ42" s="601"/>
      <c r="BA42" s="601"/>
      <c r="BB42" s="601"/>
      <c r="BC42" s="601"/>
      <c r="BD42" s="601"/>
      <c r="BE42" s="601"/>
      <c r="BF42" s="601"/>
      <c r="BG42" s="601"/>
      <c r="BH42" s="601"/>
      <c r="BI42" s="601"/>
      <c r="BJ42" s="601"/>
      <c r="BK42" s="601"/>
      <c r="BL42" s="601"/>
      <c r="BM42" s="601"/>
      <c r="BN42" s="601"/>
      <c r="BO42" s="601"/>
      <c r="BP42" s="601"/>
      <c r="BQ42" s="601"/>
      <c r="BR42" s="601"/>
      <c r="BS42" s="601"/>
      <c r="BT42" s="601"/>
    </row>
    <row r="43" spans="1:72" x14ac:dyDescent="0.2">
      <c r="A43" s="603"/>
      <c r="B43" s="603"/>
      <c r="C43" s="603"/>
      <c r="D43" s="603"/>
      <c r="E43" s="603"/>
      <c r="F43" s="603"/>
      <c r="G43" s="603"/>
      <c r="H43" s="603"/>
      <c r="I43" s="603"/>
      <c r="J43" s="603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1"/>
      <c r="AG43" s="601"/>
      <c r="AH43" s="601"/>
      <c r="AI43" s="601"/>
      <c r="AJ43" s="601"/>
      <c r="AK43" s="601"/>
      <c r="AL43" s="601"/>
      <c r="AM43" s="601"/>
      <c r="AN43" s="601"/>
      <c r="AO43" s="601"/>
      <c r="AP43" s="601"/>
      <c r="AQ43" s="601"/>
      <c r="AR43" s="601"/>
      <c r="AS43" s="601"/>
      <c r="AT43" s="601"/>
      <c r="AU43" s="601"/>
      <c r="AV43" s="601"/>
      <c r="AW43" s="601"/>
      <c r="AX43" s="601"/>
      <c r="AY43" s="601"/>
      <c r="AZ43" s="601"/>
      <c r="BA43" s="601"/>
      <c r="BB43" s="601"/>
      <c r="BC43" s="601"/>
      <c r="BD43" s="601"/>
      <c r="BE43" s="601"/>
      <c r="BF43" s="601"/>
      <c r="BG43" s="601"/>
      <c r="BH43" s="601"/>
      <c r="BI43" s="601"/>
      <c r="BJ43" s="601"/>
      <c r="BK43" s="601"/>
      <c r="BL43" s="601"/>
      <c r="BM43" s="601"/>
      <c r="BN43" s="601"/>
      <c r="BO43" s="601"/>
      <c r="BP43" s="601"/>
      <c r="BQ43" s="601"/>
      <c r="BR43" s="601"/>
      <c r="BS43" s="601"/>
      <c r="BT43" s="601"/>
    </row>
    <row r="44" spans="1:72" x14ac:dyDescent="0.2">
      <c r="A44" s="603"/>
      <c r="B44" s="603"/>
      <c r="C44" s="603"/>
      <c r="D44" s="603"/>
      <c r="E44" s="603"/>
      <c r="F44" s="603"/>
      <c r="G44" s="603"/>
      <c r="H44" s="603"/>
      <c r="I44" s="603"/>
      <c r="J44" s="603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1"/>
      <c r="AG44" s="601"/>
      <c r="AH44" s="601"/>
      <c r="AI44" s="601"/>
      <c r="AJ44" s="601"/>
      <c r="AK44" s="601"/>
      <c r="AL44" s="601"/>
      <c r="AM44" s="601"/>
      <c r="AN44" s="601"/>
      <c r="AO44" s="601"/>
      <c r="AP44" s="601"/>
      <c r="AQ44" s="601"/>
      <c r="AR44" s="601"/>
      <c r="AS44" s="601"/>
      <c r="AT44" s="601"/>
      <c r="AU44" s="601"/>
      <c r="AV44" s="601"/>
      <c r="AW44" s="601"/>
      <c r="AX44" s="601"/>
      <c r="AY44" s="601"/>
      <c r="AZ44" s="601"/>
      <c r="BA44" s="601"/>
      <c r="BB44" s="601"/>
      <c r="BC44" s="601"/>
      <c r="BD44" s="601"/>
      <c r="BE44" s="601"/>
      <c r="BF44" s="601"/>
      <c r="BG44" s="601"/>
      <c r="BH44" s="601"/>
      <c r="BI44" s="601"/>
      <c r="BJ44" s="601"/>
      <c r="BK44" s="601"/>
      <c r="BL44" s="601"/>
      <c r="BM44" s="601"/>
      <c r="BN44" s="601"/>
      <c r="BO44" s="601"/>
      <c r="BP44" s="601"/>
      <c r="BQ44" s="601"/>
      <c r="BR44" s="601"/>
      <c r="BS44" s="601"/>
      <c r="BT44" s="601"/>
    </row>
    <row r="45" spans="1:72" x14ac:dyDescent="0.2">
      <c r="A45" s="603"/>
      <c r="B45" s="603"/>
      <c r="C45" s="603"/>
      <c r="D45" s="603"/>
      <c r="E45" s="603"/>
      <c r="F45" s="603"/>
      <c r="G45" s="603"/>
      <c r="H45" s="603"/>
      <c r="I45" s="603"/>
      <c r="J45" s="603"/>
      <c r="K45" s="601"/>
      <c r="L45" s="601"/>
      <c r="M45" s="601"/>
      <c r="N45" s="601"/>
      <c r="O45" s="601"/>
      <c r="P45" s="601"/>
      <c r="Q45" s="601"/>
      <c r="R45" s="601"/>
      <c r="S45" s="601"/>
      <c r="T45" s="601"/>
      <c r="U45" s="601"/>
      <c r="V45" s="601"/>
      <c r="W45" s="601"/>
      <c r="X45" s="601"/>
      <c r="Y45" s="601"/>
      <c r="Z45" s="601"/>
      <c r="AA45" s="601"/>
      <c r="AB45" s="601"/>
      <c r="AC45" s="601"/>
      <c r="AD45" s="601"/>
      <c r="AE45" s="601"/>
      <c r="AF45" s="601"/>
      <c r="AG45" s="601"/>
      <c r="AH45" s="601"/>
      <c r="AI45" s="601"/>
      <c r="AJ45" s="601"/>
      <c r="AK45" s="601"/>
      <c r="AL45" s="601"/>
      <c r="AM45" s="601"/>
      <c r="AN45" s="601"/>
      <c r="AO45" s="601"/>
      <c r="AP45" s="601"/>
      <c r="AQ45" s="601"/>
      <c r="AR45" s="601"/>
      <c r="AS45" s="601"/>
      <c r="AT45" s="601"/>
      <c r="AU45" s="601"/>
      <c r="AV45" s="601"/>
      <c r="AW45" s="601"/>
      <c r="AX45" s="601"/>
      <c r="AY45" s="601"/>
      <c r="AZ45" s="601"/>
      <c r="BA45" s="601"/>
      <c r="BB45" s="601"/>
      <c r="BC45" s="601"/>
      <c r="BD45" s="601"/>
      <c r="BE45" s="601"/>
      <c r="BF45" s="601"/>
      <c r="BG45" s="601"/>
      <c r="BH45" s="601"/>
      <c r="BI45" s="601"/>
      <c r="BJ45" s="601"/>
      <c r="BK45" s="601"/>
      <c r="BL45" s="601"/>
      <c r="BM45" s="601"/>
      <c r="BN45" s="601"/>
      <c r="BO45" s="601"/>
      <c r="BP45" s="601"/>
      <c r="BQ45" s="601"/>
      <c r="BR45" s="601"/>
      <c r="BS45" s="601"/>
      <c r="BT45" s="601"/>
    </row>
    <row r="46" spans="1:72" x14ac:dyDescent="0.2">
      <c r="A46" s="603"/>
      <c r="B46" s="603"/>
      <c r="C46" s="603"/>
      <c r="D46" s="603"/>
      <c r="E46" s="603"/>
      <c r="F46" s="603"/>
      <c r="G46" s="603"/>
      <c r="H46" s="603"/>
      <c r="I46" s="603"/>
      <c r="J46" s="603"/>
      <c r="K46" s="601"/>
      <c r="L46" s="601"/>
      <c r="M46" s="601"/>
      <c r="N46" s="601"/>
      <c r="O46" s="601"/>
      <c r="P46" s="601"/>
      <c r="Q46" s="601"/>
      <c r="R46" s="601"/>
      <c r="S46" s="601"/>
      <c r="T46" s="601"/>
      <c r="U46" s="601"/>
      <c r="V46" s="601"/>
      <c r="W46" s="601"/>
      <c r="X46" s="601"/>
      <c r="Y46" s="601"/>
      <c r="Z46" s="601"/>
      <c r="AA46" s="601"/>
      <c r="AB46" s="601"/>
      <c r="AC46" s="601"/>
      <c r="AD46" s="601"/>
      <c r="AE46" s="601"/>
      <c r="AF46" s="601"/>
      <c r="AG46" s="601"/>
      <c r="AH46" s="601"/>
      <c r="AI46" s="601"/>
      <c r="AJ46" s="601"/>
      <c r="AK46" s="601"/>
      <c r="AL46" s="601"/>
      <c r="AM46" s="601"/>
      <c r="AN46" s="601"/>
      <c r="AO46" s="601"/>
      <c r="AP46" s="601"/>
      <c r="AQ46" s="601"/>
      <c r="AR46" s="601"/>
      <c r="AS46" s="601"/>
      <c r="AT46" s="601"/>
      <c r="AU46" s="601"/>
      <c r="AV46" s="601"/>
      <c r="AW46" s="601"/>
      <c r="AX46" s="601"/>
      <c r="AY46" s="601"/>
      <c r="AZ46" s="601"/>
      <c r="BA46" s="601"/>
      <c r="BB46" s="601"/>
      <c r="BC46" s="601"/>
      <c r="BD46" s="601"/>
      <c r="BE46" s="601"/>
      <c r="BF46" s="601"/>
      <c r="BG46" s="601"/>
      <c r="BH46" s="601"/>
      <c r="BI46" s="601"/>
      <c r="BJ46" s="601"/>
      <c r="BK46" s="601"/>
      <c r="BL46" s="601"/>
      <c r="BM46" s="601"/>
      <c r="BN46" s="601"/>
      <c r="BO46" s="601"/>
      <c r="BP46" s="601"/>
      <c r="BQ46" s="601"/>
      <c r="BR46" s="601"/>
      <c r="BS46" s="601"/>
      <c r="BT46" s="601"/>
    </row>
    <row r="47" spans="1:72" x14ac:dyDescent="0.2">
      <c r="A47" s="603"/>
      <c r="B47" s="603"/>
      <c r="C47" s="603"/>
      <c r="D47" s="603"/>
      <c r="E47" s="603"/>
      <c r="F47" s="603"/>
      <c r="G47" s="603"/>
      <c r="H47" s="603"/>
      <c r="I47" s="603"/>
      <c r="J47" s="603"/>
      <c r="K47" s="601"/>
      <c r="L47" s="601"/>
      <c r="M47" s="601"/>
      <c r="N47" s="601"/>
      <c r="O47" s="601"/>
      <c r="P47" s="601"/>
      <c r="Q47" s="601"/>
      <c r="R47" s="601"/>
      <c r="S47" s="601"/>
      <c r="T47" s="601"/>
      <c r="U47" s="601"/>
      <c r="V47" s="601"/>
      <c r="W47" s="601"/>
      <c r="X47" s="601"/>
      <c r="Y47" s="601"/>
      <c r="Z47" s="601"/>
      <c r="AA47" s="601"/>
      <c r="AB47" s="601"/>
      <c r="AC47" s="601"/>
      <c r="AD47" s="601"/>
      <c r="AE47" s="601"/>
      <c r="AF47" s="601"/>
      <c r="AG47" s="601"/>
      <c r="AH47" s="601"/>
      <c r="AI47" s="601"/>
      <c r="AJ47" s="601"/>
      <c r="AK47" s="601"/>
      <c r="AL47" s="601"/>
      <c r="AM47" s="601"/>
      <c r="AN47" s="601"/>
      <c r="AO47" s="601"/>
      <c r="AP47" s="601"/>
      <c r="AQ47" s="601"/>
      <c r="AR47" s="601"/>
      <c r="AS47" s="601"/>
      <c r="AT47" s="601"/>
      <c r="AU47" s="601"/>
      <c r="AV47" s="601"/>
      <c r="AW47" s="601"/>
      <c r="AX47" s="601"/>
      <c r="AY47" s="601"/>
      <c r="AZ47" s="601"/>
      <c r="BA47" s="601"/>
      <c r="BB47" s="601"/>
      <c r="BC47" s="601"/>
      <c r="BD47" s="601"/>
      <c r="BE47" s="601"/>
      <c r="BF47" s="601"/>
      <c r="BG47" s="601"/>
      <c r="BH47" s="601"/>
      <c r="BI47" s="601"/>
      <c r="BJ47" s="601"/>
      <c r="BK47" s="601"/>
      <c r="BL47" s="601"/>
      <c r="BM47" s="601"/>
      <c r="BN47" s="601"/>
      <c r="BO47" s="601"/>
      <c r="BP47" s="601"/>
      <c r="BQ47" s="601"/>
      <c r="BR47" s="601"/>
      <c r="BS47" s="601"/>
      <c r="BT47" s="601"/>
    </row>
    <row r="48" spans="1:72" x14ac:dyDescent="0.2">
      <c r="A48" s="603"/>
      <c r="B48" s="603"/>
      <c r="C48" s="603"/>
      <c r="D48" s="603"/>
      <c r="E48" s="603"/>
      <c r="F48" s="603"/>
      <c r="G48" s="603"/>
      <c r="H48" s="603"/>
      <c r="I48" s="603"/>
      <c r="J48" s="603"/>
      <c r="K48" s="601"/>
      <c r="L48" s="601"/>
      <c r="M48" s="601"/>
      <c r="N48" s="601"/>
      <c r="O48" s="601"/>
      <c r="P48" s="601"/>
      <c r="Q48" s="601"/>
      <c r="R48" s="601"/>
      <c r="S48" s="601"/>
      <c r="T48" s="601"/>
      <c r="U48" s="601"/>
      <c r="V48" s="601"/>
      <c r="W48" s="601"/>
      <c r="X48" s="601"/>
      <c r="Y48" s="601"/>
      <c r="Z48" s="601"/>
      <c r="AA48" s="601"/>
      <c r="AB48" s="601"/>
      <c r="AC48" s="601"/>
      <c r="AD48" s="601"/>
      <c r="AE48" s="601"/>
      <c r="AF48" s="601"/>
      <c r="AG48" s="601"/>
      <c r="AH48" s="601"/>
      <c r="AI48" s="601"/>
      <c r="AJ48" s="601"/>
      <c r="AK48" s="601"/>
      <c r="AL48" s="601"/>
      <c r="AM48" s="601"/>
      <c r="AN48" s="601"/>
      <c r="AO48" s="601"/>
      <c r="AP48" s="601"/>
      <c r="AQ48" s="601"/>
      <c r="AR48" s="601"/>
      <c r="AS48" s="601"/>
      <c r="AT48" s="601"/>
      <c r="AU48" s="601"/>
      <c r="AV48" s="601"/>
      <c r="AW48" s="601"/>
      <c r="AX48" s="601"/>
      <c r="AY48" s="601"/>
      <c r="AZ48" s="601"/>
      <c r="BA48" s="601"/>
      <c r="BB48" s="601"/>
      <c r="BC48" s="601"/>
      <c r="BD48" s="601"/>
      <c r="BE48" s="601"/>
      <c r="BF48" s="601"/>
      <c r="BG48" s="601"/>
      <c r="BH48" s="601"/>
      <c r="BI48" s="601"/>
      <c r="BJ48" s="601"/>
      <c r="BK48" s="601"/>
      <c r="BL48" s="601"/>
      <c r="BM48" s="601"/>
      <c r="BN48" s="601"/>
      <c r="BO48" s="601"/>
      <c r="BP48" s="601"/>
      <c r="BQ48" s="601"/>
      <c r="BR48" s="601"/>
      <c r="BS48" s="601"/>
      <c r="BT48" s="601"/>
    </row>
    <row r="49" spans="1:72" x14ac:dyDescent="0.2">
      <c r="A49" s="603"/>
      <c r="B49" s="603"/>
      <c r="C49" s="603"/>
      <c r="D49" s="603"/>
      <c r="E49" s="603"/>
      <c r="F49" s="603"/>
      <c r="G49" s="603"/>
      <c r="H49" s="603"/>
      <c r="I49" s="603"/>
      <c r="J49" s="603"/>
      <c r="K49" s="601"/>
      <c r="L49" s="601"/>
      <c r="M49" s="601"/>
      <c r="N49" s="601"/>
      <c r="O49" s="601"/>
      <c r="P49" s="601"/>
      <c r="Q49" s="601"/>
      <c r="R49" s="601"/>
      <c r="S49" s="601"/>
      <c r="T49" s="601"/>
      <c r="U49" s="601"/>
      <c r="V49" s="601"/>
      <c r="W49" s="601"/>
      <c r="X49" s="601"/>
      <c r="Y49" s="601"/>
      <c r="Z49" s="601"/>
      <c r="AA49" s="601"/>
      <c r="AB49" s="601"/>
      <c r="AC49" s="601"/>
      <c r="AD49" s="601"/>
      <c r="AE49" s="601"/>
      <c r="AF49" s="601"/>
      <c r="AG49" s="601"/>
      <c r="AH49" s="601"/>
      <c r="AI49" s="601"/>
      <c r="AJ49" s="601"/>
      <c r="AK49" s="601"/>
      <c r="AL49" s="601"/>
      <c r="AM49" s="601"/>
      <c r="AN49" s="601"/>
      <c r="AO49" s="601"/>
      <c r="AP49" s="601"/>
      <c r="AQ49" s="601"/>
      <c r="AR49" s="601"/>
      <c r="AS49" s="601"/>
      <c r="AT49" s="601"/>
      <c r="AU49" s="601"/>
      <c r="AV49" s="601"/>
      <c r="AW49" s="601"/>
      <c r="AX49" s="601"/>
      <c r="AY49" s="601"/>
      <c r="AZ49" s="601"/>
      <c r="BA49" s="601"/>
      <c r="BB49" s="601"/>
      <c r="BC49" s="601"/>
      <c r="BD49" s="601"/>
      <c r="BE49" s="601"/>
      <c r="BF49" s="601"/>
      <c r="BG49" s="601"/>
      <c r="BH49" s="601"/>
      <c r="BI49" s="601"/>
      <c r="BJ49" s="601"/>
      <c r="BK49" s="601"/>
      <c r="BL49" s="601"/>
      <c r="BM49" s="601"/>
      <c r="BN49" s="601"/>
      <c r="BO49" s="601"/>
      <c r="BP49" s="601"/>
      <c r="BQ49" s="601"/>
      <c r="BR49" s="601"/>
      <c r="BS49" s="601"/>
      <c r="BT49" s="601"/>
    </row>
    <row r="50" spans="1:72" x14ac:dyDescent="0.2">
      <c r="A50" s="603"/>
      <c r="B50" s="603"/>
      <c r="C50" s="603"/>
      <c r="D50" s="603"/>
      <c r="E50" s="603"/>
      <c r="F50" s="603"/>
      <c r="G50" s="603"/>
      <c r="H50" s="603"/>
      <c r="I50" s="603"/>
      <c r="J50" s="603"/>
      <c r="K50" s="601"/>
      <c r="L50" s="601"/>
      <c r="M50" s="601"/>
      <c r="N50" s="601"/>
      <c r="O50" s="601"/>
      <c r="P50" s="601"/>
      <c r="Q50" s="601"/>
      <c r="R50" s="601"/>
      <c r="S50" s="601"/>
      <c r="T50" s="601"/>
      <c r="U50" s="601"/>
      <c r="V50" s="601"/>
      <c r="W50" s="601"/>
      <c r="X50" s="601"/>
      <c r="Y50" s="601"/>
      <c r="Z50" s="601"/>
      <c r="AA50" s="601"/>
      <c r="AB50" s="601"/>
      <c r="AC50" s="601"/>
      <c r="AD50" s="601"/>
      <c r="AE50" s="601"/>
      <c r="AF50" s="601"/>
      <c r="AG50" s="601"/>
      <c r="AH50" s="601"/>
      <c r="AI50" s="601"/>
      <c r="AJ50" s="601"/>
      <c r="AK50" s="601"/>
      <c r="AL50" s="601"/>
      <c r="AM50" s="601"/>
      <c r="AN50" s="601"/>
      <c r="AO50" s="601"/>
      <c r="AP50" s="601"/>
      <c r="AQ50" s="601"/>
      <c r="AR50" s="601"/>
      <c r="AS50" s="601"/>
      <c r="AT50" s="601"/>
      <c r="AU50" s="601"/>
      <c r="AV50" s="601"/>
      <c r="AW50" s="601"/>
      <c r="AX50" s="601"/>
      <c r="AY50" s="601"/>
      <c r="AZ50" s="601"/>
      <c r="BA50" s="601"/>
      <c r="BB50" s="601"/>
      <c r="BC50" s="601"/>
      <c r="BD50" s="601"/>
      <c r="BE50" s="601"/>
      <c r="BF50" s="601"/>
      <c r="BG50" s="601"/>
      <c r="BH50" s="601"/>
      <c r="BI50" s="601"/>
      <c r="BJ50" s="601"/>
      <c r="BK50" s="601"/>
      <c r="BL50" s="601"/>
      <c r="BM50" s="601"/>
      <c r="BN50" s="601"/>
      <c r="BO50" s="601"/>
      <c r="BP50" s="601"/>
      <c r="BQ50" s="601"/>
      <c r="BR50" s="601"/>
      <c r="BS50" s="601"/>
      <c r="BT50" s="601"/>
    </row>
    <row r="51" spans="1:72" x14ac:dyDescent="0.2">
      <c r="A51" s="603"/>
      <c r="B51" s="603"/>
      <c r="C51" s="603"/>
      <c r="D51" s="603"/>
      <c r="E51" s="603"/>
      <c r="F51" s="603"/>
      <c r="G51" s="603"/>
      <c r="H51" s="603"/>
      <c r="I51" s="603"/>
      <c r="J51" s="603"/>
      <c r="K51" s="601"/>
      <c r="L51" s="601"/>
      <c r="M51" s="601"/>
      <c r="N51" s="601"/>
      <c r="O51" s="601"/>
      <c r="P51" s="601"/>
      <c r="Q51" s="601"/>
      <c r="R51" s="601"/>
      <c r="S51" s="601"/>
      <c r="T51" s="601"/>
      <c r="U51" s="601"/>
      <c r="V51" s="601"/>
      <c r="W51" s="601"/>
      <c r="X51" s="601"/>
      <c r="Y51" s="601"/>
      <c r="Z51" s="601"/>
      <c r="AA51" s="601"/>
      <c r="AB51" s="601"/>
      <c r="AC51" s="601"/>
      <c r="AD51" s="601"/>
      <c r="AE51" s="601"/>
      <c r="AF51" s="601"/>
      <c r="AG51" s="601"/>
      <c r="AH51" s="601"/>
      <c r="AI51" s="601"/>
      <c r="AJ51" s="601"/>
      <c r="AK51" s="601"/>
      <c r="AL51" s="601"/>
      <c r="AM51" s="601"/>
      <c r="AN51" s="601"/>
      <c r="AO51" s="601"/>
      <c r="AP51" s="601"/>
      <c r="AQ51" s="601"/>
      <c r="AR51" s="601"/>
      <c r="AS51" s="601"/>
      <c r="AT51" s="601"/>
      <c r="AU51" s="601"/>
      <c r="AV51" s="601"/>
      <c r="AW51" s="601"/>
      <c r="AX51" s="601"/>
      <c r="AY51" s="601"/>
      <c r="AZ51" s="601"/>
      <c r="BA51" s="601"/>
      <c r="BB51" s="601"/>
      <c r="BC51" s="601"/>
      <c r="BD51" s="601"/>
      <c r="BE51" s="601"/>
      <c r="BF51" s="601"/>
      <c r="BG51" s="601"/>
      <c r="BH51" s="601"/>
      <c r="BI51" s="601"/>
      <c r="BJ51" s="601"/>
      <c r="BK51" s="601"/>
      <c r="BL51" s="601"/>
      <c r="BM51" s="601"/>
      <c r="BN51" s="601"/>
      <c r="BO51" s="601"/>
      <c r="BP51" s="601"/>
      <c r="BQ51" s="601"/>
      <c r="BR51" s="601"/>
      <c r="BS51" s="601"/>
      <c r="BT51" s="601"/>
    </row>
    <row r="52" spans="1:72" x14ac:dyDescent="0.2">
      <c r="A52" s="603"/>
      <c r="B52" s="603"/>
      <c r="C52" s="603"/>
      <c r="D52" s="603"/>
      <c r="E52" s="603"/>
      <c r="F52" s="603"/>
      <c r="G52" s="603"/>
      <c r="H52" s="603"/>
      <c r="I52" s="603"/>
      <c r="J52" s="603"/>
      <c r="K52" s="601"/>
      <c r="L52" s="601"/>
      <c r="M52" s="601"/>
      <c r="N52" s="601"/>
      <c r="O52" s="601"/>
      <c r="P52" s="601"/>
      <c r="Q52" s="601"/>
      <c r="R52" s="601"/>
      <c r="S52" s="601"/>
      <c r="T52" s="601"/>
      <c r="U52" s="601"/>
      <c r="V52" s="601"/>
      <c r="W52" s="601"/>
      <c r="X52" s="601"/>
      <c r="Y52" s="601"/>
      <c r="Z52" s="601"/>
      <c r="AA52" s="601"/>
      <c r="AB52" s="601"/>
      <c r="AC52" s="601"/>
      <c r="AD52" s="601"/>
      <c r="AE52" s="601"/>
      <c r="AF52" s="601"/>
      <c r="AG52" s="601"/>
      <c r="AH52" s="601"/>
      <c r="AI52" s="601"/>
      <c r="AJ52" s="601"/>
      <c r="AK52" s="601"/>
      <c r="AL52" s="601"/>
      <c r="AM52" s="601"/>
      <c r="AN52" s="601"/>
      <c r="AO52" s="601"/>
      <c r="AP52" s="601"/>
      <c r="AQ52" s="601"/>
      <c r="AR52" s="601"/>
      <c r="AS52" s="601"/>
      <c r="AT52" s="601"/>
      <c r="AU52" s="601"/>
      <c r="AV52" s="601"/>
      <c r="AW52" s="601"/>
      <c r="AX52" s="601"/>
      <c r="AY52" s="601"/>
      <c r="AZ52" s="601"/>
      <c r="BA52" s="601"/>
      <c r="BB52" s="601"/>
      <c r="BC52" s="601"/>
      <c r="BD52" s="601"/>
      <c r="BE52" s="601"/>
      <c r="BF52" s="601"/>
      <c r="BG52" s="601"/>
      <c r="BH52" s="601"/>
      <c r="BI52" s="601"/>
      <c r="BJ52" s="601"/>
      <c r="BK52" s="601"/>
      <c r="BL52" s="601"/>
      <c r="BM52" s="601"/>
      <c r="BN52" s="601"/>
      <c r="BO52" s="601"/>
      <c r="BP52" s="601"/>
      <c r="BQ52" s="601"/>
      <c r="BR52" s="601"/>
      <c r="BS52" s="601"/>
      <c r="BT52" s="601"/>
    </row>
    <row r="53" spans="1:72" x14ac:dyDescent="0.2">
      <c r="A53" s="603"/>
      <c r="B53" s="603"/>
      <c r="C53" s="603"/>
      <c r="D53" s="603"/>
      <c r="E53" s="603"/>
      <c r="F53" s="603"/>
      <c r="G53" s="603"/>
      <c r="H53" s="603"/>
      <c r="I53" s="603"/>
      <c r="J53" s="603"/>
      <c r="K53" s="601"/>
      <c r="L53" s="601"/>
      <c r="M53" s="601"/>
      <c r="N53" s="601"/>
      <c r="O53" s="601"/>
      <c r="P53" s="601"/>
      <c r="Q53" s="601"/>
      <c r="R53" s="601"/>
      <c r="S53" s="601"/>
      <c r="T53" s="601"/>
      <c r="U53" s="601"/>
      <c r="V53" s="601"/>
      <c r="W53" s="601"/>
      <c r="X53" s="601"/>
      <c r="Y53" s="601"/>
      <c r="Z53" s="601"/>
      <c r="AA53" s="601"/>
      <c r="AB53" s="601"/>
      <c r="AC53" s="601"/>
      <c r="AD53" s="601"/>
      <c r="AE53" s="601"/>
      <c r="AF53" s="601"/>
      <c r="AG53" s="601"/>
      <c r="AH53" s="601"/>
      <c r="AI53" s="601"/>
      <c r="AJ53" s="601"/>
      <c r="AK53" s="601"/>
      <c r="AL53" s="601"/>
      <c r="AM53" s="601"/>
      <c r="AN53" s="601"/>
      <c r="AO53" s="601"/>
      <c r="AP53" s="601"/>
      <c r="AQ53" s="601"/>
      <c r="AR53" s="601"/>
      <c r="AS53" s="601"/>
      <c r="AT53" s="601"/>
      <c r="AU53" s="601"/>
      <c r="AV53" s="601"/>
      <c r="AW53" s="601"/>
      <c r="AX53" s="601"/>
      <c r="AY53" s="601"/>
      <c r="AZ53" s="601"/>
      <c r="BA53" s="601"/>
      <c r="BB53" s="601"/>
      <c r="BC53" s="601"/>
      <c r="BD53" s="601"/>
      <c r="BE53" s="601"/>
      <c r="BF53" s="601"/>
      <c r="BG53" s="601"/>
      <c r="BH53" s="601"/>
      <c r="BI53" s="601"/>
      <c r="BJ53" s="601"/>
      <c r="BK53" s="601"/>
      <c r="BL53" s="601"/>
      <c r="BM53" s="601"/>
      <c r="BN53" s="601"/>
      <c r="BO53" s="601"/>
      <c r="BP53" s="601"/>
      <c r="BQ53" s="601"/>
      <c r="BR53" s="601"/>
      <c r="BS53" s="601"/>
      <c r="BT53" s="601"/>
    </row>
    <row r="54" spans="1:72" x14ac:dyDescent="0.2">
      <c r="A54" s="603"/>
      <c r="B54" s="603"/>
      <c r="C54" s="603"/>
      <c r="D54" s="603"/>
      <c r="E54" s="603"/>
      <c r="F54" s="603"/>
      <c r="G54" s="603"/>
      <c r="H54" s="603"/>
      <c r="I54" s="603"/>
      <c r="J54" s="603"/>
      <c r="K54" s="601"/>
      <c r="L54" s="601"/>
      <c r="M54" s="601"/>
      <c r="N54" s="601"/>
      <c r="O54" s="601"/>
      <c r="P54" s="601"/>
      <c r="Q54" s="601"/>
      <c r="R54" s="601"/>
      <c r="S54" s="601"/>
      <c r="T54" s="601"/>
      <c r="U54" s="601"/>
      <c r="V54" s="601"/>
      <c r="W54" s="601"/>
      <c r="X54" s="601"/>
      <c r="Y54" s="601"/>
      <c r="Z54" s="601"/>
      <c r="AA54" s="601"/>
      <c r="AB54" s="601"/>
      <c r="AC54" s="601"/>
      <c r="AD54" s="601"/>
      <c r="AE54" s="601"/>
      <c r="AF54" s="601"/>
      <c r="AG54" s="601"/>
      <c r="AH54" s="601"/>
      <c r="AI54" s="601"/>
      <c r="AJ54" s="601"/>
      <c r="AK54" s="601"/>
      <c r="AL54" s="601"/>
      <c r="AM54" s="601"/>
      <c r="AN54" s="601"/>
      <c r="AO54" s="601"/>
      <c r="AP54" s="601"/>
      <c r="AQ54" s="601"/>
      <c r="AR54" s="601"/>
      <c r="AS54" s="601"/>
      <c r="AT54" s="601"/>
      <c r="AU54" s="601"/>
      <c r="AV54" s="601"/>
      <c r="AW54" s="601"/>
      <c r="AX54" s="601"/>
      <c r="AY54" s="601"/>
      <c r="AZ54" s="601"/>
      <c r="BA54" s="601"/>
      <c r="BB54" s="601"/>
      <c r="BC54" s="601"/>
      <c r="BD54" s="601"/>
      <c r="BE54" s="601"/>
      <c r="BF54" s="601"/>
      <c r="BG54" s="601"/>
      <c r="BH54" s="601"/>
      <c r="BI54" s="601"/>
      <c r="BJ54" s="601"/>
      <c r="BK54" s="601"/>
      <c r="BL54" s="601"/>
      <c r="BM54" s="601"/>
      <c r="BN54" s="601"/>
      <c r="BO54" s="601"/>
      <c r="BP54" s="601"/>
      <c r="BQ54" s="601"/>
      <c r="BR54" s="601"/>
      <c r="BS54" s="601"/>
      <c r="BT54" s="601"/>
    </row>
    <row r="55" spans="1:72" x14ac:dyDescent="0.2">
      <c r="A55" s="603"/>
      <c r="B55" s="603"/>
      <c r="C55" s="603"/>
      <c r="D55" s="603"/>
      <c r="E55" s="603"/>
      <c r="F55" s="603"/>
      <c r="G55" s="603"/>
      <c r="H55" s="603"/>
      <c r="I55" s="603"/>
      <c r="J55" s="603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  <c r="Z55" s="601"/>
      <c r="AA55" s="601"/>
      <c r="AB55" s="601"/>
      <c r="AC55" s="601"/>
      <c r="AD55" s="601"/>
      <c r="AE55" s="601"/>
      <c r="AF55" s="601"/>
      <c r="AG55" s="601"/>
      <c r="AH55" s="601"/>
      <c r="AI55" s="601"/>
      <c r="AJ55" s="601"/>
      <c r="AK55" s="601"/>
      <c r="AL55" s="601"/>
      <c r="AM55" s="601"/>
      <c r="AN55" s="601"/>
      <c r="AO55" s="601"/>
      <c r="AP55" s="601"/>
      <c r="AQ55" s="601"/>
      <c r="AR55" s="601"/>
      <c r="AS55" s="601"/>
      <c r="AT55" s="601"/>
      <c r="AU55" s="601"/>
      <c r="AV55" s="601"/>
      <c r="AW55" s="601"/>
      <c r="AX55" s="601"/>
      <c r="AY55" s="601"/>
      <c r="AZ55" s="601"/>
      <c r="BA55" s="601"/>
      <c r="BB55" s="601"/>
      <c r="BC55" s="601"/>
      <c r="BD55" s="601"/>
      <c r="BE55" s="601"/>
      <c r="BF55" s="601"/>
      <c r="BG55" s="601"/>
      <c r="BH55" s="601"/>
      <c r="BI55" s="601"/>
      <c r="BJ55" s="601"/>
      <c r="BK55" s="601"/>
      <c r="BL55" s="601"/>
      <c r="BM55" s="601"/>
      <c r="BN55" s="601"/>
      <c r="BO55" s="601"/>
      <c r="BP55" s="601"/>
      <c r="BQ55" s="601"/>
      <c r="BR55" s="601"/>
      <c r="BS55" s="601"/>
      <c r="BT55" s="601"/>
    </row>
    <row r="56" spans="1:72" x14ac:dyDescent="0.2">
      <c r="A56" s="603"/>
      <c r="B56" s="603"/>
      <c r="C56" s="603"/>
      <c r="D56" s="603"/>
      <c r="E56" s="603"/>
      <c r="F56" s="603"/>
      <c r="G56" s="603"/>
      <c r="H56" s="603"/>
      <c r="I56" s="603"/>
      <c r="J56" s="603"/>
      <c r="K56" s="601"/>
      <c r="L56" s="601"/>
      <c r="M56" s="601"/>
      <c r="N56" s="601"/>
      <c r="O56" s="601"/>
      <c r="P56" s="601"/>
      <c r="Q56" s="601"/>
      <c r="R56" s="601"/>
      <c r="S56" s="601"/>
      <c r="T56" s="601"/>
      <c r="U56" s="601"/>
      <c r="V56" s="601"/>
      <c r="W56" s="601"/>
      <c r="X56" s="601"/>
      <c r="Y56" s="601"/>
      <c r="Z56" s="601"/>
      <c r="AA56" s="601"/>
      <c r="AB56" s="601"/>
      <c r="AC56" s="601"/>
      <c r="AD56" s="601"/>
      <c r="AE56" s="601"/>
      <c r="AF56" s="601"/>
      <c r="AG56" s="601"/>
      <c r="AH56" s="601"/>
      <c r="AI56" s="601"/>
      <c r="AJ56" s="601"/>
      <c r="AK56" s="601"/>
      <c r="AL56" s="601"/>
      <c r="AM56" s="601"/>
      <c r="AN56" s="601"/>
      <c r="AO56" s="601"/>
      <c r="AP56" s="601"/>
      <c r="AQ56" s="601"/>
      <c r="AR56" s="601"/>
      <c r="AS56" s="601"/>
      <c r="AT56" s="601"/>
      <c r="AU56" s="601"/>
      <c r="AV56" s="601"/>
      <c r="AW56" s="601"/>
      <c r="AX56" s="601"/>
      <c r="AY56" s="601"/>
      <c r="AZ56" s="601"/>
      <c r="BA56" s="601"/>
      <c r="BB56" s="601"/>
      <c r="BC56" s="601"/>
      <c r="BD56" s="601"/>
      <c r="BE56" s="601"/>
      <c r="BF56" s="601"/>
      <c r="BG56" s="601"/>
      <c r="BH56" s="601"/>
      <c r="BI56" s="601"/>
      <c r="BJ56" s="601"/>
      <c r="BK56" s="601"/>
      <c r="BL56" s="601"/>
      <c r="BM56" s="601"/>
      <c r="BN56" s="601"/>
      <c r="BO56" s="601"/>
      <c r="BP56" s="601"/>
      <c r="BQ56" s="601"/>
      <c r="BR56" s="601"/>
      <c r="BS56" s="601"/>
      <c r="BT56" s="601"/>
    </row>
    <row r="57" spans="1:72" x14ac:dyDescent="0.2">
      <c r="A57" s="603"/>
      <c r="B57" s="603"/>
      <c r="C57" s="603"/>
      <c r="D57" s="603"/>
      <c r="E57" s="603"/>
      <c r="F57" s="603"/>
      <c r="G57" s="603"/>
      <c r="H57" s="603"/>
      <c r="I57" s="603"/>
      <c r="J57" s="603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601"/>
      <c r="X57" s="601"/>
      <c r="Y57" s="601"/>
      <c r="Z57" s="601"/>
      <c r="AA57" s="601"/>
      <c r="AB57" s="601"/>
      <c r="AC57" s="601"/>
      <c r="AD57" s="601"/>
      <c r="AE57" s="601"/>
      <c r="AF57" s="601"/>
      <c r="AG57" s="601"/>
      <c r="AH57" s="601"/>
      <c r="AI57" s="601"/>
      <c r="AJ57" s="601"/>
      <c r="AK57" s="601"/>
      <c r="AL57" s="601"/>
      <c r="AM57" s="601"/>
      <c r="AN57" s="601"/>
      <c r="AO57" s="601"/>
      <c r="AP57" s="601"/>
      <c r="AQ57" s="601"/>
      <c r="AR57" s="601"/>
      <c r="AS57" s="601"/>
      <c r="AT57" s="601"/>
      <c r="AU57" s="601"/>
      <c r="AV57" s="601"/>
      <c r="AW57" s="601"/>
      <c r="AX57" s="601"/>
      <c r="AY57" s="601"/>
      <c r="AZ57" s="601"/>
      <c r="BA57" s="601"/>
      <c r="BB57" s="601"/>
      <c r="BC57" s="601"/>
      <c r="BD57" s="601"/>
      <c r="BE57" s="601"/>
      <c r="BF57" s="601"/>
      <c r="BG57" s="601"/>
      <c r="BH57" s="601"/>
      <c r="BI57" s="601"/>
      <c r="BJ57" s="601"/>
      <c r="BK57" s="601"/>
      <c r="BL57" s="601"/>
      <c r="BM57" s="601"/>
      <c r="BN57" s="601"/>
      <c r="BO57" s="601"/>
      <c r="BP57" s="601"/>
      <c r="BQ57" s="601"/>
      <c r="BR57" s="601"/>
      <c r="BS57" s="601"/>
      <c r="BT57" s="601"/>
    </row>
    <row r="58" spans="1:72" x14ac:dyDescent="0.2">
      <c r="A58" s="603"/>
      <c r="B58" s="603"/>
      <c r="C58" s="603"/>
      <c r="D58" s="603"/>
      <c r="E58" s="603"/>
      <c r="F58" s="603"/>
      <c r="G58" s="603"/>
      <c r="H58" s="603"/>
      <c r="I58" s="603"/>
      <c r="J58" s="603"/>
      <c r="K58" s="601"/>
      <c r="L58" s="601"/>
      <c r="M58" s="601"/>
      <c r="N58" s="601"/>
      <c r="O58" s="601"/>
      <c r="P58" s="601"/>
      <c r="Q58" s="601"/>
      <c r="R58" s="601"/>
      <c r="S58" s="601"/>
      <c r="T58" s="601"/>
      <c r="U58" s="601"/>
      <c r="V58" s="601"/>
      <c r="W58" s="601"/>
      <c r="X58" s="601"/>
      <c r="Y58" s="601"/>
      <c r="Z58" s="601"/>
      <c r="AA58" s="601"/>
      <c r="AB58" s="601"/>
      <c r="AC58" s="601"/>
      <c r="AD58" s="601"/>
      <c r="AE58" s="601"/>
      <c r="AF58" s="601"/>
      <c r="AG58" s="601"/>
      <c r="AH58" s="601"/>
      <c r="AI58" s="601"/>
      <c r="AJ58" s="601"/>
      <c r="AK58" s="601"/>
      <c r="AL58" s="601"/>
      <c r="AM58" s="601"/>
      <c r="AN58" s="601"/>
      <c r="AO58" s="601"/>
      <c r="AP58" s="601"/>
      <c r="AQ58" s="601"/>
      <c r="AR58" s="601"/>
      <c r="AS58" s="601"/>
      <c r="AT58" s="601"/>
      <c r="AU58" s="601"/>
      <c r="AV58" s="601"/>
      <c r="AW58" s="601"/>
      <c r="AX58" s="601"/>
      <c r="AY58" s="601"/>
      <c r="AZ58" s="601"/>
      <c r="BA58" s="601"/>
      <c r="BB58" s="601"/>
      <c r="BC58" s="601"/>
      <c r="BD58" s="601"/>
      <c r="BE58" s="601"/>
      <c r="BF58" s="601"/>
      <c r="BG58" s="601"/>
      <c r="BH58" s="601"/>
      <c r="BI58" s="601"/>
      <c r="BJ58" s="601"/>
      <c r="BK58" s="601"/>
      <c r="BL58" s="601"/>
      <c r="BM58" s="601"/>
      <c r="BN58" s="601"/>
      <c r="BO58" s="601"/>
      <c r="BP58" s="601"/>
      <c r="BQ58" s="601"/>
      <c r="BR58" s="601"/>
      <c r="BS58" s="601"/>
      <c r="BT58" s="601"/>
    </row>
    <row r="59" spans="1:72" x14ac:dyDescent="0.2">
      <c r="A59" s="603"/>
      <c r="B59" s="603"/>
      <c r="C59" s="603"/>
      <c r="D59" s="603"/>
      <c r="E59" s="603"/>
      <c r="F59" s="603"/>
      <c r="G59" s="603"/>
      <c r="H59" s="603"/>
      <c r="I59" s="603"/>
      <c r="J59" s="603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1"/>
      <c r="AQ59" s="601"/>
      <c r="AR59" s="601"/>
      <c r="AS59" s="601"/>
      <c r="AT59" s="601"/>
      <c r="AU59" s="601"/>
      <c r="AV59" s="601"/>
      <c r="AW59" s="601"/>
      <c r="AX59" s="601"/>
      <c r="AY59" s="601"/>
      <c r="AZ59" s="601"/>
      <c r="BA59" s="601"/>
      <c r="BB59" s="601"/>
      <c r="BC59" s="601"/>
      <c r="BD59" s="601"/>
      <c r="BE59" s="601"/>
      <c r="BF59" s="601"/>
      <c r="BG59" s="601"/>
      <c r="BH59" s="601"/>
      <c r="BI59" s="601"/>
      <c r="BJ59" s="601"/>
      <c r="BK59" s="601"/>
      <c r="BL59" s="601"/>
      <c r="BM59" s="601"/>
      <c r="BN59" s="601"/>
      <c r="BO59" s="601"/>
      <c r="BP59" s="601"/>
      <c r="BQ59" s="601"/>
      <c r="BR59" s="601"/>
      <c r="BS59" s="601"/>
      <c r="BT59" s="601"/>
    </row>
    <row r="60" spans="1:72" x14ac:dyDescent="0.2">
      <c r="A60" s="603"/>
      <c r="B60" s="603"/>
      <c r="C60" s="603"/>
      <c r="D60" s="603"/>
      <c r="E60" s="603"/>
      <c r="F60" s="603"/>
      <c r="G60" s="603"/>
      <c r="H60" s="603"/>
      <c r="I60" s="603"/>
      <c r="J60" s="603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601"/>
      <c r="AQ60" s="601"/>
      <c r="AR60" s="601"/>
      <c r="AS60" s="601"/>
      <c r="AT60" s="601"/>
      <c r="AU60" s="601"/>
      <c r="AV60" s="601"/>
      <c r="AW60" s="601"/>
      <c r="AX60" s="601"/>
      <c r="AY60" s="601"/>
      <c r="AZ60" s="601"/>
      <c r="BA60" s="601"/>
      <c r="BB60" s="601"/>
      <c r="BC60" s="601"/>
      <c r="BD60" s="601"/>
      <c r="BE60" s="601"/>
      <c r="BF60" s="601"/>
      <c r="BG60" s="601"/>
      <c r="BH60" s="601"/>
      <c r="BI60" s="601"/>
      <c r="BJ60" s="601"/>
      <c r="BK60" s="601"/>
      <c r="BL60" s="601"/>
      <c r="BM60" s="601"/>
      <c r="BN60" s="601"/>
      <c r="BO60" s="601"/>
      <c r="BP60" s="601"/>
      <c r="BQ60" s="601"/>
      <c r="BR60" s="601"/>
      <c r="BS60" s="601"/>
      <c r="BT60" s="601"/>
    </row>
    <row r="61" spans="1:72" x14ac:dyDescent="0.2">
      <c r="A61" s="603"/>
      <c r="B61" s="603"/>
      <c r="C61" s="603"/>
      <c r="D61" s="603"/>
      <c r="E61" s="603"/>
      <c r="F61" s="603"/>
      <c r="G61" s="603"/>
      <c r="H61" s="603"/>
      <c r="I61" s="603"/>
      <c r="J61" s="603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1"/>
      <c r="AO61" s="601"/>
      <c r="AP61" s="601"/>
      <c r="AQ61" s="601"/>
      <c r="AR61" s="601"/>
      <c r="AS61" s="601"/>
      <c r="AT61" s="601"/>
      <c r="AU61" s="601"/>
      <c r="AV61" s="601"/>
      <c r="AW61" s="601"/>
      <c r="AX61" s="601"/>
      <c r="AY61" s="601"/>
      <c r="AZ61" s="601"/>
      <c r="BA61" s="601"/>
      <c r="BB61" s="601"/>
      <c r="BC61" s="601"/>
      <c r="BD61" s="601"/>
      <c r="BE61" s="601"/>
      <c r="BF61" s="601"/>
      <c r="BG61" s="601"/>
      <c r="BH61" s="601"/>
      <c r="BI61" s="601"/>
      <c r="BJ61" s="601"/>
      <c r="BK61" s="601"/>
      <c r="BL61" s="601"/>
      <c r="BM61" s="601"/>
      <c r="BN61" s="601"/>
      <c r="BO61" s="601"/>
      <c r="BP61" s="601"/>
      <c r="BQ61" s="601"/>
      <c r="BR61" s="601"/>
      <c r="BS61" s="601"/>
      <c r="BT61" s="601"/>
    </row>
    <row r="62" spans="1:72" x14ac:dyDescent="0.2">
      <c r="A62" s="603"/>
      <c r="B62" s="603"/>
      <c r="C62" s="603"/>
      <c r="D62" s="603"/>
      <c r="E62" s="603"/>
      <c r="F62" s="603"/>
      <c r="G62" s="603"/>
      <c r="H62" s="603"/>
      <c r="I62" s="603"/>
      <c r="J62" s="603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1"/>
      <c r="X62" s="601"/>
      <c r="Y62" s="601"/>
      <c r="Z62" s="601"/>
      <c r="AA62" s="601"/>
      <c r="AB62" s="601"/>
      <c r="AC62" s="601"/>
      <c r="AD62" s="601"/>
      <c r="AE62" s="601"/>
      <c r="AF62" s="601"/>
      <c r="AG62" s="601"/>
      <c r="AH62" s="601"/>
      <c r="AI62" s="601"/>
      <c r="AJ62" s="601"/>
      <c r="AK62" s="601"/>
      <c r="AL62" s="601"/>
      <c r="AM62" s="601"/>
      <c r="AN62" s="601"/>
      <c r="AO62" s="601"/>
      <c r="AP62" s="601"/>
      <c r="AQ62" s="601"/>
      <c r="AR62" s="601"/>
      <c r="AS62" s="601"/>
      <c r="AT62" s="601"/>
      <c r="AU62" s="601"/>
      <c r="AV62" s="601"/>
      <c r="AW62" s="601"/>
      <c r="AX62" s="601"/>
      <c r="AY62" s="601"/>
      <c r="AZ62" s="601"/>
      <c r="BA62" s="601"/>
      <c r="BB62" s="601"/>
      <c r="BC62" s="601"/>
      <c r="BD62" s="601"/>
      <c r="BE62" s="601"/>
      <c r="BF62" s="601"/>
      <c r="BG62" s="601"/>
      <c r="BH62" s="601"/>
      <c r="BI62" s="601"/>
      <c r="BJ62" s="601"/>
      <c r="BK62" s="601"/>
      <c r="BL62" s="601"/>
      <c r="BM62" s="601"/>
      <c r="BN62" s="601"/>
      <c r="BO62" s="601"/>
      <c r="BP62" s="601"/>
      <c r="BQ62" s="601"/>
      <c r="BR62" s="601"/>
      <c r="BS62" s="601"/>
      <c r="BT62" s="601"/>
    </row>
    <row r="63" spans="1:72" x14ac:dyDescent="0.2">
      <c r="A63" s="603"/>
      <c r="B63" s="603"/>
      <c r="C63" s="603"/>
      <c r="D63" s="603"/>
      <c r="E63" s="603"/>
      <c r="F63" s="603"/>
      <c r="G63" s="603"/>
      <c r="H63" s="603"/>
      <c r="I63" s="603"/>
      <c r="J63" s="603"/>
      <c r="K63" s="601"/>
      <c r="L63" s="601"/>
      <c r="M63" s="601"/>
      <c r="N63" s="601"/>
      <c r="O63" s="601"/>
      <c r="P63" s="601"/>
      <c r="Q63" s="601"/>
      <c r="R63" s="601"/>
      <c r="S63" s="601"/>
      <c r="T63" s="601"/>
      <c r="U63" s="601"/>
      <c r="V63" s="601"/>
      <c r="W63" s="601"/>
      <c r="X63" s="601"/>
      <c r="Y63" s="601"/>
      <c r="Z63" s="601"/>
      <c r="AA63" s="601"/>
      <c r="AB63" s="601"/>
      <c r="AC63" s="601"/>
      <c r="AD63" s="601"/>
      <c r="AE63" s="601"/>
      <c r="AF63" s="601"/>
      <c r="AG63" s="601"/>
      <c r="AH63" s="601"/>
      <c r="AI63" s="601"/>
      <c r="AJ63" s="601"/>
      <c r="AK63" s="601"/>
      <c r="AL63" s="601"/>
      <c r="AM63" s="601"/>
      <c r="AN63" s="601"/>
      <c r="AO63" s="601"/>
      <c r="AP63" s="601"/>
      <c r="AQ63" s="601"/>
      <c r="AR63" s="601"/>
      <c r="AS63" s="601"/>
      <c r="AT63" s="601"/>
      <c r="AU63" s="601"/>
      <c r="AV63" s="601"/>
      <c r="AW63" s="601"/>
      <c r="AX63" s="601"/>
      <c r="AY63" s="601"/>
      <c r="AZ63" s="601"/>
      <c r="BA63" s="601"/>
      <c r="BB63" s="601"/>
      <c r="BC63" s="601"/>
      <c r="BD63" s="601"/>
      <c r="BE63" s="601"/>
      <c r="BF63" s="601"/>
      <c r="BG63" s="601"/>
      <c r="BH63" s="601"/>
      <c r="BI63" s="601"/>
      <c r="BJ63" s="601"/>
      <c r="BK63" s="601"/>
      <c r="BL63" s="601"/>
      <c r="BM63" s="601"/>
      <c r="BN63" s="601"/>
      <c r="BO63" s="601"/>
      <c r="BP63" s="601"/>
      <c r="BQ63" s="601"/>
      <c r="BR63" s="601"/>
      <c r="BS63" s="601"/>
      <c r="BT63" s="601"/>
    </row>
    <row r="64" spans="1:72" x14ac:dyDescent="0.2">
      <c r="A64" s="603"/>
      <c r="B64" s="603"/>
      <c r="C64" s="603"/>
      <c r="D64" s="603"/>
      <c r="E64" s="603"/>
      <c r="F64" s="603"/>
      <c r="G64" s="603"/>
      <c r="H64" s="603"/>
      <c r="I64" s="603"/>
      <c r="J64" s="603"/>
      <c r="K64" s="601"/>
      <c r="L64" s="601"/>
      <c r="M64" s="601"/>
      <c r="N64" s="601"/>
      <c r="O64" s="601"/>
      <c r="P64" s="601"/>
      <c r="Q64" s="601"/>
      <c r="R64" s="601"/>
      <c r="S64" s="601"/>
      <c r="T64" s="601"/>
      <c r="U64" s="601"/>
      <c r="V64" s="601"/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1"/>
      <c r="AH64" s="601"/>
      <c r="AI64" s="601"/>
      <c r="AJ64" s="601"/>
      <c r="AK64" s="601"/>
      <c r="AL64" s="601"/>
      <c r="AM64" s="601"/>
      <c r="AN64" s="601"/>
      <c r="AO64" s="601"/>
      <c r="AP64" s="601"/>
      <c r="AQ64" s="601"/>
      <c r="AR64" s="601"/>
      <c r="AS64" s="601"/>
      <c r="AT64" s="601"/>
      <c r="AU64" s="601"/>
      <c r="AV64" s="601"/>
      <c r="AW64" s="601"/>
      <c r="AX64" s="601"/>
      <c r="AY64" s="601"/>
      <c r="AZ64" s="601"/>
      <c r="BA64" s="601"/>
      <c r="BB64" s="601"/>
      <c r="BC64" s="601"/>
      <c r="BD64" s="601"/>
      <c r="BE64" s="601"/>
      <c r="BF64" s="601"/>
      <c r="BG64" s="601"/>
      <c r="BH64" s="601"/>
      <c r="BI64" s="601"/>
      <c r="BJ64" s="601"/>
      <c r="BK64" s="601"/>
      <c r="BL64" s="601"/>
      <c r="BM64" s="601"/>
      <c r="BN64" s="601"/>
      <c r="BO64" s="601"/>
      <c r="BP64" s="601"/>
      <c r="BQ64" s="601"/>
      <c r="BR64" s="601"/>
      <c r="BS64" s="601"/>
      <c r="BT64" s="601"/>
    </row>
    <row r="65" spans="1:10" x14ac:dyDescent="0.2">
      <c r="A65" s="603"/>
      <c r="B65" s="603"/>
      <c r="C65" s="603"/>
      <c r="D65" s="603"/>
      <c r="E65" s="603"/>
      <c r="F65" s="603"/>
      <c r="G65" s="603"/>
      <c r="H65" s="603"/>
      <c r="I65" s="603"/>
      <c r="J65" s="603"/>
    </row>
    <row r="66" spans="1:10" x14ac:dyDescent="0.2">
      <c r="A66" s="603"/>
      <c r="B66" s="603"/>
      <c r="C66" s="603"/>
      <c r="D66" s="603"/>
      <c r="E66" s="603"/>
      <c r="F66" s="603"/>
      <c r="G66" s="603"/>
      <c r="H66" s="603"/>
      <c r="I66" s="603"/>
      <c r="J66" s="603"/>
    </row>
    <row r="67" spans="1:10" x14ac:dyDescent="0.2">
      <c r="A67" s="603"/>
      <c r="B67" s="603"/>
      <c r="C67" s="603"/>
      <c r="D67" s="603"/>
      <c r="E67" s="603"/>
      <c r="F67" s="603"/>
      <c r="G67" s="603"/>
      <c r="H67" s="603"/>
      <c r="I67" s="603"/>
      <c r="J67" s="603"/>
    </row>
    <row r="68" spans="1:10" x14ac:dyDescent="0.2">
      <c r="A68" s="603"/>
      <c r="B68" s="603"/>
      <c r="C68" s="603"/>
      <c r="D68" s="603"/>
      <c r="E68" s="603"/>
      <c r="F68" s="603"/>
      <c r="G68" s="603"/>
      <c r="H68" s="603"/>
      <c r="I68" s="603"/>
      <c r="J68" s="603"/>
    </row>
    <row r="69" spans="1:10" x14ac:dyDescent="0.2">
      <c r="A69" s="603"/>
      <c r="B69" s="603"/>
      <c r="C69" s="603"/>
      <c r="D69" s="603"/>
      <c r="E69" s="603"/>
      <c r="F69" s="603"/>
      <c r="G69" s="603"/>
      <c r="H69" s="603"/>
      <c r="I69" s="603"/>
      <c r="J69" s="603"/>
    </row>
    <row r="70" spans="1:10" x14ac:dyDescent="0.2">
      <c r="A70" s="603"/>
      <c r="B70" s="603"/>
      <c r="C70" s="603"/>
      <c r="D70" s="603"/>
      <c r="E70" s="603"/>
      <c r="F70" s="603"/>
      <c r="G70" s="603"/>
      <c r="H70" s="603"/>
      <c r="I70" s="603"/>
      <c r="J70" s="603"/>
    </row>
  </sheetData>
  <printOptions horizontalCentered="1"/>
  <pageMargins left="0.2" right="0.2" top="0.75" bottom="0.75" header="0.3" footer="0.3"/>
  <pageSetup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3:C9"/>
  <sheetViews>
    <sheetView workbookViewId="0">
      <selection activeCell="C9" sqref="C9"/>
    </sheetView>
  </sheetViews>
  <sheetFormatPr defaultRowHeight="15" x14ac:dyDescent="0.25"/>
  <cols>
    <col min="2" max="2" width="15.85546875" bestFit="1" customWidth="1"/>
    <col min="3" max="3" width="23.5703125" bestFit="1" customWidth="1"/>
  </cols>
  <sheetData>
    <row r="3" spans="2:3" x14ac:dyDescent="0.25">
      <c r="B3" t="s">
        <v>85</v>
      </c>
      <c r="C3" s="4">
        <v>0.21</v>
      </c>
    </row>
    <row r="4" spans="2:3" x14ac:dyDescent="0.25">
      <c r="B4" t="s">
        <v>86</v>
      </c>
      <c r="C4" t="s">
        <v>208</v>
      </c>
    </row>
    <row r="5" spans="2:3" x14ac:dyDescent="0.25">
      <c r="B5" t="s">
        <v>87</v>
      </c>
      <c r="C5" t="s">
        <v>273</v>
      </c>
    </row>
    <row r="6" spans="2:3" x14ac:dyDescent="0.25">
      <c r="B6" t="s">
        <v>88</v>
      </c>
      <c r="C6" t="s">
        <v>840</v>
      </c>
    </row>
    <row r="7" spans="2:3" x14ac:dyDescent="0.25">
      <c r="B7" t="s">
        <v>90</v>
      </c>
      <c r="C7" t="s">
        <v>89</v>
      </c>
    </row>
    <row r="8" spans="2:3" x14ac:dyDescent="0.25">
      <c r="B8" t="s">
        <v>123</v>
      </c>
      <c r="C8" t="s">
        <v>966</v>
      </c>
    </row>
    <row r="9" spans="2:3" x14ac:dyDescent="0.25">
      <c r="B9" t="s">
        <v>124</v>
      </c>
      <c r="C9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619DF5"/>
  </sheetPr>
  <dimension ref="A1:AW83"/>
  <sheetViews>
    <sheetView zoomScaleNormal="100" zoomScaleSheetLayoutView="85" workbookViewId="0"/>
  </sheetViews>
  <sheetFormatPr defaultRowHeight="12.75" x14ac:dyDescent="0.2"/>
  <cols>
    <col min="1" max="1" width="1.42578125" style="764" customWidth="1"/>
    <col min="2" max="2" width="5.7109375" style="764" customWidth="1"/>
    <col min="3" max="3" width="1.42578125" style="764" customWidth="1"/>
    <col min="4" max="4" width="8" style="764" customWidth="1"/>
    <col min="5" max="5" width="1.42578125" style="764" customWidth="1"/>
    <col min="6" max="6" width="41.42578125" style="764" customWidth="1"/>
    <col min="7" max="8" width="1.42578125" style="765" customWidth="1"/>
    <col min="9" max="9" width="10.42578125" style="764" customWidth="1"/>
    <col min="10" max="10" width="1.42578125" style="764" customWidth="1"/>
    <col min="11" max="11" width="10.42578125" style="764" customWidth="1"/>
    <col min="12" max="12" width="1.42578125" style="764" customWidth="1"/>
    <col min="13" max="13" width="10.42578125" style="764" customWidth="1"/>
    <col min="14" max="14" width="1.42578125" style="765" customWidth="1"/>
    <col min="15" max="15" width="1.42578125" style="764" customWidth="1"/>
    <col min="16" max="16" width="10.42578125" style="764" customWidth="1"/>
    <col min="17" max="17" width="1.42578125" style="764" customWidth="1"/>
    <col min="18" max="18" width="10.42578125" style="764" customWidth="1"/>
    <col min="19" max="19" width="1.42578125" style="764" customWidth="1"/>
    <col min="20" max="20" width="10.42578125" style="764" customWidth="1"/>
    <col min="21" max="22" width="1.42578125" style="764" customWidth="1"/>
    <col min="23" max="23" width="10.42578125" style="765" customWidth="1"/>
    <col min="24" max="24" width="1.42578125" style="765" customWidth="1"/>
    <col min="25" max="25" width="10.42578125" style="765" customWidth="1"/>
    <col min="26" max="26" width="1.28515625" style="765" customWidth="1"/>
    <col min="27" max="27" width="10.42578125" style="765" customWidth="1"/>
    <col min="28" max="28" width="1.42578125" style="765" customWidth="1"/>
    <col min="29" max="29" width="10.42578125" style="765" customWidth="1"/>
    <col min="30" max="30" width="1.42578125" style="765" customWidth="1"/>
    <col min="31" max="31" width="20.85546875" style="765" customWidth="1"/>
    <col min="32" max="33" width="2.7109375" style="765" customWidth="1"/>
    <col min="34" max="34" width="21.140625" style="765" customWidth="1"/>
    <col min="35" max="37" width="11.85546875" style="764" customWidth="1"/>
    <col min="38" max="16384" width="9.140625" style="764"/>
  </cols>
  <sheetData>
    <row r="1" spans="1:49" x14ac:dyDescent="0.2">
      <c r="A1" s="771" t="s">
        <v>882</v>
      </c>
      <c r="B1" s="771"/>
      <c r="C1" s="771"/>
      <c r="E1" s="771"/>
      <c r="F1" s="771"/>
      <c r="I1" s="765"/>
      <c r="J1" s="771"/>
      <c r="K1" s="771"/>
      <c r="L1" s="771"/>
      <c r="M1" s="771"/>
      <c r="O1" s="771"/>
      <c r="P1" s="771"/>
      <c r="Q1" s="771"/>
      <c r="R1" s="771"/>
      <c r="S1" s="771"/>
      <c r="T1" s="771"/>
      <c r="X1" s="785"/>
      <c r="AG1" s="770"/>
      <c r="AI1" s="765"/>
      <c r="AJ1" s="765"/>
      <c r="AK1" s="765"/>
      <c r="AL1" s="765"/>
      <c r="AM1" s="765"/>
    </row>
    <row r="2" spans="1:49" x14ac:dyDescent="0.2">
      <c r="B2" s="771"/>
      <c r="C2" s="771"/>
      <c r="D2" s="771"/>
      <c r="E2" s="771"/>
      <c r="F2" s="771"/>
      <c r="H2" s="774"/>
      <c r="I2" s="779" t="s">
        <v>955</v>
      </c>
      <c r="J2" s="793"/>
      <c r="K2" s="793"/>
      <c r="L2" s="793"/>
      <c r="M2" s="793"/>
      <c r="O2" s="771"/>
      <c r="P2" s="779" t="s">
        <v>936</v>
      </c>
      <c r="Q2" s="786"/>
      <c r="R2" s="786"/>
      <c r="S2" s="786"/>
      <c r="T2" s="786"/>
      <c r="W2" s="779" t="s">
        <v>937</v>
      </c>
      <c r="X2" s="792"/>
      <c r="Y2" s="791"/>
      <c r="Z2" s="791"/>
      <c r="AA2" s="791"/>
      <c r="AB2" s="791"/>
      <c r="AC2" s="791"/>
      <c r="AD2" s="785"/>
      <c r="AE2" s="785"/>
      <c r="AG2" s="770"/>
      <c r="AH2" s="790" t="s">
        <v>881</v>
      </c>
      <c r="AI2" s="790"/>
      <c r="AJ2" s="790"/>
      <c r="AK2" s="790"/>
      <c r="AL2" s="765"/>
      <c r="AM2" s="765"/>
    </row>
    <row r="3" spans="1:49" x14ac:dyDescent="0.2">
      <c r="B3" s="771"/>
      <c r="C3" s="771"/>
      <c r="D3" s="771"/>
      <c r="E3" s="771"/>
      <c r="F3" s="771"/>
      <c r="I3" s="785"/>
      <c r="J3" s="785"/>
      <c r="K3" s="785"/>
      <c r="L3" s="785"/>
      <c r="M3" s="785" t="s">
        <v>879</v>
      </c>
      <c r="P3" s="785"/>
      <c r="Q3" s="785"/>
      <c r="R3" s="785"/>
      <c r="S3" s="785"/>
      <c r="T3" s="785" t="s">
        <v>879</v>
      </c>
      <c r="W3" s="785" t="s">
        <v>880</v>
      </c>
      <c r="X3" s="785"/>
      <c r="Y3" s="785"/>
      <c r="Z3" s="785"/>
      <c r="AA3" s="785"/>
      <c r="AB3" s="785"/>
      <c r="AC3" s="785" t="s">
        <v>879</v>
      </c>
      <c r="AD3" s="785"/>
      <c r="AE3" s="785"/>
      <c r="AG3" s="770"/>
      <c r="AH3" s="764"/>
    </row>
    <row r="4" spans="1:49" x14ac:dyDescent="0.2">
      <c r="B4" s="771"/>
      <c r="C4" s="771"/>
      <c r="D4" s="789" t="s">
        <v>878</v>
      </c>
      <c r="E4" s="771"/>
      <c r="F4" s="771"/>
      <c r="I4" s="785" t="s">
        <v>877</v>
      </c>
      <c r="J4" s="785"/>
      <c r="K4" s="785"/>
      <c r="L4" s="785"/>
      <c r="M4" s="785" t="s">
        <v>876</v>
      </c>
      <c r="P4" s="785" t="s">
        <v>877</v>
      </c>
      <c r="Q4" s="785"/>
      <c r="R4" s="785"/>
      <c r="S4" s="785"/>
      <c r="T4" s="785" t="s">
        <v>876</v>
      </c>
      <c r="W4" s="785" t="s">
        <v>877</v>
      </c>
      <c r="X4" s="785"/>
      <c r="Y4" s="785" t="s">
        <v>877</v>
      </c>
      <c r="Z4" s="785"/>
      <c r="AA4" s="785"/>
      <c r="AB4" s="785"/>
      <c r="AC4" s="785" t="s">
        <v>876</v>
      </c>
      <c r="AD4" s="785"/>
      <c r="AE4" s="785"/>
      <c r="AG4" s="770"/>
      <c r="AH4" s="764" t="s">
        <v>875</v>
      </c>
      <c r="AI4" s="788">
        <f>+'Table 1-CA'!N6</f>
        <v>0.75138099999999997</v>
      </c>
    </row>
    <row r="5" spans="1:49" x14ac:dyDescent="0.2">
      <c r="B5" s="786" t="s">
        <v>706</v>
      </c>
      <c r="C5" s="771"/>
      <c r="D5" s="787" t="s">
        <v>874</v>
      </c>
      <c r="E5" s="771"/>
      <c r="F5" s="786" t="s">
        <v>122</v>
      </c>
      <c r="I5" s="784" t="s">
        <v>873</v>
      </c>
      <c r="J5" s="785"/>
      <c r="K5" s="784" t="s">
        <v>743</v>
      </c>
      <c r="L5" s="785"/>
      <c r="M5" s="784" t="s">
        <v>872</v>
      </c>
      <c r="P5" s="784" t="s">
        <v>873</v>
      </c>
      <c r="Q5" s="785"/>
      <c r="R5" s="784" t="s">
        <v>743</v>
      </c>
      <c r="S5" s="785"/>
      <c r="T5" s="784" t="s">
        <v>872</v>
      </c>
      <c r="W5" s="784" t="s">
        <v>873</v>
      </c>
      <c r="X5" s="785"/>
      <c r="Y5" s="784" t="s">
        <v>873</v>
      </c>
      <c r="Z5" s="785"/>
      <c r="AA5" s="784" t="s">
        <v>743</v>
      </c>
      <c r="AB5" s="785"/>
      <c r="AC5" s="784" t="s">
        <v>872</v>
      </c>
      <c r="AD5" s="785"/>
      <c r="AE5" s="784" t="s">
        <v>1009</v>
      </c>
      <c r="AG5" s="770"/>
      <c r="AH5" s="764" t="s">
        <v>854</v>
      </c>
      <c r="AI5" s="783">
        <v>0.21</v>
      </c>
    </row>
    <row r="6" spans="1:49" x14ac:dyDescent="0.2">
      <c r="AG6" s="770"/>
      <c r="AH6" s="764"/>
    </row>
    <row r="7" spans="1:49" x14ac:dyDescent="0.2">
      <c r="B7" s="764">
        <v>1</v>
      </c>
      <c r="D7" s="782"/>
      <c r="E7" s="771"/>
      <c r="F7" s="771" t="s">
        <v>940</v>
      </c>
      <c r="I7" s="794">
        <f>+'BGM-9 (2) Detailed Summary'!C46/1000</f>
        <v>391140.69110000064</v>
      </c>
      <c r="J7" s="773"/>
      <c r="K7" s="773">
        <f>+'BGM-9 (2) Detailed Summary'!C48/1000</f>
        <v>5208778.5063049914</v>
      </c>
      <c r="L7" s="773"/>
      <c r="M7" s="773">
        <f>+($K7*$AK$12-$I7)/$AI$4</f>
        <v>-5494.4802723781531</v>
      </c>
      <c r="O7" s="771"/>
      <c r="P7" s="781">
        <f>+I7</f>
        <v>391140.69110000064</v>
      </c>
      <c r="Q7" s="773"/>
      <c r="R7" s="773">
        <f>+K7</f>
        <v>5208778.5063049914</v>
      </c>
      <c r="S7" s="773"/>
      <c r="T7" s="773">
        <f>+($R7*$AK$12-$P7)/$AI$4</f>
        <v>-5494.4802723781531</v>
      </c>
      <c r="AG7" s="770"/>
      <c r="AH7" s="764"/>
      <c r="AR7" s="780"/>
      <c r="AT7" s="780"/>
      <c r="AU7" s="775"/>
      <c r="AV7" s="775"/>
      <c r="AW7" s="775"/>
    </row>
    <row r="8" spans="1:49" x14ac:dyDescent="0.2">
      <c r="D8" s="772"/>
      <c r="I8" s="768"/>
      <c r="J8" s="768"/>
      <c r="K8" s="768"/>
      <c r="L8" s="768"/>
      <c r="M8" s="768"/>
      <c r="P8" s="768"/>
      <c r="Q8" s="768"/>
      <c r="R8" s="768"/>
      <c r="S8" s="768"/>
      <c r="T8" s="768"/>
      <c r="AE8" s="764"/>
      <c r="AG8" s="770"/>
      <c r="AH8" s="764" t="s">
        <v>871</v>
      </c>
      <c r="AI8" s="764" t="s">
        <v>870</v>
      </c>
      <c r="AK8" s="764" t="s">
        <v>869</v>
      </c>
      <c r="AR8" s="780"/>
      <c r="AT8" s="780"/>
      <c r="AU8" s="775"/>
      <c r="AV8" s="775"/>
      <c r="AW8" s="775"/>
    </row>
    <row r="9" spans="1:49" x14ac:dyDescent="0.2">
      <c r="B9" s="774" t="s">
        <v>868</v>
      </c>
      <c r="D9" s="772"/>
      <c r="I9" s="768"/>
      <c r="J9" s="768"/>
      <c r="K9" s="768"/>
      <c r="L9" s="768"/>
      <c r="M9" s="768"/>
      <c r="P9" s="768"/>
      <c r="Q9" s="768"/>
      <c r="R9" s="768"/>
      <c r="S9" s="768"/>
      <c r="T9" s="768"/>
      <c r="AE9" s="764"/>
      <c r="AG9" s="770"/>
      <c r="AH9" s="779" t="s">
        <v>867</v>
      </c>
      <c r="AI9" s="779" t="s">
        <v>866</v>
      </c>
      <c r="AJ9" s="779" t="s">
        <v>865</v>
      </c>
      <c r="AK9" s="779" t="s">
        <v>865</v>
      </c>
      <c r="AU9" s="775"/>
      <c r="AV9" s="775"/>
    </row>
    <row r="10" spans="1:49" x14ac:dyDescent="0.2">
      <c r="B10" s="764">
        <f t="shared" ref="B10:B30" ca="1" si="0">+MAX(OFFSET($B$7,0,0,ROW($B10)-ROW($B$7),1))+1</f>
        <v>2</v>
      </c>
      <c r="D10" s="772" t="s">
        <v>884</v>
      </c>
      <c r="F10" s="764" t="str">
        <f>+INDEX('BGM-9 (2) Detailed Summary'!$10:$10&amp;" "&amp;'BGM-9 (2) Detailed Summary'!$11:$11,1,MATCH(D10,'BGM-9 (2) Detailed Summary'!$79:$79,0))</f>
        <v>REVENUES &amp; EXPENSES</v>
      </c>
      <c r="I10" s="768">
        <v>8327.8001577338418</v>
      </c>
      <c r="J10" s="768"/>
      <c r="K10" s="768">
        <v>0</v>
      </c>
      <c r="L10" s="768"/>
      <c r="M10" s="768">
        <f>+($K10*$AK$12-$I10)/$AI$4</f>
        <v>-11083.325447055278</v>
      </c>
      <c r="P10" s="768">
        <f>+INDEX('BGM-9 (2) Detailed Summary'!$46:$46,1,MATCH($D10,'BGM-9 (2) Detailed Summary'!$79:$79,0))/1000</f>
        <v>8327.8001577338418</v>
      </c>
      <c r="Q10" s="768"/>
      <c r="R10" s="768">
        <f>+INDEX('BGM-9 (2) Detailed Summary'!$48:$48,1,MATCH($D10,'BGM-9 (2) Detailed Summary'!$79:$79,0))/1000</f>
        <v>0</v>
      </c>
      <c r="S10" s="768"/>
      <c r="T10" s="768">
        <f>+($R10*$AK$12-$P10)/$AI$4</f>
        <v>-11083.325447055278</v>
      </c>
      <c r="W10" s="768">
        <f>+Y10/(1-$AI$5)</f>
        <v>0</v>
      </c>
      <c r="X10" s="768"/>
      <c r="Y10" s="768">
        <f>+P10-I10</f>
        <v>0</v>
      </c>
      <c r="Z10" s="768"/>
      <c r="AA10" s="768">
        <f>+R10-K10</f>
        <v>0</v>
      </c>
      <c r="AB10" s="769"/>
      <c r="AC10" s="768">
        <f>+T10-M10</f>
        <v>0</v>
      </c>
      <c r="AE10" s="764" t="s">
        <v>860</v>
      </c>
      <c r="AG10" s="770"/>
      <c r="AH10" s="764" t="s">
        <v>864</v>
      </c>
      <c r="AI10" s="764">
        <v>0.51500000000000001</v>
      </c>
      <c r="AJ10" s="775">
        <v>5.5728155339805824E-2</v>
      </c>
      <c r="AK10" s="776">
        <f>ROUND(AI10*AJ10,4)</f>
        <v>2.87E-2</v>
      </c>
    </row>
    <row r="11" spans="1:49" x14ac:dyDescent="0.2">
      <c r="B11" s="764">
        <f t="shared" ca="1" si="0"/>
        <v>3</v>
      </c>
      <c r="D11" s="772" t="s">
        <v>885</v>
      </c>
      <c r="F11" s="764" t="str">
        <f>+INDEX('BGM-9 (2) Detailed Summary'!$10:$10&amp;" "&amp;'BGM-9 (2) Detailed Summary'!$11:$11,1,MATCH(D11,'BGM-9 (2) Detailed Summary'!$79:$79,0))</f>
        <v>TEMPERATURE NORMALIZATION</v>
      </c>
      <c r="I11" s="768">
        <v>3965.156966386</v>
      </c>
      <c r="J11" s="768"/>
      <c r="K11" s="768">
        <v>0</v>
      </c>
      <c r="L11" s="768"/>
      <c r="M11" s="768">
        <f t="shared" ref="M11:M38" si="1">+($K11*$AK$12-$I11)/$AI$4</f>
        <v>-5277.1589465078305</v>
      </c>
      <c r="P11" s="768">
        <f>+INDEX('BGM-9 (2) Detailed Summary'!$46:$46,1,MATCH($D11,'BGM-9 (2) Detailed Summary'!$79:$79,0))/1000</f>
        <v>3965.156966386</v>
      </c>
      <c r="Q11" s="768"/>
      <c r="R11" s="768">
        <f>+INDEX('BGM-9 (2) Detailed Summary'!$48:$48,1,MATCH($D11,'BGM-9 (2) Detailed Summary'!$79:$79,0))/1000</f>
        <v>0</v>
      </c>
      <c r="S11" s="768"/>
      <c r="T11" s="768">
        <f t="shared" ref="T11:T38" si="2">+($R11*$AK$12-$P11)/$AI$4</f>
        <v>-5277.1589465078305</v>
      </c>
      <c r="W11" s="768">
        <f t="shared" ref="W11:W35" si="3">+Y11/(1-$AI$5)</f>
        <v>0</v>
      </c>
      <c r="X11" s="768"/>
      <c r="Y11" s="768">
        <f t="shared" ref="Y11:Y35" si="4">+P11-I11</f>
        <v>0</v>
      </c>
      <c r="Z11" s="768"/>
      <c r="AA11" s="768">
        <f t="shared" ref="AA11:AA35" si="5">+R11-K11</f>
        <v>0</v>
      </c>
      <c r="AB11" s="769"/>
      <c r="AC11" s="768">
        <f t="shared" ref="AC11:AC35" si="6">+T11-M11</f>
        <v>0</v>
      </c>
      <c r="AE11" s="764" t="s">
        <v>860</v>
      </c>
      <c r="AG11" s="770"/>
      <c r="AH11" s="764" t="s">
        <v>863</v>
      </c>
      <c r="AI11" s="764">
        <v>0.48499999999999999</v>
      </c>
      <c r="AJ11" s="901">
        <v>9.4E-2</v>
      </c>
      <c r="AK11" s="778">
        <f>ROUND(AI11*AJ11,4)</f>
        <v>4.5600000000000002E-2</v>
      </c>
    </row>
    <row r="12" spans="1:49" x14ac:dyDescent="0.2">
      <c r="B12" s="764">
        <f t="shared" ca="1" si="0"/>
        <v>4</v>
      </c>
      <c r="D12" s="772" t="s">
        <v>886</v>
      </c>
      <c r="F12" s="764" t="str">
        <f>+INDEX('BGM-9 (2) Detailed Summary'!$10:$10&amp;" "&amp;'BGM-9 (2) Detailed Summary'!$11:$11,1,MATCH(D12,'BGM-9 (2) Detailed Summary'!$79:$79,0))</f>
        <v>FEDERAL INCOME TAX</v>
      </c>
      <c r="I12" s="768">
        <v>-14935.6534468275</v>
      </c>
      <c r="J12" s="768"/>
      <c r="K12" s="768">
        <v>0</v>
      </c>
      <c r="L12" s="768"/>
      <c r="M12" s="768">
        <f t="shared" si="1"/>
        <v>19877.60330222284</v>
      </c>
      <c r="P12" s="768">
        <f>+INDEX('BGM-9 (2) Detailed Summary'!$46:$46,1,MATCH($D12,'BGM-9 (2) Detailed Summary'!$79:$79,0))/1000</f>
        <v>-8177.0032254878279</v>
      </c>
      <c r="Q12" s="768"/>
      <c r="R12" s="768">
        <f>+INDEX('BGM-9 (2) Detailed Summary'!$48:$48,1,MATCH($D12,'BGM-9 (2) Detailed Summary'!$79:$79,0))/1000</f>
        <v>32585.069952498023</v>
      </c>
      <c r="S12" s="768"/>
      <c r="T12" s="768">
        <f t="shared" si="2"/>
        <v>14104.79360398843</v>
      </c>
      <c r="W12" s="768">
        <f t="shared" si="3"/>
        <v>8555.2534447337621</v>
      </c>
      <c r="X12" s="768"/>
      <c r="Y12" s="768">
        <f t="shared" si="4"/>
        <v>6758.6502213396725</v>
      </c>
      <c r="Z12" s="768"/>
      <c r="AA12" s="768">
        <f t="shared" si="5"/>
        <v>32585.069952498023</v>
      </c>
      <c r="AB12" s="769"/>
      <c r="AC12" s="768">
        <f t="shared" si="6"/>
        <v>-5772.8096982344105</v>
      </c>
      <c r="AE12" s="764" t="s">
        <v>1008</v>
      </c>
      <c r="AG12" s="770"/>
      <c r="AH12" s="764" t="s">
        <v>418</v>
      </c>
      <c r="AI12" s="777">
        <f>SUM(AI10:AI11)</f>
        <v>1</v>
      </c>
      <c r="AK12" s="776">
        <f>+ROUND(SUM(AK10:AK11),4)</f>
        <v>7.4300000000000005E-2</v>
      </c>
    </row>
    <row r="13" spans="1:49" x14ac:dyDescent="0.2">
      <c r="B13" s="764">
        <f t="shared" ca="1" si="0"/>
        <v>5</v>
      </c>
      <c r="D13" s="772" t="s">
        <v>887</v>
      </c>
      <c r="F13" s="764" t="str">
        <f>+INDEX('BGM-9 (2) Detailed Summary'!$10:$10&amp;" "&amp;'BGM-9 (2) Detailed Summary'!$11:$11,1,MATCH(D13,'BGM-9 (2) Detailed Summary'!$79:$79,0))</f>
        <v>TAX BENEFIT OF INTEREST</v>
      </c>
      <c r="I13" s="768">
        <v>33104.040985172767</v>
      </c>
      <c r="J13" s="768"/>
      <c r="K13" s="768">
        <v>0</v>
      </c>
      <c r="L13" s="768"/>
      <c r="M13" s="768">
        <f t="shared" si="1"/>
        <v>-44057.596592371607</v>
      </c>
      <c r="P13" s="768">
        <f>+INDEX('BGM-9 (2) Detailed Summary'!$46:$46,1,MATCH($D13,'BGM-9 (2) Detailed Summary'!$79:$79,0))/1000</f>
        <v>32607.563054273214</v>
      </c>
      <c r="Q13" s="768"/>
      <c r="R13" s="768">
        <f>+INDEX('BGM-9 (2) Detailed Summary'!$48:$48,1,MATCH($D13,'BGM-9 (2) Detailed Summary'!$79:$79,0))/1000</f>
        <v>0</v>
      </c>
      <c r="S13" s="768"/>
      <c r="T13" s="768">
        <f t="shared" si="2"/>
        <v>-43396.842686031741</v>
      </c>
      <c r="W13" s="768">
        <f t="shared" si="3"/>
        <v>-628.45307708804182</v>
      </c>
      <c r="X13" s="768"/>
      <c r="Y13" s="768">
        <f t="shared" si="4"/>
        <v>-496.47793089955303</v>
      </c>
      <c r="Z13" s="768"/>
      <c r="AA13" s="768">
        <f t="shared" si="5"/>
        <v>0</v>
      </c>
      <c r="AB13" s="769"/>
      <c r="AC13" s="768">
        <f t="shared" si="6"/>
        <v>660.75390633986535</v>
      </c>
      <c r="AE13" s="764" t="s">
        <v>860</v>
      </c>
      <c r="AG13" s="770"/>
      <c r="AK13" s="775"/>
    </row>
    <row r="14" spans="1:49" x14ac:dyDescent="0.2">
      <c r="B14" s="764">
        <f t="shared" ca="1" si="0"/>
        <v>6</v>
      </c>
      <c r="D14" s="772" t="s">
        <v>888</v>
      </c>
      <c r="F14" s="764" t="str">
        <f>+INDEX('BGM-9 (2) Detailed Summary'!$10:$10&amp;" "&amp;'BGM-9 (2) Detailed Summary'!$11:$11,1,MATCH(D14,'BGM-9 (2) Detailed Summary'!$79:$79,0))</f>
        <v>PASS-THROUGH REV &amp; EXP</v>
      </c>
      <c r="I14" s="768">
        <v>-1955.9862286396026</v>
      </c>
      <c r="J14" s="768"/>
      <c r="K14" s="768">
        <v>0</v>
      </c>
      <c r="L14" s="768"/>
      <c r="M14" s="768">
        <f t="shared" si="1"/>
        <v>2603.18830079494</v>
      </c>
      <c r="P14" s="768">
        <f>+INDEX('BGM-9 (2) Detailed Summary'!$46:$46,1,MATCH($D14,'BGM-9 (2) Detailed Summary'!$79:$79,0))/1000</f>
        <v>-1955.9862286396026</v>
      </c>
      <c r="Q14" s="768"/>
      <c r="R14" s="768">
        <f>+INDEX('BGM-9 (2) Detailed Summary'!$48:$48,1,MATCH($D14,'BGM-9 (2) Detailed Summary'!$79:$79,0))/1000</f>
        <v>0</v>
      </c>
      <c r="S14" s="768"/>
      <c r="T14" s="768">
        <f t="shared" si="2"/>
        <v>2603.18830079494</v>
      </c>
      <c r="W14" s="768">
        <f t="shared" si="3"/>
        <v>0</v>
      </c>
      <c r="X14" s="768"/>
      <c r="Y14" s="768">
        <f t="shared" si="4"/>
        <v>0</v>
      </c>
      <c r="Z14" s="768"/>
      <c r="AA14" s="768">
        <f t="shared" si="5"/>
        <v>0</v>
      </c>
      <c r="AB14" s="769"/>
      <c r="AC14" s="768">
        <f t="shared" si="6"/>
        <v>0</v>
      </c>
      <c r="AE14" s="764" t="s">
        <v>860</v>
      </c>
      <c r="AG14" s="770"/>
      <c r="AJ14" s="767"/>
      <c r="AK14" s="775"/>
    </row>
    <row r="15" spans="1:49" x14ac:dyDescent="0.2">
      <c r="B15" s="764">
        <f t="shared" ca="1" si="0"/>
        <v>7</v>
      </c>
      <c r="D15" s="772" t="s">
        <v>889</v>
      </c>
      <c r="F15" s="764" t="str">
        <f>+INDEX('BGM-9 (2) Detailed Summary'!$10:$10&amp;" "&amp;'BGM-9 (2) Detailed Summary'!$11:$11,1,MATCH(D15,'BGM-9 (2) Detailed Summary'!$79:$79,0))</f>
        <v>INJURIES &amp; DAMAGES</v>
      </c>
      <c r="I15" s="768">
        <v>66.597374865170949</v>
      </c>
      <c r="J15" s="768"/>
      <c r="K15" s="768">
        <v>0</v>
      </c>
      <c r="L15" s="768"/>
      <c r="M15" s="768">
        <f t="shared" si="1"/>
        <v>-88.633296377165451</v>
      </c>
      <c r="P15" s="768">
        <f>+INDEX('BGM-9 (2) Detailed Summary'!$46:$46,1,MATCH($D15,'BGM-9 (2) Detailed Summary'!$79:$79,0))/1000</f>
        <v>66.597374865170949</v>
      </c>
      <c r="Q15" s="768"/>
      <c r="R15" s="768">
        <f>+INDEX('BGM-9 (2) Detailed Summary'!$48:$48,1,MATCH($D15,'BGM-9 (2) Detailed Summary'!$79:$79,0))/1000</f>
        <v>0</v>
      </c>
      <c r="S15" s="768"/>
      <c r="T15" s="768">
        <f t="shared" si="2"/>
        <v>-88.633296377165451</v>
      </c>
      <c r="W15" s="768">
        <f t="shared" si="3"/>
        <v>0</v>
      </c>
      <c r="X15" s="768"/>
      <c r="Y15" s="768">
        <f t="shared" si="4"/>
        <v>0</v>
      </c>
      <c r="Z15" s="768"/>
      <c r="AA15" s="768">
        <f t="shared" si="5"/>
        <v>0</v>
      </c>
      <c r="AB15" s="769"/>
      <c r="AC15" s="768">
        <f t="shared" si="6"/>
        <v>0</v>
      </c>
      <c r="AE15" s="764" t="s">
        <v>860</v>
      </c>
      <c r="AG15" s="770"/>
      <c r="AJ15" s="767"/>
      <c r="AK15" s="775"/>
    </row>
    <row r="16" spans="1:49" ht="13.5" x14ac:dyDescent="0.25">
      <c r="B16" s="764">
        <f t="shared" ca="1" si="0"/>
        <v>8</v>
      </c>
      <c r="D16" s="772" t="s">
        <v>890</v>
      </c>
      <c r="F16" s="764" t="str">
        <f>+INDEX('BGM-9 (2) Detailed Summary'!$10:$10&amp;" "&amp;'BGM-9 (2) Detailed Summary'!$11:$11,1,MATCH(D16,'BGM-9 (2) Detailed Summary'!$79:$79,0))</f>
        <v>BAD DEBTS</v>
      </c>
      <c r="I16" s="768">
        <v>303.15375903630911</v>
      </c>
      <c r="J16" s="768"/>
      <c r="K16" s="768">
        <v>0</v>
      </c>
      <c r="L16" s="768"/>
      <c r="M16" s="768">
        <f t="shared" si="1"/>
        <v>-403.46210382789707</v>
      </c>
      <c r="P16" s="768">
        <f>+INDEX('BGM-9 (2) Detailed Summary'!$46:$46,1,MATCH($D16,'BGM-9 (2) Detailed Summary'!$79:$79,0))/1000</f>
        <v>303.15375903630911</v>
      </c>
      <c r="Q16" s="768"/>
      <c r="R16" s="768">
        <f>+INDEX('BGM-9 (2) Detailed Summary'!$48:$48,1,MATCH($D16,'BGM-9 (2) Detailed Summary'!$79:$79,0))/1000</f>
        <v>0</v>
      </c>
      <c r="S16" s="768"/>
      <c r="T16" s="768">
        <f t="shared" si="2"/>
        <v>-403.46210382789707</v>
      </c>
      <c r="W16" s="768">
        <f t="shared" si="3"/>
        <v>0</v>
      </c>
      <c r="X16" s="768"/>
      <c r="Y16" s="768">
        <f t="shared" si="4"/>
        <v>0</v>
      </c>
      <c r="Z16" s="768"/>
      <c r="AA16" s="768">
        <f t="shared" si="5"/>
        <v>0</v>
      </c>
      <c r="AB16" s="769"/>
      <c r="AC16" s="768">
        <f t="shared" si="6"/>
        <v>0</v>
      </c>
      <c r="AE16" s="764" t="s">
        <v>860</v>
      </c>
      <c r="AG16" s="770"/>
      <c r="AH16" s="881" t="s">
        <v>979</v>
      </c>
      <c r="AJ16" s="767"/>
      <c r="AK16" s="768"/>
    </row>
    <row r="17" spans="2:37" x14ac:dyDescent="0.2">
      <c r="B17" s="764">
        <f t="shared" ca="1" si="0"/>
        <v>9</v>
      </c>
      <c r="D17" s="772" t="s">
        <v>891</v>
      </c>
      <c r="F17" s="764" t="str">
        <f>+INDEX('BGM-9 (2) Detailed Summary'!$10:$10&amp;" "&amp;'BGM-9 (2) Detailed Summary'!$11:$11,1,MATCH(D17,'BGM-9 (2) Detailed Summary'!$79:$79,0))</f>
        <v>INCENTIVE PAY</v>
      </c>
      <c r="I17" s="768">
        <v>184.1451640152801</v>
      </c>
      <c r="J17" s="768"/>
      <c r="K17" s="768">
        <v>0</v>
      </c>
      <c r="L17" s="768"/>
      <c r="M17" s="768">
        <f t="shared" si="1"/>
        <v>-245.0756194464328</v>
      </c>
      <c r="P17" s="768">
        <f>+INDEX('BGM-9 (2) Detailed Summary'!$46:$46,1,MATCH($D17,'BGM-9 (2) Detailed Summary'!$79:$79,0))/1000</f>
        <v>184.1451640152801</v>
      </c>
      <c r="Q17" s="768"/>
      <c r="R17" s="768">
        <f>+INDEX('BGM-9 (2) Detailed Summary'!$48:$48,1,MATCH($D17,'BGM-9 (2) Detailed Summary'!$79:$79,0))/1000</f>
        <v>0</v>
      </c>
      <c r="S17" s="768"/>
      <c r="T17" s="768">
        <f t="shared" si="2"/>
        <v>-245.0756194464328</v>
      </c>
      <c r="W17" s="768">
        <f t="shared" si="3"/>
        <v>0</v>
      </c>
      <c r="X17" s="768"/>
      <c r="Y17" s="768">
        <f t="shared" si="4"/>
        <v>0</v>
      </c>
      <c r="Z17" s="768"/>
      <c r="AA17" s="768">
        <f t="shared" si="5"/>
        <v>0</v>
      </c>
      <c r="AB17" s="769"/>
      <c r="AC17" s="768">
        <f t="shared" si="6"/>
        <v>0</v>
      </c>
      <c r="AE17" s="764" t="s">
        <v>860</v>
      </c>
      <c r="AG17" s="770"/>
      <c r="AH17" s="764" t="s">
        <v>871</v>
      </c>
      <c r="AI17" s="764" t="s">
        <v>870</v>
      </c>
      <c r="AK17" s="764" t="s">
        <v>869</v>
      </c>
    </row>
    <row r="18" spans="2:37" x14ac:dyDescent="0.2">
      <c r="B18" s="764">
        <f t="shared" ca="1" si="0"/>
        <v>10</v>
      </c>
      <c r="D18" s="772" t="s">
        <v>892</v>
      </c>
      <c r="F18" s="764" t="str">
        <f>+INDEX('BGM-9 (2) Detailed Summary'!$10:$10&amp;" "&amp;'BGM-9 (2) Detailed Summary'!$11:$11,1,MATCH(D18,'BGM-9 (2) Detailed Summary'!$79:$79,0))</f>
        <v>EXCISE TAX  &amp; FILING FEE</v>
      </c>
      <c r="I18" s="768">
        <v>71.834764841626395</v>
      </c>
      <c r="J18" s="768"/>
      <c r="K18" s="768">
        <v>0</v>
      </c>
      <c r="L18" s="768"/>
      <c r="M18" s="768">
        <f t="shared" si="1"/>
        <v>-95.603648271151911</v>
      </c>
      <c r="P18" s="768">
        <f>+INDEX('BGM-9 (2) Detailed Summary'!$46:$46,1,MATCH($D18,'BGM-9 (2) Detailed Summary'!$79:$79,0))/1000</f>
        <v>71.834764841626395</v>
      </c>
      <c r="Q18" s="768"/>
      <c r="R18" s="768">
        <f>+INDEX('BGM-9 (2) Detailed Summary'!$48:$48,1,MATCH($D18,'BGM-9 (2) Detailed Summary'!$79:$79,0))/1000</f>
        <v>0</v>
      </c>
      <c r="S18" s="768"/>
      <c r="T18" s="768">
        <f t="shared" si="2"/>
        <v>-95.603648271151911</v>
      </c>
      <c r="W18" s="768">
        <f t="shared" si="3"/>
        <v>0</v>
      </c>
      <c r="X18" s="768"/>
      <c r="Y18" s="768">
        <f t="shared" si="4"/>
        <v>0</v>
      </c>
      <c r="Z18" s="768"/>
      <c r="AA18" s="768">
        <f t="shared" si="5"/>
        <v>0</v>
      </c>
      <c r="AB18" s="769"/>
      <c r="AC18" s="768">
        <f t="shared" si="6"/>
        <v>0</v>
      </c>
      <c r="AE18" s="764" t="s">
        <v>860</v>
      </c>
      <c r="AG18" s="770"/>
      <c r="AH18" s="779" t="s">
        <v>867</v>
      </c>
      <c r="AI18" s="779" t="s">
        <v>866</v>
      </c>
      <c r="AJ18" s="779" t="s">
        <v>865</v>
      </c>
      <c r="AK18" s="779" t="s">
        <v>865</v>
      </c>
    </row>
    <row r="19" spans="2:37" x14ac:dyDescent="0.2">
      <c r="B19" s="764">
        <f t="shared" ca="1" si="0"/>
        <v>11</v>
      </c>
      <c r="D19" s="772" t="s">
        <v>893</v>
      </c>
      <c r="F19" s="764" t="str">
        <f>+INDEX('BGM-9 (2) Detailed Summary'!$10:$10&amp;" "&amp;'BGM-9 (2) Detailed Summary'!$11:$11,1,MATCH(D19,'BGM-9 (2) Detailed Summary'!$79:$79,0))</f>
        <v>D&amp;O INSURANCE</v>
      </c>
      <c r="I19" s="768">
        <v>5.3013344264041589</v>
      </c>
      <c r="J19" s="768"/>
      <c r="K19" s="768">
        <v>0</v>
      </c>
      <c r="L19" s="768"/>
      <c r="M19" s="768">
        <f t="shared" si="1"/>
        <v>-7.0554544583961523</v>
      </c>
      <c r="P19" s="768">
        <f>+INDEX('BGM-9 (2) Detailed Summary'!$46:$46,1,MATCH($D19,'BGM-9 (2) Detailed Summary'!$79:$79,0))/1000</f>
        <v>5.3013344264041589</v>
      </c>
      <c r="Q19" s="768"/>
      <c r="R19" s="768">
        <f>+INDEX('BGM-9 (2) Detailed Summary'!$48:$48,1,MATCH($D19,'BGM-9 (2) Detailed Summary'!$79:$79,0))/1000</f>
        <v>0</v>
      </c>
      <c r="S19" s="768"/>
      <c r="T19" s="768">
        <f t="shared" si="2"/>
        <v>-7.0554544583961523</v>
      </c>
      <c r="W19" s="768">
        <f t="shared" si="3"/>
        <v>0</v>
      </c>
      <c r="X19" s="768"/>
      <c r="Y19" s="768">
        <f t="shared" si="4"/>
        <v>0</v>
      </c>
      <c r="Z19" s="768"/>
      <c r="AA19" s="768">
        <f t="shared" si="5"/>
        <v>0</v>
      </c>
      <c r="AB19" s="769"/>
      <c r="AC19" s="768">
        <f t="shared" si="6"/>
        <v>0</v>
      </c>
      <c r="AE19" s="764" t="s">
        <v>860</v>
      </c>
      <c r="AG19" s="770"/>
      <c r="AH19" s="764" t="s">
        <v>864</v>
      </c>
      <c r="AI19" s="764">
        <v>0.51500000000000001</v>
      </c>
      <c r="AJ19" s="775">
        <v>5.5728155339805824E-2</v>
      </c>
      <c r="AK19" s="776">
        <f>ROUND(AI19*AJ19,4)</f>
        <v>2.87E-2</v>
      </c>
    </row>
    <row r="20" spans="2:37" x14ac:dyDescent="0.2">
      <c r="B20" s="764">
        <f t="shared" ca="1" si="0"/>
        <v>12</v>
      </c>
      <c r="D20" s="772" t="s">
        <v>894</v>
      </c>
      <c r="F20" s="764" t="str">
        <f>+INDEX('BGM-9 (2) Detailed Summary'!$10:$10&amp;" "&amp;'BGM-9 (2) Detailed Summary'!$11:$11,1,MATCH(D20,'BGM-9 (2) Detailed Summary'!$79:$79,0))</f>
        <v>INTEREST ON  CUST DEPOSITS</v>
      </c>
      <c r="I20" s="768">
        <v>-803.90933835699934</v>
      </c>
      <c r="J20" s="768"/>
      <c r="K20" s="768">
        <v>0</v>
      </c>
      <c r="L20" s="768"/>
      <c r="M20" s="768">
        <f t="shared" si="1"/>
        <v>1069.9090585961042</v>
      </c>
      <c r="P20" s="768">
        <f>+INDEX('BGM-9 (2) Detailed Summary'!$46:$46,1,MATCH($D20,'BGM-9 (2) Detailed Summary'!$79:$79,0))/1000</f>
        <v>-803.90933835699934</v>
      </c>
      <c r="Q20" s="768"/>
      <c r="R20" s="768">
        <f>+INDEX('BGM-9 (2) Detailed Summary'!$48:$48,1,MATCH($D20,'BGM-9 (2) Detailed Summary'!$79:$79,0))/1000</f>
        <v>0</v>
      </c>
      <c r="S20" s="768"/>
      <c r="T20" s="768">
        <f t="shared" si="2"/>
        <v>1069.9090585961042</v>
      </c>
      <c r="W20" s="768">
        <f t="shared" si="3"/>
        <v>0</v>
      </c>
      <c r="X20" s="768"/>
      <c r="Y20" s="768">
        <f t="shared" si="4"/>
        <v>0</v>
      </c>
      <c r="Z20" s="768"/>
      <c r="AA20" s="768">
        <f t="shared" si="5"/>
        <v>0</v>
      </c>
      <c r="AB20" s="769"/>
      <c r="AC20" s="768">
        <f t="shared" si="6"/>
        <v>0</v>
      </c>
      <c r="AE20" s="764" t="s">
        <v>860</v>
      </c>
      <c r="AG20" s="770"/>
      <c r="AH20" s="764" t="s">
        <v>863</v>
      </c>
      <c r="AI20" s="764">
        <v>0.48499999999999999</v>
      </c>
      <c r="AJ20" s="775">
        <v>9.1999999999999998E-2</v>
      </c>
      <c r="AK20" s="778">
        <f>ROUND(AI20*AJ20,4)</f>
        <v>4.4600000000000001E-2</v>
      </c>
    </row>
    <row r="21" spans="2:37" x14ac:dyDescent="0.2">
      <c r="B21" s="764">
        <f t="shared" ca="1" si="0"/>
        <v>13</v>
      </c>
      <c r="D21" s="772" t="s">
        <v>895</v>
      </c>
      <c r="F21" s="764" t="str">
        <f>+INDEX('BGM-9 (2) Detailed Summary'!$10:$10&amp;" "&amp;'BGM-9 (2) Detailed Summary'!$11:$11,1,MATCH(D21,'BGM-9 (2) Detailed Summary'!$79:$79,0))</f>
        <v>RATE CASE EXPENSE</v>
      </c>
      <c r="I21" s="768">
        <v>-496.55758700637006</v>
      </c>
      <c r="J21" s="768"/>
      <c r="K21" s="768">
        <v>0</v>
      </c>
      <c r="L21" s="768"/>
      <c r="M21" s="768">
        <f t="shared" si="1"/>
        <v>660.8599192771311</v>
      </c>
      <c r="P21" s="768">
        <f>+INDEX('BGM-9 (2) Detailed Summary'!$46:$46,1,MATCH($D21,'BGM-9 (2) Detailed Summary'!$79:$79,0))/1000</f>
        <v>-496.55758700637006</v>
      </c>
      <c r="Q21" s="768"/>
      <c r="R21" s="768">
        <f>+INDEX('BGM-9 (2) Detailed Summary'!$48:$48,1,MATCH($D21,'BGM-9 (2) Detailed Summary'!$79:$79,0))/1000</f>
        <v>0</v>
      </c>
      <c r="S21" s="768"/>
      <c r="T21" s="768">
        <f t="shared" si="2"/>
        <v>660.8599192771311</v>
      </c>
      <c r="W21" s="768">
        <f t="shared" si="3"/>
        <v>0</v>
      </c>
      <c r="X21" s="768"/>
      <c r="Y21" s="768">
        <f t="shared" si="4"/>
        <v>0</v>
      </c>
      <c r="Z21" s="768"/>
      <c r="AA21" s="768">
        <f t="shared" si="5"/>
        <v>0</v>
      </c>
      <c r="AB21" s="769"/>
      <c r="AC21" s="768">
        <f t="shared" si="6"/>
        <v>0</v>
      </c>
      <c r="AE21" s="764" t="s">
        <v>860</v>
      </c>
      <c r="AG21" s="770"/>
      <c r="AH21" s="764" t="s">
        <v>418</v>
      </c>
      <c r="AI21" s="777">
        <f>SUM(AI19:AI20)</f>
        <v>1</v>
      </c>
      <c r="AK21" s="776">
        <f>+ROUND(SUM(AK19:AK20),4)</f>
        <v>7.3300000000000004E-2</v>
      </c>
    </row>
    <row r="22" spans="2:37" x14ac:dyDescent="0.2">
      <c r="B22" s="764">
        <f t="shared" ca="1" si="0"/>
        <v>14</v>
      </c>
      <c r="D22" s="772" t="s">
        <v>896</v>
      </c>
      <c r="F22" s="764" t="str">
        <f>+INDEX('BGM-9 (2) Detailed Summary'!$10:$10&amp;" "&amp;'BGM-9 (2) Detailed Summary'!$11:$11,1,MATCH(D22,'BGM-9 (2) Detailed Summary'!$79:$79,0))</f>
        <v>PENSION PLAN</v>
      </c>
      <c r="I22" s="768">
        <v>-1726.149211916219</v>
      </c>
      <c r="J22" s="768"/>
      <c r="K22" s="768">
        <v>0</v>
      </c>
      <c r="L22" s="768"/>
      <c r="M22" s="768">
        <f t="shared" si="1"/>
        <v>2297.3021834678002</v>
      </c>
      <c r="P22" s="768">
        <f>+INDEX('BGM-9 (2) Detailed Summary'!$46:$46,1,MATCH($D22,'BGM-9 (2) Detailed Summary'!$79:$79,0))/1000</f>
        <v>-1726.149211916219</v>
      </c>
      <c r="Q22" s="768"/>
      <c r="R22" s="768">
        <f>+INDEX('BGM-9 (2) Detailed Summary'!$48:$48,1,MATCH($D22,'BGM-9 (2) Detailed Summary'!$79:$79,0))/1000</f>
        <v>0</v>
      </c>
      <c r="S22" s="768"/>
      <c r="T22" s="768">
        <f t="shared" si="2"/>
        <v>2297.3021834678002</v>
      </c>
      <c r="W22" s="768">
        <f t="shared" si="3"/>
        <v>0</v>
      </c>
      <c r="X22" s="768"/>
      <c r="Y22" s="768">
        <f t="shared" si="4"/>
        <v>0</v>
      </c>
      <c r="Z22" s="768"/>
      <c r="AA22" s="768">
        <f t="shared" si="5"/>
        <v>0</v>
      </c>
      <c r="AB22" s="769"/>
      <c r="AC22" s="768">
        <f t="shared" si="6"/>
        <v>0</v>
      </c>
      <c r="AE22" s="764" t="s">
        <v>860</v>
      </c>
      <c r="AG22" s="770"/>
    </row>
    <row r="23" spans="2:37" x14ac:dyDescent="0.2">
      <c r="B23" s="764">
        <f t="shared" ca="1" si="0"/>
        <v>15</v>
      </c>
      <c r="D23" s="772" t="s">
        <v>897</v>
      </c>
      <c r="F23" s="764" t="str">
        <f>+INDEX('BGM-9 (2) Detailed Summary'!$10:$10&amp;" "&amp;'BGM-9 (2) Detailed Summary'!$11:$11,1,MATCH(D23,'BGM-9 (2) Detailed Summary'!$79:$79,0))</f>
        <v>PROPERTY AND LIAB INSURANCE</v>
      </c>
      <c r="I23" s="768">
        <v>319.95138960871822</v>
      </c>
      <c r="J23" s="768"/>
      <c r="K23" s="768">
        <v>0</v>
      </c>
      <c r="L23" s="768"/>
      <c r="M23" s="768">
        <f t="shared" si="1"/>
        <v>-425.81778033876054</v>
      </c>
      <c r="P23" s="768">
        <f>+INDEX('BGM-9 (2) Detailed Summary'!$46:$46,1,MATCH($D23,'BGM-9 (2) Detailed Summary'!$79:$79,0))/1000</f>
        <v>319.95138960871822</v>
      </c>
      <c r="Q23" s="768"/>
      <c r="R23" s="768">
        <f>+INDEX('BGM-9 (2) Detailed Summary'!$48:$48,1,MATCH($D23,'BGM-9 (2) Detailed Summary'!$79:$79,0))/1000</f>
        <v>0</v>
      </c>
      <c r="S23" s="768"/>
      <c r="T23" s="768">
        <f t="shared" si="2"/>
        <v>-425.81778033876054</v>
      </c>
      <c r="W23" s="768">
        <f t="shared" si="3"/>
        <v>0</v>
      </c>
      <c r="X23" s="768"/>
      <c r="Y23" s="768">
        <f t="shared" si="4"/>
        <v>0</v>
      </c>
      <c r="Z23" s="768"/>
      <c r="AA23" s="768">
        <f t="shared" si="5"/>
        <v>0</v>
      </c>
      <c r="AB23" s="769"/>
      <c r="AC23" s="768">
        <f t="shared" si="6"/>
        <v>0</v>
      </c>
      <c r="AE23" s="764" t="s">
        <v>860</v>
      </c>
      <c r="AG23" s="770"/>
    </row>
    <row r="24" spans="2:37" x14ac:dyDescent="0.2">
      <c r="B24" s="764">
        <f t="shared" ca="1" si="0"/>
        <v>16</v>
      </c>
      <c r="D24" s="772" t="s">
        <v>898</v>
      </c>
      <c r="F24" s="764" t="str">
        <f>+INDEX('BGM-9 (2) Detailed Summary'!$10:$10&amp;" "&amp;'BGM-9 (2) Detailed Summary'!$11:$11,1,MATCH(D24,'BGM-9 (2) Detailed Summary'!$79:$79,0))</f>
        <v>WAGE &amp; PAYROLL TAX</v>
      </c>
      <c r="I24" s="768">
        <v>-61.810425156236214</v>
      </c>
      <c r="J24" s="768"/>
      <c r="K24" s="768">
        <v>0</v>
      </c>
      <c r="L24" s="768"/>
      <c r="M24" s="768">
        <f t="shared" si="1"/>
        <v>82.262427658187008</v>
      </c>
      <c r="P24" s="768">
        <f>+INDEX('BGM-9 (2) Detailed Summary'!$46:$46,1,MATCH($D24,'BGM-9 (2) Detailed Summary'!$79:$79,0))/1000</f>
        <v>-61.810425156236214</v>
      </c>
      <c r="Q24" s="768"/>
      <c r="R24" s="768">
        <f>+INDEX('BGM-9 (2) Detailed Summary'!$48:$48,1,MATCH($D24,'BGM-9 (2) Detailed Summary'!$79:$79,0))/1000</f>
        <v>0</v>
      </c>
      <c r="S24" s="768"/>
      <c r="T24" s="768">
        <f t="shared" si="2"/>
        <v>82.262427658187008</v>
      </c>
      <c r="W24" s="768">
        <f t="shared" si="3"/>
        <v>0</v>
      </c>
      <c r="X24" s="768"/>
      <c r="Y24" s="768">
        <f t="shared" si="4"/>
        <v>0</v>
      </c>
      <c r="Z24" s="768"/>
      <c r="AA24" s="768">
        <f t="shared" si="5"/>
        <v>0</v>
      </c>
      <c r="AB24" s="769"/>
      <c r="AC24" s="768">
        <f t="shared" si="6"/>
        <v>0</v>
      </c>
      <c r="AE24" s="764" t="s">
        <v>860</v>
      </c>
      <c r="AG24" s="770"/>
    </row>
    <row r="25" spans="2:37" ht="13.5" x14ac:dyDescent="0.25">
      <c r="B25" s="764">
        <f t="shared" ca="1" si="0"/>
        <v>17</v>
      </c>
      <c r="D25" s="772" t="s">
        <v>899</v>
      </c>
      <c r="F25" s="764" t="str">
        <f>+INDEX('BGM-9 (2) Detailed Summary'!$10:$10&amp;" "&amp;'BGM-9 (2) Detailed Summary'!$11:$11,1,MATCH(D25,'BGM-9 (2) Detailed Summary'!$79:$79,0))</f>
        <v>INVESTMENT PLAN</v>
      </c>
      <c r="I25" s="768">
        <v>-13.156595940416745</v>
      </c>
      <c r="J25" s="768"/>
      <c r="K25" s="768">
        <v>0</v>
      </c>
      <c r="L25" s="768"/>
      <c r="M25" s="768">
        <f t="shared" si="1"/>
        <v>17.509886383095587</v>
      </c>
      <c r="P25" s="768">
        <f>+INDEX('BGM-9 (2) Detailed Summary'!$46:$46,1,MATCH($D25,'BGM-9 (2) Detailed Summary'!$79:$79,0))/1000</f>
        <v>-13.156595940416745</v>
      </c>
      <c r="Q25" s="768"/>
      <c r="R25" s="768">
        <f>+INDEX('BGM-9 (2) Detailed Summary'!$48:$48,1,MATCH($D25,'BGM-9 (2) Detailed Summary'!$79:$79,0))/1000</f>
        <v>0</v>
      </c>
      <c r="S25" s="768"/>
      <c r="T25" s="768">
        <f t="shared" si="2"/>
        <v>17.509886383095587</v>
      </c>
      <c r="W25" s="768">
        <f t="shared" si="3"/>
        <v>0</v>
      </c>
      <c r="X25" s="768"/>
      <c r="Y25" s="768">
        <f t="shared" si="4"/>
        <v>0</v>
      </c>
      <c r="Z25" s="768"/>
      <c r="AA25" s="768">
        <f t="shared" si="5"/>
        <v>0</v>
      </c>
      <c r="AB25" s="769"/>
      <c r="AC25" s="768">
        <f t="shared" si="6"/>
        <v>0</v>
      </c>
      <c r="AE25" s="764" t="s">
        <v>860</v>
      </c>
      <c r="AG25" s="770"/>
      <c r="AH25" s="882">
        <v>9.4E-2</v>
      </c>
      <c r="AJ25" s="767"/>
      <c r="AK25" s="768"/>
    </row>
    <row r="26" spans="2:37" x14ac:dyDescent="0.2">
      <c r="B26" s="764">
        <f t="shared" ca="1" si="0"/>
        <v>18</v>
      </c>
      <c r="D26" s="772" t="s">
        <v>900</v>
      </c>
      <c r="F26" s="764" t="str">
        <f>+INDEX('BGM-9 (2) Detailed Summary'!$10:$10&amp;" "&amp;'BGM-9 (2) Detailed Summary'!$11:$11,1,MATCH(D26,'BGM-9 (2) Detailed Summary'!$79:$79,0))</f>
        <v>EMPLOYEE  INSURANCE</v>
      </c>
      <c r="I26" s="768">
        <v>-23.850252119969372</v>
      </c>
      <c r="J26" s="768"/>
      <c r="K26" s="768">
        <v>0</v>
      </c>
      <c r="L26" s="768"/>
      <c r="M26" s="768">
        <f t="shared" si="1"/>
        <v>31.741888762118517</v>
      </c>
      <c r="P26" s="768">
        <f>+INDEX('BGM-9 (2) Detailed Summary'!$46:$46,1,MATCH($D26,'BGM-9 (2) Detailed Summary'!$79:$79,0))/1000</f>
        <v>-23.850252119969372</v>
      </c>
      <c r="Q26" s="768"/>
      <c r="R26" s="768">
        <f>+INDEX('BGM-9 (2) Detailed Summary'!$48:$48,1,MATCH($D26,'BGM-9 (2) Detailed Summary'!$79:$79,0))/1000</f>
        <v>0</v>
      </c>
      <c r="S26" s="768"/>
      <c r="T26" s="768">
        <f t="shared" si="2"/>
        <v>31.741888762118517</v>
      </c>
      <c r="W26" s="768">
        <f t="shared" si="3"/>
        <v>0</v>
      </c>
      <c r="X26" s="768"/>
      <c r="Y26" s="768">
        <f t="shared" si="4"/>
        <v>0</v>
      </c>
      <c r="Z26" s="768"/>
      <c r="AA26" s="768">
        <f t="shared" si="5"/>
        <v>0</v>
      </c>
      <c r="AB26" s="769"/>
      <c r="AC26" s="768">
        <f t="shared" si="6"/>
        <v>0</v>
      </c>
      <c r="AE26" s="764" t="s">
        <v>860</v>
      </c>
      <c r="AG26" s="770"/>
      <c r="AH26" s="764" t="s">
        <v>871</v>
      </c>
      <c r="AI26" s="764" t="s">
        <v>870</v>
      </c>
      <c r="AK26" s="764" t="s">
        <v>869</v>
      </c>
    </row>
    <row r="27" spans="2:37" x14ac:dyDescent="0.2">
      <c r="B27" s="764">
        <f t="shared" ca="1" si="0"/>
        <v>19</v>
      </c>
      <c r="D27" s="772" t="s">
        <v>901</v>
      </c>
      <c r="F27" s="764" t="str">
        <f>+INDEX('BGM-9 (2) Detailed Summary'!$10:$10&amp;" "&amp;'BGM-9 (2) Detailed Summary'!$11:$11,1,MATCH(D27,'BGM-9 (2) Detailed Summary'!$79:$79,0))</f>
        <v>AMA TO EOP RATE BASE</v>
      </c>
      <c r="I27" s="768">
        <v>0</v>
      </c>
      <c r="J27" s="768"/>
      <c r="K27" s="768">
        <v>182606.83772800947</v>
      </c>
      <c r="L27" s="768"/>
      <c r="M27" s="768">
        <f t="shared" si="1"/>
        <v>18057.001765004847</v>
      </c>
      <c r="P27" s="768">
        <f>+INDEX('BGM-9 (2) Detailed Summary'!$46:$46,1,MATCH($D27,'BGM-9 (2) Detailed Summary'!$79:$79,0))/1000</f>
        <v>0</v>
      </c>
      <c r="Q27" s="768"/>
      <c r="R27" s="768">
        <f>+INDEX('BGM-9 (2) Detailed Summary'!$48:$48,1,MATCH($D27,'BGM-9 (2) Detailed Summary'!$79:$79,0))/1000</f>
        <v>182606.83772800947</v>
      </c>
      <c r="S27" s="768"/>
      <c r="T27" s="768">
        <f t="shared" si="2"/>
        <v>18057.001765004847</v>
      </c>
      <c r="W27" s="768">
        <f t="shared" si="3"/>
        <v>0</v>
      </c>
      <c r="X27" s="768"/>
      <c r="Y27" s="768">
        <f t="shared" si="4"/>
        <v>0</v>
      </c>
      <c r="Z27" s="768"/>
      <c r="AA27" s="768">
        <f t="shared" si="5"/>
        <v>0</v>
      </c>
      <c r="AB27" s="769"/>
      <c r="AC27" s="768">
        <f t="shared" si="6"/>
        <v>0</v>
      </c>
      <c r="AE27" s="764" t="s">
        <v>860</v>
      </c>
      <c r="AG27" s="770"/>
      <c r="AH27" s="779" t="s">
        <v>867</v>
      </c>
      <c r="AI27" s="779" t="s">
        <v>866</v>
      </c>
      <c r="AJ27" s="779" t="s">
        <v>865</v>
      </c>
      <c r="AK27" s="779" t="s">
        <v>865</v>
      </c>
    </row>
    <row r="28" spans="2:37" x14ac:dyDescent="0.2">
      <c r="B28" s="764">
        <f t="shared" ca="1" si="0"/>
        <v>20</v>
      </c>
      <c r="D28" s="772" t="s">
        <v>902</v>
      </c>
      <c r="F28" s="764" t="str">
        <f>+INDEX('BGM-9 (2) Detailed Summary'!$10:$10&amp;" "&amp;'BGM-9 (2) Detailed Summary'!$11:$11,1,MATCH(D28,'BGM-9 (2) Detailed Summary'!$79:$79,0))</f>
        <v>AMA TO EOP DEPRECIATION</v>
      </c>
      <c r="I28" s="768">
        <v>-16904.953479322143</v>
      </c>
      <c r="J28" s="768"/>
      <c r="K28" s="768">
        <v>-16904.953479322143</v>
      </c>
      <c r="L28" s="768"/>
      <c r="M28" s="768">
        <f t="shared" si="1"/>
        <v>20826.871368597964</v>
      </c>
      <c r="P28" s="768">
        <f>+INDEX('BGM-9 (2) Detailed Summary'!$46:$46,1,MATCH($D28,'BGM-9 (2) Detailed Summary'!$79:$79,0))/1000</f>
        <v>-16904.953479322143</v>
      </c>
      <c r="Q28" s="768"/>
      <c r="R28" s="768">
        <f>+INDEX('BGM-9 (2) Detailed Summary'!$48:$48,1,MATCH($D28,'BGM-9 (2) Detailed Summary'!$79:$79,0))/1000</f>
        <v>-16904.953479322143</v>
      </c>
      <c r="S28" s="768"/>
      <c r="T28" s="768">
        <f t="shared" si="2"/>
        <v>20826.871368597964</v>
      </c>
      <c r="W28" s="768">
        <f t="shared" si="3"/>
        <v>0</v>
      </c>
      <c r="X28" s="768"/>
      <c r="Y28" s="768">
        <f t="shared" si="4"/>
        <v>0</v>
      </c>
      <c r="Z28" s="768"/>
      <c r="AA28" s="768">
        <f t="shared" si="5"/>
        <v>0</v>
      </c>
      <c r="AB28" s="769"/>
      <c r="AC28" s="768">
        <f t="shared" si="6"/>
        <v>0</v>
      </c>
      <c r="AE28" s="764" t="s">
        <v>860</v>
      </c>
      <c r="AG28" s="770"/>
      <c r="AH28" s="764" t="s">
        <v>864</v>
      </c>
      <c r="AI28" s="764">
        <v>0.51500000000000001</v>
      </c>
      <c r="AJ28" s="775">
        <v>5.5728155339805824E-2</v>
      </c>
      <c r="AK28" s="776">
        <f>ROUND(AI28*AJ28,4)</f>
        <v>2.87E-2</v>
      </c>
    </row>
    <row r="29" spans="2:37" x14ac:dyDescent="0.2">
      <c r="B29" s="764">
        <f t="shared" ca="1" si="0"/>
        <v>21</v>
      </c>
      <c r="D29" s="772" t="s">
        <v>903</v>
      </c>
      <c r="F29" s="764" t="str">
        <f>+INDEX('BGM-9 (2) Detailed Summary'!$10:$10&amp;" "&amp;'BGM-9 (2) Detailed Summary'!$11:$11,1,MATCH(D29,'BGM-9 (2) Detailed Summary'!$79:$79,0))</f>
        <v>ANNUALIZE RENT EXP</v>
      </c>
      <c r="I29" s="768">
        <v>340.89294246068329</v>
      </c>
      <c r="J29" s="768"/>
      <c r="K29" s="768">
        <v>0</v>
      </c>
      <c r="L29" s="768"/>
      <c r="M29" s="768">
        <f t="shared" si="1"/>
        <v>-453.68853146497355</v>
      </c>
      <c r="P29" s="768">
        <f>+INDEX('BGM-9 (2) Detailed Summary'!$46:$46,1,MATCH($D29,'BGM-9 (2) Detailed Summary'!$79:$79,0))/1000</f>
        <v>340.89294246068329</v>
      </c>
      <c r="Q29" s="768"/>
      <c r="R29" s="768">
        <f>+INDEX('BGM-9 (2) Detailed Summary'!$48:$48,1,MATCH($D29,'BGM-9 (2) Detailed Summary'!$79:$79,0))/1000</f>
        <v>0</v>
      </c>
      <c r="S29" s="768"/>
      <c r="T29" s="768">
        <f t="shared" si="2"/>
        <v>-453.68853146497355</v>
      </c>
      <c r="W29" s="768">
        <f t="shared" si="3"/>
        <v>0</v>
      </c>
      <c r="X29" s="768"/>
      <c r="Y29" s="768">
        <f t="shared" si="4"/>
        <v>0</v>
      </c>
      <c r="Z29" s="768"/>
      <c r="AA29" s="768">
        <f t="shared" si="5"/>
        <v>0</v>
      </c>
      <c r="AB29" s="769"/>
      <c r="AC29" s="768">
        <f t="shared" si="6"/>
        <v>0</v>
      </c>
      <c r="AE29" s="764" t="s">
        <v>860</v>
      </c>
      <c r="AG29" s="770"/>
      <c r="AH29" s="764" t="s">
        <v>863</v>
      </c>
      <c r="AI29" s="764">
        <v>0.48499999999999999</v>
      </c>
      <c r="AJ29" s="775">
        <v>9.4E-2</v>
      </c>
      <c r="AK29" s="778">
        <f>ROUND(AI29*AJ29,4)</f>
        <v>4.5600000000000002E-2</v>
      </c>
    </row>
    <row r="30" spans="2:37" x14ac:dyDescent="0.2">
      <c r="B30" s="764">
        <f t="shared" ca="1" si="0"/>
        <v>22</v>
      </c>
      <c r="C30" s="771"/>
      <c r="D30" s="772" t="s">
        <v>904</v>
      </c>
      <c r="E30" s="771"/>
      <c r="F30" s="764" t="str">
        <f>+INDEX('BGM-9 (2) Detailed Summary'!$10:$10&amp;" "&amp;'BGM-9 (2) Detailed Summary'!$11:$11,1,MATCH(D30,'BGM-9 (2) Detailed Summary'!$79:$79,0))</f>
        <v>POWER COSTS</v>
      </c>
      <c r="I30" s="768">
        <v>-7589.5601894254951</v>
      </c>
      <c r="J30" s="768"/>
      <c r="K30" s="768">
        <v>0</v>
      </c>
      <c r="L30" s="768"/>
      <c r="M30" s="768">
        <f t="shared" si="1"/>
        <v>10100.814619248418</v>
      </c>
      <c r="P30" s="768">
        <f>+INDEX('BGM-9 (2) Detailed Summary'!$46:$46,1,MATCH($D30,'BGM-9 (2) Detailed Summary'!$79:$79,0))/1000</f>
        <v>-7589.5601894254951</v>
      </c>
      <c r="Q30" s="768"/>
      <c r="R30" s="768">
        <f>+INDEX('BGM-9 (2) Detailed Summary'!$48:$48,1,MATCH($D30,'BGM-9 (2) Detailed Summary'!$79:$79,0))/1000</f>
        <v>0</v>
      </c>
      <c r="S30" s="768"/>
      <c r="T30" s="768">
        <f t="shared" si="2"/>
        <v>10100.814619248418</v>
      </c>
      <c r="W30" s="768">
        <f t="shared" si="3"/>
        <v>0</v>
      </c>
      <c r="X30" s="768"/>
      <c r="Y30" s="768">
        <f t="shared" si="4"/>
        <v>0</v>
      </c>
      <c r="Z30" s="768"/>
      <c r="AA30" s="768">
        <f t="shared" si="5"/>
        <v>0</v>
      </c>
      <c r="AB30" s="769"/>
      <c r="AC30" s="768">
        <f t="shared" si="6"/>
        <v>0</v>
      </c>
      <c r="AE30" s="764" t="s">
        <v>860</v>
      </c>
      <c r="AG30" s="770"/>
      <c r="AH30" s="764" t="s">
        <v>418</v>
      </c>
      <c r="AI30" s="777">
        <f>SUM(AI28:AI29)</f>
        <v>1</v>
      </c>
      <c r="AK30" s="776">
        <f>+ROUND(SUM(AK28:AK29),4)</f>
        <v>7.4300000000000005E-2</v>
      </c>
    </row>
    <row r="31" spans="2:37" x14ac:dyDescent="0.2">
      <c r="B31" s="764">
        <f t="shared" ref="B31:B38" ca="1" si="7">+MAX(OFFSET($B$7,0,0,ROW($B31)-ROW($B$7),1))+1</f>
        <v>23</v>
      </c>
      <c r="C31" s="771"/>
      <c r="D31" s="772" t="s">
        <v>905</v>
      </c>
      <c r="E31" s="771"/>
      <c r="F31" s="764" t="str">
        <f>+INDEX('BGM-9 (2) Detailed Summary'!$10:$10&amp;" "&amp;'BGM-9 (2) Detailed Summary'!$11:$11,1,MATCH(D31,'BGM-9 (2) Detailed Summary'!$79:$79,0))</f>
        <v>MONTANA TAX</v>
      </c>
      <c r="I31" s="768">
        <v>-68.620043849999959</v>
      </c>
      <c r="J31" s="768"/>
      <c r="K31" s="768">
        <v>0</v>
      </c>
      <c r="L31" s="768"/>
      <c r="M31" s="768">
        <f t="shared" si="1"/>
        <v>91.325231606867831</v>
      </c>
      <c r="P31" s="768">
        <f>+INDEX('BGM-9 (2) Detailed Summary'!$46:$46,1,MATCH($D31,'BGM-9 (2) Detailed Summary'!$79:$79,0))/1000</f>
        <v>-68.620043849999959</v>
      </c>
      <c r="Q31" s="768"/>
      <c r="R31" s="768">
        <f>+INDEX('BGM-9 (2) Detailed Summary'!$48:$48,1,MATCH($D31,'BGM-9 (2) Detailed Summary'!$79:$79,0))/1000</f>
        <v>0</v>
      </c>
      <c r="S31" s="768"/>
      <c r="T31" s="768">
        <f t="shared" si="2"/>
        <v>91.325231606867831</v>
      </c>
      <c r="W31" s="768">
        <f t="shared" si="3"/>
        <v>0</v>
      </c>
      <c r="X31" s="768"/>
      <c r="Y31" s="768">
        <f t="shared" si="4"/>
        <v>0</v>
      </c>
      <c r="Z31" s="768"/>
      <c r="AA31" s="768">
        <f t="shared" si="5"/>
        <v>0</v>
      </c>
      <c r="AB31" s="769"/>
      <c r="AC31" s="768">
        <f t="shared" si="6"/>
        <v>0</v>
      </c>
      <c r="AE31" s="764" t="s">
        <v>860</v>
      </c>
      <c r="AG31" s="770"/>
    </row>
    <row r="32" spans="2:37" x14ac:dyDescent="0.2">
      <c r="B32" s="764">
        <f t="shared" ca="1" si="7"/>
        <v>24</v>
      </c>
      <c r="C32" s="771"/>
      <c r="D32" s="772" t="s">
        <v>906</v>
      </c>
      <c r="E32" s="771"/>
      <c r="F32" s="764" t="str">
        <f>+INDEX('BGM-9 (2) Detailed Summary'!$10:$10&amp;" "&amp;'BGM-9 (2) Detailed Summary'!$11:$11,1,MATCH(D32,'BGM-9 (2) Detailed Summary'!$79:$79,0))</f>
        <v>WILD HORSE SOLAR</v>
      </c>
      <c r="I32" s="768">
        <v>167.53056000000001</v>
      </c>
      <c r="J32" s="768"/>
      <c r="K32" s="768">
        <v>-1615.3714300000001</v>
      </c>
      <c r="L32" s="768"/>
      <c r="M32" s="768">
        <f t="shared" si="1"/>
        <v>-382.69886681856485</v>
      </c>
      <c r="P32" s="768">
        <f>+INDEX('BGM-9 (2) Detailed Summary'!$46:$46,1,MATCH($D32,'BGM-9 (2) Detailed Summary'!$79:$79,0))/1000</f>
        <v>167.53056000000001</v>
      </c>
      <c r="Q32" s="768"/>
      <c r="R32" s="768">
        <f>+INDEX('BGM-9 (2) Detailed Summary'!$48:$48,1,MATCH($D32,'BGM-9 (2) Detailed Summary'!$79:$79,0))/1000</f>
        <v>-1615.3714300000001</v>
      </c>
      <c r="S32" s="768"/>
      <c r="T32" s="768">
        <f t="shared" si="2"/>
        <v>-382.69886681856485</v>
      </c>
      <c r="W32" s="768">
        <f t="shared" si="3"/>
        <v>0</v>
      </c>
      <c r="X32" s="768"/>
      <c r="Y32" s="768">
        <f t="shared" si="4"/>
        <v>0</v>
      </c>
      <c r="Z32" s="768"/>
      <c r="AA32" s="768">
        <f t="shared" si="5"/>
        <v>0</v>
      </c>
      <c r="AB32" s="769"/>
      <c r="AC32" s="768">
        <f t="shared" si="6"/>
        <v>0</v>
      </c>
      <c r="AE32" s="764" t="s">
        <v>860</v>
      </c>
      <c r="AG32" s="770"/>
    </row>
    <row r="33" spans="2:37" x14ac:dyDescent="0.2">
      <c r="B33" s="764">
        <f t="shared" ca="1" si="7"/>
        <v>25</v>
      </c>
      <c r="D33" s="772" t="s">
        <v>907</v>
      </c>
      <c r="F33" s="764" t="str">
        <f>+INDEX('BGM-9 (2) Detailed Summary'!$10:$10&amp;" "&amp;'BGM-9 (2) Detailed Summary'!$11:$11,1,MATCH(D33,'BGM-9 (2) Detailed Summary'!$79:$79,0))</f>
        <v>ASC 815</v>
      </c>
      <c r="I33" s="768">
        <v>-32912.585679399999</v>
      </c>
      <c r="J33" s="768"/>
      <c r="K33" s="768">
        <v>0</v>
      </c>
      <c r="L33" s="768"/>
      <c r="M33" s="768">
        <f t="shared" si="1"/>
        <v>43802.792031472716</v>
      </c>
      <c r="P33" s="768">
        <f>+INDEX('BGM-9 (2) Detailed Summary'!$46:$46,1,MATCH($D33,'BGM-9 (2) Detailed Summary'!$79:$79,0))/1000</f>
        <v>-32912.585679399999</v>
      </c>
      <c r="Q33" s="768"/>
      <c r="R33" s="768">
        <f>+INDEX('BGM-9 (2) Detailed Summary'!$48:$48,1,MATCH($D33,'BGM-9 (2) Detailed Summary'!$79:$79,0))/1000</f>
        <v>0</v>
      </c>
      <c r="S33" s="768"/>
      <c r="T33" s="768">
        <f t="shared" si="2"/>
        <v>43802.792031472716</v>
      </c>
      <c r="W33" s="768">
        <f t="shared" si="3"/>
        <v>0</v>
      </c>
      <c r="X33" s="768"/>
      <c r="Y33" s="768">
        <f t="shared" si="4"/>
        <v>0</v>
      </c>
      <c r="Z33" s="768"/>
      <c r="AA33" s="768">
        <f t="shared" si="5"/>
        <v>0</v>
      </c>
      <c r="AB33" s="769"/>
      <c r="AC33" s="768">
        <f t="shared" si="6"/>
        <v>0</v>
      </c>
      <c r="AE33" s="764" t="s">
        <v>860</v>
      </c>
      <c r="AG33" s="770"/>
      <c r="AH33" s="905"/>
      <c r="AI33" s="897"/>
      <c r="AJ33" s="897"/>
      <c r="AK33" s="897"/>
    </row>
    <row r="34" spans="2:37" ht="13.5" x14ac:dyDescent="0.25">
      <c r="B34" s="764">
        <f t="shared" ca="1" si="7"/>
        <v>26</v>
      </c>
      <c r="D34" s="772" t="s">
        <v>908</v>
      </c>
      <c r="F34" s="764" t="str">
        <f>+INDEX('BGM-9 (2) Detailed Summary'!$10:$10&amp;" "&amp;'BGM-9 (2) Detailed Summary'!$11:$11,1,MATCH(D34,'BGM-9 (2) Detailed Summary'!$79:$79,0))</f>
        <v>STORM  DAMAGE</v>
      </c>
      <c r="I34" s="768">
        <v>-11.000847433333901</v>
      </c>
      <c r="J34" s="768"/>
      <c r="K34" s="768">
        <v>0</v>
      </c>
      <c r="L34" s="768"/>
      <c r="M34" s="768">
        <f t="shared" si="1"/>
        <v>14.640837914897903</v>
      </c>
      <c r="P34" s="768">
        <f>+INDEX('BGM-9 (2) Detailed Summary'!$46:$46,1,MATCH($D34,'BGM-9 (2) Detailed Summary'!$79:$79,0))/1000</f>
        <v>-11.000847433333901</v>
      </c>
      <c r="Q34" s="768"/>
      <c r="R34" s="768">
        <f>+INDEX('BGM-9 (2) Detailed Summary'!$48:$48,1,MATCH($D34,'BGM-9 (2) Detailed Summary'!$79:$79,0))/1000</f>
        <v>0</v>
      </c>
      <c r="S34" s="768"/>
      <c r="T34" s="768">
        <f t="shared" si="2"/>
        <v>14.640837914897903</v>
      </c>
      <c r="W34" s="768">
        <f t="shared" si="3"/>
        <v>0</v>
      </c>
      <c r="X34" s="768"/>
      <c r="Y34" s="768">
        <f t="shared" si="4"/>
        <v>0</v>
      </c>
      <c r="Z34" s="768"/>
      <c r="AA34" s="768">
        <f t="shared" si="5"/>
        <v>0</v>
      </c>
      <c r="AB34" s="769"/>
      <c r="AC34" s="768">
        <f t="shared" si="6"/>
        <v>0</v>
      </c>
      <c r="AE34" s="876" t="s">
        <v>860</v>
      </c>
      <c r="AG34" s="770"/>
      <c r="AH34" s="898">
        <v>9.8000000000000004E-2</v>
      </c>
      <c r="AI34" s="891"/>
      <c r="AJ34" s="899"/>
      <c r="AK34" s="892"/>
    </row>
    <row r="35" spans="2:37" x14ac:dyDescent="0.2">
      <c r="B35" s="764">
        <f t="shared" ca="1" si="7"/>
        <v>27</v>
      </c>
      <c r="D35" s="772" t="s">
        <v>909</v>
      </c>
      <c r="F35" s="764" t="str">
        <f>+INDEX('BGM-9 (2) Detailed Summary'!$10:$10&amp;" "&amp;'BGM-9 (2) Detailed Summary'!$11:$11,1,MATCH(D35,'BGM-9 (2) Detailed Summary'!$79:$79,0))</f>
        <v>COLSTRIP DEPRECIATION</v>
      </c>
      <c r="I35" s="768">
        <v>1668.4264785019332</v>
      </c>
      <c r="J35" s="768"/>
      <c r="K35" s="768">
        <v>-11018.406688827798</v>
      </c>
      <c r="L35" s="768"/>
      <c r="M35" s="768">
        <f t="shared" si="1"/>
        <v>-3310.0305909809258</v>
      </c>
      <c r="P35" s="768">
        <f>+INDEX('BGM-9 (2) Detailed Summary'!$46:$46,1,MATCH($D35,'BGM-9 (2) Detailed Summary'!$79:$79,0))/1000</f>
        <v>19584.19621567598</v>
      </c>
      <c r="Q35" s="768"/>
      <c r="R35" s="768">
        <f>+INDEX('BGM-9 (2) Detailed Summary'!$48:$48,1,MATCH($D35,'BGM-9 (2) Detailed Summary'!$79:$79,0))/1000</f>
        <v>-118419.10882745513</v>
      </c>
      <c r="S35" s="768"/>
      <c r="T35" s="768">
        <f t="shared" si="2"/>
        <v>-37774.093304935705</v>
      </c>
      <c r="W35" s="768">
        <f t="shared" si="3"/>
        <v>22678.189540726642</v>
      </c>
      <c r="X35" s="768"/>
      <c r="Y35" s="768">
        <f t="shared" si="4"/>
        <v>17915.769737174047</v>
      </c>
      <c r="Z35" s="768"/>
      <c r="AA35" s="768">
        <f t="shared" si="5"/>
        <v>-107400.70213862733</v>
      </c>
      <c r="AB35" s="769"/>
      <c r="AC35" s="768">
        <f t="shared" si="6"/>
        <v>-34464.06271395478</v>
      </c>
      <c r="AE35" s="891" t="s">
        <v>1011</v>
      </c>
      <c r="AG35" s="770"/>
      <c r="AH35" s="891" t="s">
        <v>871</v>
      </c>
      <c r="AI35" s="891" t="s">
        <v>870</v>
      </c>
      <c r="AJ35" s="891"/>
      <c r="AK35" s="891" t="s">
        <v>869</v>
      </c>
    </row>
    <row r="36" spans="2:37" x14ac:dyDescent="0.2">
      <c r="B36" s="764">
        <f t="shared" ca="1" si="7"/>
        <v>28</v>
      </c>
      <c r="D36" s="772" t="s">
        <v>967</v>
      </c>
      <c r="F36" s="764" t="s">
        <v>976</v>
      </c>
      <c r="I36" s="768">
        <v>0</v>
      </c>
      <c r="J36" s="768"/>
      <c r="K36" s="768">
        <v>0</v>
      </c>
      <c r="L36" s="768"/>
      <c r="M36" s="768">
        <f t="shared" si="1"/>
        <v>0</v>
      </c>
      <c r="P36" s="768">
        <f>+INDEX('BGM-9 (2) Detailed Summary'!$46:$46,1,MATCH($D36,'BGM-9 (2) Detailed Summary'!$79:$79,0))/1000</f>
        <v>431.82468063823194</v>
      </c>
      <c r="Q36" s="768"/>
      <c r="R36" s="768">
        <f>+INDEX('BGM-9 (2) Detailed Summary'!$48:$48,1,MATCH($D36,'BGM-9 (2) Detailed Summary'!$79:$79,0))/1000</f>
        <v>-5272.4007298989873</v>
      </c>
      <c r="S36" s="768"/>
      <c r="T36" s="768">
        <f t="shared" si="2"/>
        <v>-1096.0671814561811</v>
      </c>
      <c r="W36" s="768">
        <f t="shared" ref="W36:W38" si="8">+Y36/(1-$AI$5)</f>
        <v>546.61351979523033</v>
      </c>
      <c r="X36" s="768"/>
      <c r="Y36" s="768">
        <f t="shared" ref="Y36:Y38" si="9">+P36-I36</f>
        <v>431.82468063823194</v>
      </c>
      <c r="Z36" s="768"/>
      <c r="AA36" s="768">
        <f t="shared" ref="AA36:AA38" si="10">+R36-K36</f>
        <v>-5272.4007298989873</v>
      </c>
      <c r="AB36" s="769"/>
      <c r="AC36" s="768">
        <f t="shared" ref="AC36:AC38" si="11">+T36-M36</f>
        <v>-1096.0671814561811</v>
      </c>
      <c r="AE36" s="764" t="s">
        <v>979</v>
      </c>
      <c r="AG36" s="770"/>
      <c r="AH36" s="900" t="s">
        <v>867</v>
      </c>
      <c r="AI36" s="900" t="s">
        <v>866</v>
      </c>
      <c r="AJ36" s="900" t="s">
        <v>865</v>
      </c>
      <c r="AK36" s="900" t="s">
        <v>865</v>
      </c>
    </row>
    <row r="37" spans="2:37" x14ac:dyDescent="0.2">
      <c r="B37" s="764">
        <f t="shared" ca="1" si="7"/>
        <v>29</v>
      </c>
      <c r="D37" s="772" t="s">
        <v>968</v>
      </c>
      <c r="F37" s="764" t="s">
        <v>977</v>
      </c>
      <c r="I37" s="768">
        <v>0</v>
      </c>
      <c r="J37" s="768"/>
      <c r="K37" s="768">
        <v>0</v>
      </c>
      <c r="L37" s="768"/>
      <c r="M37" s="768">
        <f t="shared" si="1"/>
        <v>0</v>
      </c>
      <c r="P37" s="768">
        <f>+INDEX('BGM-9 (2) Detailed Summary'!$46:$46,1,MATCH($D37,'BGM-9 (2) Detailed Summary'!$79:$79,0))/1000</f>
        <v>0</v>
      </c>
      <c r="Q37" s="768"/>
      <c r="R37" s="768">
        <f>+INDEX('BGM-9 (2) Detailed Summary'!$48:$48,1,MATCH($D37,'BGM-9 (2) Detailed Summary'!$79:$79,0))/1000</f>
        <v>-326.274</v>
      </c>
      <c r="S37" s="768"/>
      <c r="T37" s="768">
        <f t="shared" si="2"/>
        <v>-32.263469797612665</v>
      </c>
      <c r="W37" s="768">
        <f t="shared" si="8"/>
        <v>0</v>
      </c>
      <c r="X37" s="768"/>
      <c r="Y37" s="768">
        <f t="shared" si="9"/>
        <v>0</v>
      </c>
      <c r="Z37" s="768"/>
      <c r="AA37" s="768">
        <f t="shared" si="10"/>
        <v>-326.274</v>
      </c>
      <c r="AB37" s="769"/>
      <c r="AC37" s="768">
        <f t="shared" si="11"/>
        <v>-32.263469797612665</v>
      </c>
      <c r="AE37" s="764" t="s">
        <v>979</v>
      </c>
      <c r="AG37" s="770"/>
      <c r="AH37" s="891" t="s">
        <v>864</v>
      </c>
      <c r="AI37" s="891">
        <v>0.51500000000000001</v>
      </c>
      <c r="AJ37" s="901">
        <v>5.5728155339805824E-2</v>
      </c>
      <c r="AK37" s="902">
        <f>ROUND(AI37*AJ37,4)</f>
        <v>2.87E-2</v>
      </c>
    </row>
    <row r="38" spans="2:37" x14ac:dyDescent="0.2">
      <c r="B38" s="764">
        <f t="shared" ca="1" si="7"/>
        <v>30</v>
      </c>
      <c r="D38" s="772" t="s">
        <v>969</v>
      </c>
      <c r="F38" s="764" t="s">
        <v>978</v>
      </c>
      <c r="I38" s="768">
        <v>0</v>
      </c>
      <c r="J38" s="768"/>
      <c r="K38" s="768">
        <v>0</v>
      </c>
      <c r="L38" s="768"/>
      <c r="M38" s="768">
        <f t="shared" si="1"/>
        <v>0</v>
      </c>
      <c r="P38" s="768">
        <f>+INDEX('BGM-9 (2) Detailed Summary'!$46:$46,1,MATCH($D38,'BGM-9 (2) Detailed Summary'!$79:$79,0))/1000</f>
        <v>0</v>
      </c>
      <c r="Q38" s="768"/>
      <c r="R38" s="768">
        <f>+INDEX('BGM-9 (2) Detailed Summary'!$48:$48,1,MATCH($D38,'BGM-9 (2) Detailed Summary'!$79:$79,0))/1000</f>
        <v>0</v>
      </c>
      <c r="S38" s="768"/>
      <c r="T38" s="768">
        <f t="shared" si="2"/>
        <v>0</v>
      </c>
      <c r="W38" s="768">
        <f t="shared" si="8"/>
        <v>0</v>
      </c>
      <c r="X38" s="768"/>
      <c r="Y38" s="768">
        <f t="shared" si="9"/>
        <v>0</v>
      </c>
      <c r="Z38" s="768"/>
      <c r="AA38" s="768">
        <f t="shared" si="10"/>
        <v>0</v>
      </c>
      <c r="AB38" s="769"/>
      <c r="AC38" s="768">
        <f t="shared" si="11"/>
        <v>0</v>
      </c>
      <c r="AE38" s="764" t="s">
        <v>979</v>
      </c>
      <c r="AG38" s="770"/>
      <c r="AH38" s="891" t="s">
        <v>863</v>
      </c>
      <c r="AI38" s="891">
        <v>0.48499999999999999</v>
      </c>
      <c r="AJ38" s="901">
        <v>9.8000000000000004E-2</v>
      </c>
      <c r="AK38" s="903">
        <f>ROUND(AI38*AJ38,4)</f>
        <v>4.7500000000000001E-2</v>
      </c>
    </row>
    <row r="39" spans="2:37" x14ac:dyDescent="0.2">
      <c r="D39" s="772"/>
      <c r="I39" s="797"/>
      <c r="J39" s="773"/>
      <c r="K39" s="797"/>
      <c r="L39" s="773"/>
      <c r="M39" s="797"/>
      <c r="O39" s="771"/>
      <c r="P39" s="797"/>
      <c r="Q39" s="773"/>
      <c r="R39" s="797"/>
      <c r="S39" s="773"/>
      <c r="T39" s="797"/>
      <c r="W39" s="797"/>
      <c r="X39" s="764"/>
      <c r="Y39" s="797"/>
      <c r="Z39" s="773"/>
      <c r="AA39" s="797"/>
      <c r="AB39" s="773"/>
      <c r="AC39" s="798"/>
      <c r="AE39" s="764"/>
      <c r="AG39" s="770"/>
      <c r="AH39" s="891" t="s">
        <v>418</v>
      </c>
      <c r="AI39" s="904">
        <f>SUM(AI37:AI38)</f>
        <v>1</v>
      </c>
      <c r="AJ39" s="891"/>
      <c r="AK39" s="902">
        <f>+ROUND(SUM(AK37:AK38),4)</f>
        <v>7.6200000000000004E-2</v>
      </c>
    </row>
    <row r="40" spans="2:37" x14ac:dyDescent="0.2">
      <c r="B40" s="764">
        <f ca="1">+MAX(OFFSET($B$7,0,0,ROW($B40)-ROW($B$7),1))+1</f>
        <v>31</v>
      </c>
      <c r="D40" s="772"/>
      <c r="F40" s="771" t="s">
        <v>862</v>
      </c>
      <c r="I40" s="773">
        <f>+SUM(I$7:I$39)</f>
        <v>362161.72965165519</v>
      </c>
      <c r="J40" s="773"/>
      <c r="K40" s="773">
        <f>+SUM(K$7:K$39)</f>
        <v>5361846.6124348501</v>
      </c>
      <c r="L40" s="773"/>
      <c r="M40" s="773">
        <f>+($K40*$AK$12-$I40)/$AI$4</f>
        <v>48209.195670710615</v>
      </c>
      <c r="O40" s="771"/>
      <c r="P40" s="773">
        <f>+SUM(P$7:P$39)</f>
        <v>386771.4963599075</v>
      </c>
      <c r="Q40" s="773"/>
      <c r="R40" s="773">
        <f>+SUM(R$7:R$39)</f>
        <v>5281432.3055188218</v>
      </c>
      <c r="S40" s="773"/>
      <c r="T40" s="773">
        <f>+SUM(T$7:T$39)</f>
        <v>7504.7465136076671</v>
      </c>
      <c r="W40" s="773">
        <f>+SUM(W$7:W$39)</f>
        <v>31151.603428167593</v>
      </c>
      <c r="X40" s="773"/>
      <c r="Y40" s="773">
        <f>+SUM(Y$7:Y$39)</f>
        <v>24609.766708252399</v>
      </c>
      <c r="Z40" s="773"/>
      <c r="AA40" s="773">
        <f>+SUM(AA$7:AA$39)</f>
        <v>-80414.306916028305</v>
      </c>
      <c r="AB40" s="773"/>
      <c r="AC40" s="773">
        <f>+SUM(AC$7:AC$39)</f>
        <v>-40704.449157103118</v>
      </c>
      <c r="AE40" s="764"/>
      <c r="AG40" s="770"/>
    </row>
    <row r="41" spans="2:37" x14ac:dyDescent="0.2">
      <c r="D41" s="772"/>
      <c r="I41" s="768"/>
      <c r="J41" s="773"/>
      <c r="K41" s="768"/>
      <c r="L41" s="773"/>
      <c r="M41" s="768"/>
      <c r="P41" s="768"/>
      <c r="Q41" s="768"/>
      <c r="R41" s="768"/>
      <c r="S41" s="768"/>
      <c r="T41" s="768"/>
      <c r="W41" s="768"/>
      <c r="X41" s="768"/>
      <c r="Y41" s="768"/>
      <c r="Z41" s="768"/>
      <c r="AA41" s="768"/>
      <c r="AB41" s="769"/>
      <c r="AC41" s="768"/>
      <c r="AE41" s="764"/>
      <c r="AG41" s="770"/>
    </row>
    <row r="42" spans="2:37" x14ac:dyDescent="0.2">
      <c r="B42" s="774" t="s">
        <v>861</v>
      </c>
      <c r="D42" s="772"/>
      <c r="I42" s="768"/>
      <c r="J42" s="773"/>
      <c r="K42" s="768"/>
      <c r="L42" s="773"/>
      <c r="M42" s="768"/>
      <c r="P42" s="768"/>
      <c r="Q42" s="768"/>
      <c r="R42" s="768"/>
      <c r="S42" s="768"/>
      <c r="T42" s="768"/>
      <c r="W42" s="768"/>
      <c r="X42" s="768"/>
      <c r="Y42" s="768"/>
      <c r="Z42" s="768"/>
      <c r="AA42" s="768"/>
      <c r="AB42" s="769"/>
      <c r="AC42" s="768"/>
      <c r="AE42" s="764"/>
      <c r="AG42" s="770"/>
    </row>
    <row r="43" spans="2:37" x14ac:dyDescent="0.2">
      <c r="B43" s="764">
        <f t="shared" ref="B43:B51" ca="1" si="12">+MAX(OFFSET($B$7,0,0,ROW($B43)-ROW($B$7),1))+1</f>
        <v>32</v>
      </c>
      <c r="D43" s="772" t="s">
        <v>910</v>
      </c>
      <c r="F43" s="764" t="str">
        <f>+INDEX('BGM-9 (2) Detailed Summary'!$10:$10&amp;" "&amp;'BGM-9 (2) Detailed Summary'!$11:$11,1,MATCH(D43,'BGM-9 (2) Detailed Summary'!$79:$79,0))</f>
        <v>REVENUES &amp; EXPENSES</v>
      </c>
      <c r="I43" s="768">
        <v>-25687.973340135377</v>
      </c>
      <c r="J43" s="768"/>
      <c r="K43" s="768">
        <v>0</v>
      </c>
      <c r="L43" s="768"/>
      <c r="M43" s="768">
        <f t="shared" ref="M43:M70" si="13">+($K43*$AK$12-$I43)/$AI$4</f>
        <v>34187.680205029646</v>
      </c>
      <c r="P43" s="768">
        <f>+INDEX('BGM-9 (2) Detailed Summary'!$46:$46,1,MATCH($D43,'BGM-9 (2) Detailed Summary'!$79:$79,0))/1000</f>
        <v>-25679.089012964978</v>
      </c>
      <c r="Q43" s="768"/>
      <c r="R43" s="768">
        <f>+INDEX('BGM-9 (2) Detailed Summary'!$48:$48,1,MATCH($D43,'BGM-9 (2) Detailed Summary'!$79:$79,0))/1000</f>
        <v>0</v>
      </c>
      <c r="S43" s="768"/>
      <c r="T43" s="768">
        <f t="shared" ref="T43:T70" si="14">+($R43*$AK$12-$P43)/$AI$4</f>
        <v>34175.856207390098</v>
      </c>
      <c r="W43" s="768">
        <f t="shared" ref="W43:W68" si="15">+Y43/(1-$AI$5)</f>
        <v>11.245983759998794</v>
      </c>
      <c r="X43" s="768"/>
      <c r="Y43" s="768">
        <f t="shared" ref="Y43:Y69" si="16">+P43-I43</f>
        <v>8.8843271703990467</v>
      </c>
      <c r="Z43" s="768"/>
      <c r="AA43" s="768">
        <f t="shared" ref="AA43:AA68" si="17">+R43-K43</f>
        <v>0</v>
      </c>
      <c r="AB43" s="769"/>
      <c r="AC43" s="768">
        <f t="shared" ref="AC43:AC68" si="18">+T43-M43</f>
        <v>-11.823997639548907</v>
      </c>
      <c r="AE43" s="764" t="s">
        <v>979</v>
      </c>
      <c r="AG43" s="770"/>
    </row>
    <row r="44" spans="2:37" x14ac:dyDescent="0.2">
      <c r="B44" s="764">
        <f t="shared" ca="1" si="12"/>
        <v>33</v>
      </c>
      <c r="D44" s="772" t="s">
        <v>911</v>
      </c>
      <c r="F44" s="764" t="str">
        <f>+INDEX('BGM-9 (2) Detailed Summary'!$10:$10&amp;" "&amp;'BGM-9 (2) Detailed Summary'!$11:$11,1,MATCH(D44,'BGM-9 (2) Detailed Summary'!$79:$79,0))</f>
        <v>TEMPERATURE NORMALIZATION</v>
      </c>
      <c r="I44" s="768">
        <v>6844.2875880840775</v>
      </c>
      <c r="J44" s="768"/>
      <c r="K44" s="768">
        <v>0</v>
      </c>
      <c r="L44" s="768"/>
      <c r="M44" s="768">
        <f t="shared" si="13"/>
        <v>-9108.9441815591254</v>
      </c>
      <c r="P44" s="768">
        <f>+INDEX('BGM-9 (2) Detailed Summary'!$46:$46,1,MATCH($D44,'BGM-9 (2) Detailed Summary'!$79:$79,0))/1000</f>
        <v>6844.2875880840775</v>
      </c>
      <c r="Q44" s="768"/>
      <c r="R44" s="768">
        <f>+INDEX('BGM-9 (2) Detailed Summary'!$48:$48,1,MATCH($D44,'BGM-9 (2) Detailed Summary'!$79:$79,0))/1000</f>
        <v>0</v>
      </c>
      <c r="S44" s="768"/>
      <c r="T44" s="768">
        <f t="shared" si="14"/>
        <v>-9108.9441815591254</v>
      </c>
      <c r="W44" s="768">
        <f t="shared" si="15"/>
        <v>0</v>
      </c>
      <c r="X44" s="768"/>
      <c r="Y44" s="768">
        <f t="shared" si="16"/>
        <v>0</v>
      </c>
      <c r="Z44" s="768"/>
      <c r="AA44" s="768">
        <f t="shared" si="17"/>
        <v>0</v>
      </c>
      <c r="AB44" s="769"/>
      <c r="AC44" s="768">
        <f t="shared" si="18"/>
        <v>0</v>
      </c>
      <c r="AE44" s="764" t="s">
        <v>860</v>
      </c>
      <c r="AG44" s="770"/>
    </row>
    <row r="45" spans="2:37" x14ac:dyDescent="0.2">
      <c r="B45" s="764">
        <f t="shared" ca="1" si="12"/>
        <v>34</v>
      </c>
      <c r="D45" s="772" t="s">
        <v>912</v>
      </c>
      <c r="F45" s="764" t="str">
        <f>+INDEX('BGM-9 (2) Detailed Summary'!$10:$10&amp;" "&amp;'BGM-9 (2) Detailed Summary'!$11:$11,1,MATCH(D45,'BGM-9 (2) Detailed Summary'!$79:$79,0))</f>
        <v>TAX BENEFIT OF INTEREST</v>
      </c>
      <c r="I45" s="768">
        <v>-387.21475799517094</v>
      </c>
      <c r="J45" s="768"/>
      <c r="K45" s="768">
        <v>0</v>
      </c>
      <c r="L45" s="768"/>
      <c r="M45" s="768">
        <f t="shared" si="13"/>
        <v>515.33743599474963</v>
      </c>
      <c r="P45" s="768">
        <f>+INDEX('BGM-9 (2) Detailed Summary'!$46:$46,1,MATCH($D45,'BGM-9 (2) Detailed Summary'!$79:$79,0))/1000</f>
        <v>-963.20831677365209</v>
      </c>
      <c r="Q45" s="768"/>
      <c r="R45" s="768">
        <f>+INDEX('BGM-9 (2) Detailed Summary'!$48:$48,1,MATCH($D45,'BGM-9 (2) Detailed Summary'!$79:$79,0))/1000</f>
        <v>0</v>
      </c>
      <c r="S45" s="768"/>
      <c r="T45" s="768">
        <f t="shared" si="14"/>
        <v>1281.917318608871</v>
      </c>
      <c r="W45" s="768">
        <f t="shared" si="15"/>
        <v>-729.10577060567232</v>
      </c>
      <c r="X45" s="768"/>
      <c r="Y45" s="768">
        <f t="shared" si="16"/>
        <v>-575.9935587784812</v>
      </c>
      <c r="Z45" s="768"/>
      <c r="AA45" s="768">
        <f t="shared" si="17"/>
        <v>0</v>
      </c>
      <c r="AB45" s="769"/>
      <c r="AC45" s="768">
        <f t="shared" si="18"/>
        <v>766.5798826141214</v>
      </c>
      <c r="AE45" s="764" t="s">
        <v>860</v>
      </c>
      <c r="AG45" s="770"/>
    </row>
    <row r="46" spans="2:37" x14ac:dyDescent="0.2">
      <c r="B46" s="764">
        <f t="shared" ca="1" si="12"/>
        <v>35</v>
      </c>
      <c r="D46" s="772" t="s">
        <v>913</v>
      </c>
      <c r="F46" s="764" t="str">
        <f>+INDEX('BGM-9 (2) Detailed Summary'!$10:$10&amp;" "&amp;'BGM-9 (2) Detailed Summary'!$11:$11,1,MATCH(D46,'BGM-9 (2) Detailed Summary'!$79:$79,0))</f>
        <v>EXCISE TAX  &amp; FILING FEE</v>
      </c>
      <c r="I46" s="768">
        <v>-71.834764841627035</v>
      </c>
      <c r="J46" s="768"/>
      <c r="K46" s="768">
        <v>0</v>
      </c>
      <c r="L46" s="768"/>
      <c r="M46" s="768">
        <f t="shared" si="13"/>
        <v>95.603648271152764</v>
      </c>
      <c r="P46" s="768">
        <f>+INDEX('BGM-9 (2) Detailed Summary'!$46:$46,1,MATCH($D46,'BGM-9 (2) Detailed Summary'!$79:$79,0))/1000</f>
        <v>-71.834764841627035</v>
      </c>
      <c r="Q46" s="768"/>
      <c r="R46" s="768">
        <f>+INDEX('BGM-9 (2) Detailed Summary'!$48:$48,1,MATCH($D46,'BGM-9 (2) Detailed Summary'!$79:$79,0))/1000</f>
        <v>0</v>
      </c>
      <c r="S46" s="768"/>
      <c r="T46" s="768">
        <f t="shared" si="14"/>
        <v>95.603648271152764</v>
      </c>
      <c r="W46" s="768">
        <f t="shared" si="15"/>
        <v>0</v>
      </c>
      <c r="X46" s="768"/>
      <c r="Y46" s="768">
        <f t="shared" si="16"/>
        <v>0</v>
      </c>
      <c r="Z46" s="768"/>
      <c r="AA46" s="768">
        <f t="shared" si="17"/>
        <v>0</v>
      </c>
      <c r="AB46" s="769"/>
      <c r="AC46" s="768">
        <f t="shared" si="18"/>
        <v>0</v>
      </c>
      <c r="AE46" s="764" t="s">
        <v>860</v>
      </c>
      <c r="AG46" s="770"/>
    </row>
    <row r="47" spans="2:37" x14ac:dyDescent="0.2">
      <c r="B47" s="764">
        <f t="shared" ca="1" si="12"/>
        <v>36</v>
      </c>
      <c r="D47" s="772" t="s">
        <v>914</v>
      </c>
      <c r="F47" s="764" t="str">
        <f>+INDEX('BGM-9 (2) Detailed Summary'!$10:$10&amp;" "&amp;'BGM-9 (2) Detailed Summary'!$11:$11,1,MATCH(D47,'BGM-9 (2) Detailed Summary'!$79:$79,0))</f>
        <v>D&amp;O INSURANCE</v>
      </c>
      <c r="I47" s="768">
        <v>-5.3013344264041589</v>
      </c>
      <c r="J47" s="768"/>
      <c r="K47" s="768">
        <v>0</v>
      </c>
      <c r="L47" s="768"/>
      <c r="M47" s="768">
        <f t="shared" si="13"/>
        <v>7.0554544583961523</v>
      </c>
      <c r="P47" s="768">
        <f>+INDEX('BGM-9 (2) Detailed Summary'!$46:$46,1,MATCH($D47,'BGM-9 (2) Detailed Summary'!$79:$79,0))/1000</f>
        <v>-5.3013344264041589</v>
      </c>
      <c r="Q47" s="768"/>
      <c r="R47" s="768">
        <f>+INDEX('BGM-9 (2) Detailed Summary'!$48:$48,1,MATCH($D47,'BGM-9 (2) Detailed Summary'!$79:$79,0))/1000</f>
        <v>0</v>
      </c>
      <c r="S47" s="768"/>
      <c r="T47" s="768">
        <f t="shared" si="14"/>
        <v>7.0554544583961523</v>
      </c>
      <c r="W47" s="768">
        <f t="shared" si="15"/>
        <v>0</v>
      </c>
      <c r="X47" s="768"/>
      <c r="Y47" s="768">
        <f t="shared" si="16"/>
        <v>0</v>
      </c>
      <c r="Z47" s="768"/>
      <c r="AA47" s="768">
        <f t="shared" si="17"/>
        <v>0</v>
      </c>
      <c r="AB47" s="769"/>
      <c r="AC47" s="768">
        <f t="shared" si="18"/>
        <v>0</v>
      </c>
      <c r="AE47" s="764" t="s">
        <v>860</v>
      </c>
      <c r="AG47" s="770"/>
    </row>
    <row r="48" spans="2:37" x14ac:dyDescent="0.2">
      <c r="B48" s="764">
        <f t="shared" ca="1" si="12"/>
        <v>37</v>
      </c>
      <c r="D48" s="772" t="s">
        <v>915</v>
      </c>
      <c r="F48" s="764" t="str">
        <f>+INDEX('BGM-9 (2) Detailed Summary'!$10:$10&amp;" "&amp;'BGM-9 (2) Detailed Summary'!$11:$11,1,MATCH(D48,'BGM-9 (2) Detailed Summary'!$79:$79,0))</f>
        <v>PROPERTY &amp; LIABILITY INS</v>
      </c>
      <c r="I48" s="768">
        <v>-442.58800130389307</v>
      </c>
      <c r="J48" s="768"/>
      <c r="K48" s="768">
        <v>0</v>
      </c>
      <c r="L48" s="768"/>
      <c r="M48" s="768">
        <f t="shared" si="13"/>
        <v>589.03272947265509</v>
      </c>
      <c r="P48" s="768">
        <f>+INDEX('BGM-9 (2) Detailed Summary'!$46:$46,1,MATCH($D48,'BGM-9 (2) Detailed Summary'!$79:$79,0))/1000</f>
        <v>-442.58800130389307</v>
      </c>
      <c r="Q48" s="768"/>
      <c r="R48" s="768">
        <f>+INDEX('BGM-9 (2) Detailed Summary'!$48:$48,1,MATCH($D48,'BGM-9 (2) Detailed Summary'!$79:$79,0))/1000</f>
        <v>0</v>
      </c>
      <c r="S48" s="768"/>
      <c r="T48" s="768">
        <f t="shared" si="14"/>
        <v>589.03272947265509</v>
      </c>
      <c r="W48" s="768">
        <f t="shared" si="15"/>
        <v>0</v>
      </c>
      <c r="X48" s="768"/>
      <c r="Y48" s="768">
        <f t="shared" si="16"/>
        <v>0</v>
      </c>
      <c r="Z48" s="768"/>
      <c r="AA48" s="768">
        <f t="shared" si="17"/>
        <v>0</v>
      </c>
      <c r="AB48" s="769"/>
      <c r="AC48" s="768">
        <f t="shared" si="18"/>
        <v>0</v>
      </c>
      <c r="AE48" s="764" t="s">
        <v>860</v>
      </c>
      <c r="AG48" s="770"/>
    </row>
    <row r="49" spans="1:39" x14ac:dyDescent="0.2">
      <c r="B49" s="764">
        <f t="shared" ca="1" si="12"/>
        <v>38</v>
      </c>
      <c r="D49" s="772" t="s">
        <v>916</v>
      </c>
      <c r="F49" s="764" t="str">
        <f>+INDEX('BGM-9 (2) Detailed Summary'!$10:$10&amp;" "&amp;'BGM-9 (2) Detailed Summary'!$11:$11,1,MATCH(D49,'BGM-9 (2) Detailed Summary'!$79:$79,0))</f>
        <v>WAGE INCREASE</v>
      </c>
      <c r="I49" s="768">
        <v>-3003.5571583568117</v>
      </c>
      <c r="J49" s="768"/>
      <c r="K49" s="768">
        <v>0</v>
      </c>
      <c r="L49" s="768"/>
      <c r="M49" s="768">
        <f t="shared" si="13"/>
        <v>3997.3823644154054</v>
      </c>
      <c r="P49" s="768">
        <f>+INDEX('BGM-9 (2) Detailed Summary'!$46:$46,1,MATCH($D49,'BGM-9 (2) Detailed Summary'!$79:$79,0))/1000</f>
        <v>-3003.5571583568117</v>
      </c>
      <c r="Q49" s="768"/>
      <c r="R49" s="768">
        <f>+INDEX('BGM-9 (2) Detailed Summary'!$48:$48,1,MATCH($D49,'BGM-9 (2) Detailed Summary'!$79:$79,0))/1000</f>
        <v>0</v>
      </c>
      <c r="S49" s="768"/>
      <c r="T49" s="768">
        <f t="shared" si="14"/>
        <v>3997.3823644154054</v>
      </c>
      <c r="W49" s="768">
        <f t="shared" si="15"/>
        <v>0</v>
      </c>
      <c r="X49" s="768"/>
      <c r="Y49" s="768">
        <f t="shared" si="16"/>
        <v>0</v>
      </c>
      <c r="Z49" s="768"/>
      <c r="AA49" s="768">
        <f t="shared" si="17"/>
        <v>0</v>
      </c>
      <c r="AB49" s="769"/>
      <c r="AC49" s="768">
        <f t="shared" si="18"/>
        <v>0</v>
      </c>
      <c r="AE49" s="764" t="s">
        <v>860</v>
      </c>
      <c r="AG49" s="770"/>
    </row>
    <row r="50" spans="1:39" x14ac:dyDescent="0.2">
      <c r="B50" s="764">
        <f t="shared" ca="1" si="12"/>
        <v>39</v>
      </c>
      <c r="D50" s="772" t="s">
        <v>917</v>
      </c>
      <c r="F50" s="764" t="str">
        <f>+INDEX('BGM-9 (2) Detailed Summary'!$10:$10&amp;" "&amp;'BGM-9 (2) Detailed Summary'!$11:$11,1,MATCH(D50,'BGM-9 (2) Detailed Summary'!$79:$79,0))</f>
        <v>INVESTMENT PLAN</v>
      </c>
      <c r="I50" s="768">
        <v>-208.17732402600535</v>
      </c>
      <c r="J50" s="768"/>
      <c r="K50" s="768">
        <v>0</v>
      </c>
      <c r="L50" s="768"/>
      <c r="M50" s="768">
        <f t="shared" si="13"/>
        <v>277.05960627964424</v>
      </c>
      <c r="P50" s="768">
        <f>+INDEX('BGM-9 (2) Detailed Summary'!$46:$46,1,MATCH($D50,'BGM-9 (2) Detailed Summary'!$79:$79,0))/1000</f>
        <v>-208.17732402600535</v>
      </c>
      <c r="Q50" s="768"/>
      <c r="R50" s="768">
        <f>+INDEX('BGM-9 (2) Detailed Summary'!$48:$48,1,MATCH($D50,'BGM-9 (2) Detailed Summary'!$79:$79,0))/1000</f>
        <v>0</v>
      </c>
      <c r="S50" s="768"/>
      <c r="T50" s="768">
        <f t="shared" si="14"/>
        <v>277.05960627964424</v>
      </c>
      <c r="W50" s="768">
        <f t="shared" si="15"/>
        <v>0</v>
      </c>
      <c r="X50" s="768"/>
      <c r="Y50" s="768">
        <f t="shared" si="16"/>
        <v>0</v>
      </c>
      <c r="Z50" s="768"/>
      <c r="AA50" s="768">
        <f t="shared" si="17"/>
        <v>0</v>
      </c>
      <c r="AB50" s="769"/>
      <c r="AC50" s="768">
        <f t="shared" si="18"/>
        <v>0</v>
      </c>
      <c r="AE50" s="764" t="s">
        <v>860</v>
      </c>
      <c r="AG50" s="770"/>
    </row>
    <row r="51" spans="1:39" x14ac:dyDescent="0.2">
      <c r="B51" s="764">
        <f t="shared" ca="1" si="12"/>
        <v>40</v>
      </c>
      <c r="D51" s="772" t="s">
        <v>918</v>
      </c>
      <c r="F51" s="764" t="str">
        <f>+INDEX('BGM-9 (2) Detailed Summary'!$10:$10&amp;" "&amp;'BGM-9 (2) Detailed Summary'!$11:$11,1,MATCH(D51,'BGM-9 (2) Detailed Summary'!$79:$79,0))</f>
        <v>EMPLOYEE INSURANCE</v>
      </c>
      <c r="I51" s="768">
        <v>-691.24688851637836</v>
      </c>
      <c r="J51" s="768"/>
      <c r="K51" s="768">
        <v>0</v>
      </c>
      <c r="L51" s="768"/>
      <c r="M51" s="768">
        <f t="shared" si="13"/>
        <v>919.96854926645517</v>
      </c>
      <c r="P51" s="768">
        <f>+INDEX('BGM-9 (2) Detailed Summary'!$46:$46,1,MATCH($D51,'BGM-9 (2) Detailed Summary'!$79:$79,0))/1000</f>
        <v>-691.24688851637836</v>
      </c>
      <c r="Q51" s="768"/>
      <c r="R51" s="768">
        <f>+INDEX('BGM-9 (2) Detailed Summary'!$48:$48,1,MATCH($D51,'BGM-9 (2) Detailed Summary'!$79:$79,0))/1000</f>
        <v>0</v>
      </c>
      <c r="S51" s="768"/>
      <c r="T51" s="768">
        <f t="shared" si="14"/>
        <v>919.96854926645517</v>
      </c>
      <c r="W51" s="768">
        <f t="shared" si="15"/>
        <v>0</v>
      </c>
      <c r="X51" s="768"/>
      <c r="Y51" s="768">
        <f t="shared" si="16"/>
        <v>0</v>
      </c>
      <c r="Z51" s="768"/>
      <c r="AA51" s="768">
        <f t="shared" si="17"/>
        <v>0</v>
      </c>
      <c r="AB51" s="769"/>
      <c r="AC51" s="768">
        <f t="shared" si="18"/>
        <v>0</v>
      </c>
      <c r="AE51" s="764" t="s">
        <v>860</v>
      </c>
      <c r="AG51" s="770"/>
    </row>
    <row r="52" spans="1:39" x14ac:dyDescent="0.2">
      <c r="B52" s="764">
        <f t="shared" ref="B52:B72" ca="1" si="19">+MAX(OFFSET($B$7,0,0,ROW($B52)-ROW($B$7),1))+1</f>
        <v>41</v>
      </c>
      <c r="D52" s="772" t="s">
        <v>919</v>
      </c>
      <c r="F52" s="764" t="str">
        <f>+INDEX('BGM-9 (2) Detailed Summary'!$10:$10&amp;" "&amp;'BGM-9 (2) Detailed Summary'!$11:$11,1,MATCH(D52,'BGM-9 (2) Detailed Summary'!$79:$79,0))</f>
        <v>DEFERRED G/L ON PROPERTY SALES</v>
      </c>
      <c r="I52" s="768">
        <v>2791.8315547333327</v>
      </c>
      <c r="J52" s="768"/>
      <c r="K52" s="768">
        <v>0</v>
      </c>
      <c r="L52" s="768"/>
      <c r="M52" s="768">
        <f t="shared" si="13"/>
        <v>-3715.6004140819809</v>
      </c>
      <c r="P52" s="768">
        <f>+INDEX('BGM-9 (2) Detailed Summary'!$46:$46,1,MATCH($D52,'BGM-9 (2) Detailed Summary'!$79:$79,0))/1000</f>
        <v>2791.8315547333327</v>
      </c>
      <c r="Q52" s="768"/>
      <c r="R52" s="768">
        <f>+INDEX('BGM-9 (2) Detailed Summary'!$48:$48,1,MATCH($D52,'BGM-9 (2) Detailed Summary'!$79:$79,0))/1000</f>
        <v>0</v>
      </c>
      <c r="S52" s="768"/>
      <c r="T52" s="768">
        <f t="shared" si="14"/>
        <v>-3715.6004140819809</v>
      </c>
      <c r="W52" s="768">
        <f t="shared" si="15"/>
        <v>0</v>
      </c>
      <c r="X52" s="768"/>
      <c r="Y52" s="768">
        <f t="shared" si="16"/>
        <v>0</v>
      </c>
      <c r="Z52" s="768"/>
      <c r="AA52" s="768">
        <f t="shared" si="17"/>
        <v>0</v>
      </c>
      <c r="AB52" s="769"/>
      <c r="AC52" s="768">
        <f t="shared" si="18"/>
        <v>0</v>
      </c>
      <c r="AE52" s="764" t="s">
        <v>860</v>
      </c>
      <c r="AG52" s="770"/>
    </row>
    <row r="53" spans="1:39" x14ac:dyDescent="0.2">
      <c r="B53" s="764">
        <f t="shared" ca="1" si="19"/>
        <v>42</v>
      </c>
      <c r="D53" s="772" t="s">
        <v>920</v>
      </c>
      <c r="F53" s="764" t="str">
        <f>+INDEX('BGM-9 (2) Detailed Summary'!$10:$10&amp;" "&amp;'BGM-9 (2) Detailed Summary'!$11:$11,1,MATCH(D53,'BGM-9 (2) Detailed Summary'!$79:$79,0))</f>
        <v>ENVIRON REMEDIATION</v>
      </c>
      <c r="I53" s="768">
        <v>-120.11765165375613</v>
      </c>
      <c r="J53" s="768"/>
      <c r="K53" s="768">
        <v>0</v>
      </c>
      <c r="L53" s="768"/>
      <c r="M53" s="768">
        <f t="shared" si="13"/>
        <v>159.86250870564484</v>
      </c>
      <c r="P53" s="768">
        <f>+INDEX('BGM-9 (2) Detailed Summary'!$46:$46,1,MATCH($D53,'BGM-9 (2) Detailed Summary'!$79:$79,0))/1000</f>
        <v>-120.11765165375613</v>
      </c>
      <c r="Q53" s="768"/>
      <c r="R53" s="768">
        <f>+INDEX('BGM-9 (2) Detailed Summary'!$48:$48,1,MATCH($D53,'BGM-9 (2) Detailed Summary'!$79:$79,0))/1000</f>
        <v>0</v>
      </c>
      <c r="S53" s="768"/>
      <c r="T53" s="768">
        <f t="shared" si="14"/>
        <v>159.86250870564484</v>
      </c>
      <c r="W53" s="768">
        <f t="shared" si="15"/>
        <v>0</v>
      </c>
      <c r="X53" s="768"/>
      <c r="Y53" s="768">
        <f t="shared" si="16"/>
        <v>0</v>
      </c>
      <c r="Z53" s="768"/>
      <c r="AA53" s="768">
        <f t="shared" si="17"/>
        <v>0</v>
      </c>
      <c r="AB53" s="769"/>
      <c r="AC53" s="768">
        <f t="shared" si="18"/>
        <v>0</v>
      </c>
      <c r="AE53" s="764" t="s">
        <v>860</v>
      </c>
      <c r="AG53" s="770"/>
    </row>
    <row r="54" spans="1:39" x14ac:dyDescent="0.2">
      <c r="B54" s="764">
        <f t="shared" ca="1" si="19"/>
        <v>43</v>
      </c>
      <c r="D54" s="772" t="s">
        <v>921</v>
      </c>
      <c r="F54" s="764" t="str">
        <f>+INDEX('BGM-9 (2) Detailed Summary'!$10:$10&amp;" "&amp;'BGM-9 (2) Detailed Summary'!$11:$11,1,MATCH(D54,'BGM-9 (2) Detailed Summary'!$79:$79,0))</f>
        <v xml:space="preserve">AMI </v>
      </c>
      <c r="I54" s="768">
        <v>-4864.3764922224491</v>
      </c>
      <c r="J54" s="768"/>
      <c r="K54" s="768">
        <v>28244.978592898085</v>
      </c>
      <c r="L54" s="768"/>
      <c r="M54" s="768">
        <f t="shared" si="13"/>
        <v>9266.9077361215914</v>
      </c>
      <c r="P54" s="768">
        <f>+INDEX('BGM-9 (2) Detailed Summary'!$46:$46,1,MATCH($D54,'BGM-9 (2) Detailed Summary'!$79:$79,0))/1000</f>
        <v>-4864.3764922224491</v>
      </c>
      <c r="Q54" s="768"/>
      <c r="R54" s="768">
        <f>+INDEX('BGM-9 (2) Detailed Summary'!$48:$48,1,MATCH($D54,'BGM-9 (2) Detailed Summary'!$79:$79,0))/1000</f>
        <v>28244.978592898085</v>
      </c>
      <c r="S54" s="768"/>
      <c r="T54" s="768">
        <f t="shared" si="14"/>
        <v>9266.9077361215914</v>
      </c>
      <c r="W54" s="768">
        <f t="shared" si="15"/>
        <v>0</v>
      </c>
      <c r="X54" s="768"/>
      <c r="Y54" s="768">
        <f t="shared" si="16"/>
        <v>0</v>
      </c>
      <c r="Z54" s="768"/>
      <c r="AA54" s="768">
        <f t="shared" si="17"/>
        <v>0</v>
      </c>
      <c r="AB54" s="769"/>
      <c r="AC54" s="768">
        <f t="shared" si="18"/>
        <v>0</v>
      </c>
      <c r="AE54" s="764" t="s">
        <v>860</v>
      </c>
      <c r="AG54" s="770"/>
    </row>
    <row r="55" spans="1:39" s="765" customFormat="1" x14ac:dyDescent="0.2">
      <c r="A55" s="764"/>
      <c r="B55" s="764">
        <f t="shared" ca="1" si="19"/>
        <v>44</v>
      </c>
      <c r="C55" s="764"/>
      <c r="D55" s="772" t="s">
        <v>922</v>
      </c>
      <c r="E55" s="764"/>
      <c r="F55" s="764" t="str">
        <f>+INDEX('BGM-9 (2) Detailed Summary'!$10:$10&amp;" "&amp;'BGM-9 (2) Detailed Summary'!$11:$11,1,MATCH(D55,'BGM-9 (2) Detailed Summary'!$79:$79,0))</f>
        <v>ANNUALIZE RENT EXP</v>
      </c>
      <c r="I55" s="768">
        <v>394.54896938773646</v>
      </c>
      <c r="J55" s="768"/>
      <c r="K55" s="768">
        <v>0</v>
      </c>
      <c r="L55" s="768"/>
      <c r="M55" s="768">
        <f t="shared" si="13"/>
        <v>-525.09841130895836</v>
      </c>
      <c r="O55" s="764"/>
      <c r="P55" s="768">
        <f>+INDEX('BGM-9 (2) Detailed Summary'!$46:$46,1,MATCH($D55,'BGM-9 (2) Detailed Summary'!$79:$79,0))/1000</f>
        <v>394.54896938773646</v>
      </c>
      <c r="Q55" s="768"/>
      <c r="R55" s="768">
        <f>+INDEX('BGM-9 (2) Detailed Summary'!$48:$48,1,MATCH($D55,'BGM-9 (2) Detailed Summary'!$79:$79,0))/1000</f>
        <v>0</v>
      </c>
      <c r="S55" s="768"/>
      <c r="T55" s="768">
        <f t="shared" si="14"/>
        <v>-525.09841130895836</v>
      </c>
      <c r="U55" s="764"/>
      <c r="V55" s="764"/>
      <c r="W55" s="768">
        <f t="shared" si="15"/>
        <v>0</v>
      </c>
      <c r="X55" s="768"/>
      <c r="Y55" s="768">
        <f t="shared" si="16"/>
        <v>0</v>
      </c>
      <c r="Z55" s="768"/>
      <c r="AA55" s="768">
        <f t="shared" si="17"/>
        <v>0</v>
      </c>
      <c r="AB55" s="769"/>
      <c r="AC55" s="768">
        <f t="shared" si="18"/>
        <v>0</v>
      </c>
      <c r="AE55" s="764" t="s">
        <v>860</v>
      </c>
      <c r="AG55" s="770"/>
      <c r="AI55" s="764"/>
      <c r="AJ55" s="764"/>
      <c r="AK55" s="764"/>
      <c r="AL55" s="764"/>
      <c r="AM55" s="764"/>
    </row>
    <row r="56" spans="1:39" s="765" customFormat="1" x14ac:dyDescent="0.2">
      <c r="A56" s="764"/>
      <c r="B56" s="764">
        <f t="shared" ca="1" si="19"/>
        <v>45</v>
      </c>
      <c r="C56" s="764"/>
      <c r="D56" s="772" t="s">
        <v>923</v>
      </c>
      <c r="E56" s="764"/>
      <c r="F56" s="764" t="str">
        <f>+INDEX('BGM-9 (2) Detailed Summary'!$10:$10&amp;" "&amp;'BGM-9 (2) Detailed Summary'!$11:$11,1,MATCH(D56,'BGM-9 (2) Detailed Summary'!$79:$79,0))</f>
        <v>GTZ PLANT &amp; DFRL</v>
      </c>
      <c r="I56" s="768">
        <v>-9704.0328958320315</v>
      </c>
      <c r="J56" s="768"/>
      <c r="K56" s="768">
        <v>25877.605564484787</v>
      </c>
      <c r="L56" s="768"/>
      <c r="M56" s="768">
        <f t="shared" si="13"/>
        <v>15473.826180424116</v>
      </c>
      <c r="O56" s="764"/>
      <c r="P56" s="768">
        <f>+INDEX('BGM-9 (2) Detailed Summary'!$46:$46,1,MATCH($D56,'BGM-9 (2) Detailed Summary'!$79:$79,0))/1000</f>
        <v>-5181.4101925229534</v>
      </c>
      <c r="Q56" s="768"/>
      <c r="R56" s="768">
        <f>+INDEX('BGM-9 (2) Detailed Summary'!$48:$48,1,MATCH($D56,'BGM-9 (2) Detailed Summary'!$79:$79,0))/1000</f>
        <v>11359.234266798821</v>
      </c>
      <c r="S56" s="768"/>
      <c r="T56" s="768">
        <f t="shared" si="14"/>
        <v>8019.1025572194485</v>
      </c>
      <c r="U56" s="764"/>
      <c r="V56" s="764"/>
      <c r="W56" s="768">
        <f t="shared" si="15"/>
        <v>5724.8388649482004</v>
      </c>
      <c r="X56" s="768"/>
      <c r="Y56" s="768">
        <f t="shared" si="16"/>
        <v>4522.6227033090781</v>
      </c>
      <c r="Z56" s="768"/>
      <c r="AA56" s="768">
        <f t="shared" si="17"/>
        <v>-14518.371297685966</v>
      </c>
      <c r="AB56" s="769"/>
      <c r="AC56" s="768">
        <f t="shared" si="18"/>
        <v>-7454.7236232046671</v>
      </c>
      <c r="AE56" s="764" t="s">
        <v>979</v>
      </c>
      <c r="AG56" s="770"/>
      <c r="AI56" s="764"/>
      <c r="AJ56" s="764"/>
      <c r="AK56" s="764"/>
      <c r="AL56" s="764"/>
      <c r="AM56" s="764"/>
    </row>
    <row r="57" spans="1:39" s="765" customFormat="1" x14ac:dyDescent="0.2">
      <c r="A57" s="764"/>
      <c r="B57" s="764">
        <f t="shared" ca="1" si="19"/>
        <v>46</v>
      </c>
      <c r="C57" s="764"/>
      <c r="D57" s="772" t="s">
        <v>924</v>
      </c>
      <c r="E57" s="764"/>
      <c r="F57" s="764" t="str">
        <f>+INDEX('BGM-9 (2) Detailed Summary'!$10:$10&amp;" "&amp;'BGM-9 (2) Detailed Summary'!$11:$11,1,MATCH(D57,'BGM-9 (2) Detailed Summary'!$79:$79,0))</f>
        <v>CREDIT  CARD AMORT</v>
      </c>
      <c r="I57" s="768">
        <v>477.33077329275</v>
      </c>
      <c r="J57" s="768"/>
      <c r="K57" s="768">
        <v>0</v>
      </c>
      <c r="L57" s="768"/>
      <c r="M57" s="768">
        <f t="shared" si="13"/>
        <v>-635.27128486446964</v>
      </c>
      <c r="O57" s="764"/>
      <c r="P57" s="768">
        <f>+INDEX('BGM-9 (2) Detailed Summary'!$46:$46,1,MATCH($D57,'BGM-9 (2) Detailed Summary'!$79:$79,0))/1000</f>
        <v>477.33077329275</v>
      </c>
      <c r="Q57" s="768"/>
      <c r="R57" s="768">
        <f>+INDEX('BGM-9 (2) Detailed Summary'!$48:$48,1,MATCH($D57,'BGM-9 (2) Detailed Summary'!$79:$79,0))/1000</f>
        <v>0</v>
      </c>
      <c r="S57" s="768"/>
      <c r="T57" s="768">
        <f t="shared" si="14"/>
        <v>-635.27128486446964</v>
      </c>
      <c r="U57" s="764"/>
      <c r="V57" s="764"/>
      <c r="W57" s="768">
        <f t="shared" si="15"/>
        <v>0</v>
      </c>
      <c r="X57" s="768"/>
      <c r="Y57" s="768">
        <f t="shared" si="16"/>
        <v>0</v>
      </c>
      <c r="Z57" s="768"/>
      <c r="AA57" s="768">
        <f t="shared" si="17"/>
        <v>0</v>
      </c>
      <c r="AB57" s="769"/>
      <c r="AC57" s="768">
        <f t="shared" si="18"/>
        <v>0</v>
      </c>
      <c r="AE57" s="764" t="s">
        <v>860</v>
      </c>
      <c r="AG57" s="770"/>
      <c r="AI57" s="764"/>
      <c r="AJ57" s="764"/>
      <c r="AK57" s="764"/>
      <c r="AL57" s="764"/>
      <c r="AM57" s="764"/>
    </row>
    <row r="58" spans="1:39" x14ac:dyDescent="0.2">
      <c r="B58" s="764">
        <f t="shared" ca="1" si="19"/>
        <v>47</v>
      </c>
      <c r="D58" s="772" t="s">
        <v>925</v>
      </c>
      <c r="F58" s="764" t="str">
        <f>+INDEX('BGM-9 (2) Detailed Summary'!$10:$10&amp;" "&amp;'BGM-9 (2) Detailed Summary'!$11:$11,1,MATCH(D58,'BGM-9 (2) Detailed Summary'!$79:$79,0))</f>
        <v>REMOVE UNPRO- TECTED DFIT</v>
      </c>
      <c r="I58" s="768">
        <v>9006.3722399999988</v>
      </c>
      <c r="J58" s="768"/>
      <c r="K58" s="768">
        <v>4503.1861200000085</v>
      </c>
      <c r="L58" s="768"/>
      <c r="M58" s="768">
        <f t="shared" si="13"/>
        <v>-11541.129615047492</v>
      </c>
      <c r="P58" s="768">
        <f>+INDEX('BGM-9 (2) Detailed Summary'!$46:$46,1,MATCH($D58,'BGM-9 (2) Detailed Summary'!$79:$79,0))/1000</f>
        <v>9006.3722399999988</v>
      </c>
      <c r="Q58" s="768"/>
      <c r="R58" s="768">
        <f>+INDEX('BGM-9 (2) Detailed Summary'!$48:$48,1,MATCH($D58,'BGM-9 (2) Detailed Summary'!$79:$79,0))/1000</f>
        <v>4503.1861200000085</v>
      </c>
      <c r="S58" s="768"/>
      <c r="T58" s="768">
        <f t="shared" si="14"/>
        <v>-11541.129615047492</v>
      </c>
      <c r="W58" s="768">
        <f t="shared" si="15"/>
        <v>0</v>
      </c>
      <c r="X58" s="768"/>
      <c r="Y58" s="768">
        <f t="shared" si="16"/>
        <v>0</v>
      </c>
      <c r="Z58" s="768"/>
      <c r="AA58" s="768">
        <f t="shared" si="17"/>
        <v>0</v>
      </c>
      <c r="AB58" s="769"/>
      <c r="AC58" s="768">
        <f t="shared" si="18"/>
        <v>0</v>
      </c>
      <c r="AE58" s="764" t="s">
        <v>860</v>
      </c>
      <c r="AG58" s="770"/>
    </row>
    <row r="59" spans="1:39" x14ac:dyDescent="0.2">
      <c r="B59" s="764">
        <f t="shared" ca="1" si="19"/>
        <v>48</v>
      </c>
      <c r="D59" s="772" t="s">
        <v>926</v>
      </c>
      <c r="F59" s="764" t="str">
        <f>+INDEX('BGM-9 (2) Detailed Summary'!$10:$10&amp;" "&amp;'BGM-9 (2) Detailed Summary'!$11:$11,1,MATCH(D59,'BGM-9 (2) Detailed Summary'!$79:$79,0))</f>
        <v>PUBLIC IMPROVEMENT</v>
      </c>
      <c r="I59" s="768">
        <v>-296.26105729127158</v>
      </c>
      <c r="J59" s="768"/>
      <c r="K59" s="768">
        <v>12855.303339327644</v>
      </c>
      <c r="L59" s="768"/>
      <c r="M59" s="768">
        <f t="shared" si="13"/>
        <v>1665.4800898656149</v>
      </c>
      <c r="P59" s="768">
        <f>+INDEX('BGM-9 (2) Detailed Summary'!$46:$46,1,MATCH($D59,'BGM-9 (2) Detailed Summary'!$79:$79,0))/1000</f>
        <v>0</v>
      </c>
      <c r="Q59" s="768"/>
      <c r="R59" s="768">
        <f>+INDEX('BGM-9 (2) Detailed Summary'!$48:$48,1,MATCH($D59,'BGM-9 (2) Detailed Summary'!$79:$79,0))/1000</f>
        <v>0</v>
      </c>
      <c r="S59" s="768"/>
      <c r="T59" s="768">
        <f t="shared" si="14"/>
        <v>0</v>
      </c>
      <c r="W59" s="768">
        <f t="shared" si="15"/>
        <v>375.01399657122982</v>
      </c>
      <c r="X59" s="768"/>
      <c r="Y59" s="768">
        <f t="shared" si="16"/>
        <v>296.26105729127158</v>
      </c>
      <c r="Z59" s="768"/>
      <c r="AA59" s="768">
        <f t="shared" si="17"/>
        <v>-12855.303339327644</v>
      </c>
      <c r="AB59" s="769"/>
      <c r="AC59" s="768">
        <f t="shared" si="18"/>
        <v>-1665.4800898656149</v>
      </c>
      <c r="AE59" s="764" t="s">
        <v>979</v>
      </c>
      <c r="AG59" s="770"/>
    </row>
    <row r="60" spans="1:39" x14ac:dyDescent="0.2">
      <c r="B60" s="764">
        <f t="shared" ca="1" si="19"/>
        <v>49</v>
      </c>
      <c r="D60" s="772" t="s">
        <v>927</v>
      </c>
      <c r="F60" s="764" t="str">
        <f>+INDEX('BGM-9 (2) Detailed Summary'!$10:$10&amp;" "&amp;'BGM-9 (2) Detailed Summary'!$11:$11,1,MATCH(D60,'BGM-9 (2) Detailed Summary'!$79:$79,0))</f>
        <v>CONTRACT ESCALATIONS</v>
      </c>
      <c r="I60" s="768">
        <v>-1330.7259543599268</v>
      </c>
      <c r="J60" s="768"/>
      <c r="K60" s="768">
        <v>0</v>
      </c>
      <c r="L60" s="768"/>
      <c r="M60" s="768">
        <f t="shared" si="13"/>
        <v>1771.0401971302533</v>
      </c>
      <c r="P60" s="768">
        <f>+INDEX('BGM-9 (2) Detailed Summary'!$46:$46,1,MATCH($D60,'BGM-9 (2) Detailed Summary'!$79:$79,0))/1000</f>
        <v>-1330.7259543599268</v>
      </c>
      <c r="Q60" s="768"/>
      <c r="R60" s="768">
        <f>+INDEX('BGM-9 (2) Detailed Summary'!$48:$48,1,MATCH($D60,'BGM-9 (2) Detailed Summary'!$79:$79,0))/1000</f>
        <v>0</v>
      </c>
      <c r="S60" s="768"/>
      <c r="T60" s="768">
        <f t="shared" si="14"/>
        <v>1771.0401971302533</v>
      </c>
      <c r="W60" s="768">
        <f t="shared" si="15"/>
        <v>0</v>
      </c>
      <c r="X60" s="768"/>
      <c r="Y60" s="768">
        <f t="shared" si="16"/>
        <v>0</v>
      </c>
      <c r="Z60" s="768"/>
      <c r="AA60" s="768">
        <f t="shared" si="17"/>
        <v>0</v>
      </c>
      <c r="AB60" s="769"/>
      <c r="AC60" s="768">
        <f t="shared" si="18"/>
        <v>0</v>
      </c>
      <c r="AE60" s="764" t="s">
        <v>860</v>
      </c>
      <c r="AG60" s="770"/>
    </row>
    <row r="61" spans="1:39" x14ac:dyDescent="0.2">
      <c r="B61" s="764">
        <f t="shared" ca="1" si="19"/>
        <v>50</v>
      </c>
      <c r="D61" s="772" t="s">
        <v>928</v>
      </c>
      <c r="F61" s="764" t="str">
        <f>+INDEX('BGM-9 (2) Detailed Summary'!$10:$10&amp;" "&amp;'BGM-9 (2) Detailed Summary'!$11:$11,1,MATCH(D61,'BGM-9 (2) Detailed Summary'!$79:$79,0))</f>
        <v xml:space="preserve"> HR TOPS</v>
      </c>
      <c r="I61" s="768">
        <v>-538.58803</v>
      </c>
      <c r="J61" s="768"/>
      <c r="K61" s="768">
        <v>5481.0495432116631</v>
      </c>
      <c r="L61" s="768"/>
      <c r="M61" s="768">
        <f t="shared" si="13"/>
        <v>1258.7888315789548</v>
      </c>
      <c r="P61" s="768">
        <f>+INDEX('BGM-9 (2) Detailed Summary'!$46:$46,1,MATCH($D61,'BGM-9 (2) Detailed Summary'!$79:$79,0))/1000</f>
        <v>0</v>
      </c>
      <c r="Q61" s="768"/>
      <c r="R61" s="768">
        <f>+INDEX('BGM-9 (2) Detailed Summary'!$48:$48,1,MATCH($D61,'BGM-9 (2) Detailed Summary'!$79:$79,0))/1000</f>
        <v>0</v>
      </c>
      <c r="S61" s="768"/>
      <c r="T61" s="768">
        <f t="shared" si="14"/>
        <v>0</v>
      </c>
      <c r="W61" s="768">
        <f t="shared" si="15"/>
        <v>681.75699999999995</v>
      </c>
      <c r="X61" s="768"/>
      <c r="Y61" s="768">
        <f t="shared" si="16"/>
        <v>538.58803</v>
      </c>
      <c r="Z61" s="768"/>
      <c r="AA61" s="768">
        <f t="shared" si="17"/>
        <v>-5481.0495432116631</v>
      </c>
      <c r="AB61" s="769"/>
      <c r="AC61" s="768">
        <f t="shared" si="18"/>
        <v>-1258.7888315789548</v>
      </c>
      <c r="AE61" s="764" t="s">
        <v>979</v>
      </c>
      <c r="AG61" s="770"/>
    </row>
    <row r="62" spans="1:39" x14ac:dyDescent="0.2">
      <c r="B62" s="764">
        <f t="shared" ca="1" si="19"/>
        <v>51</v>
      </c>
      <c r="D62" s="772" t="s">
        <v>929</v>
      </c>
      <c r="F62" s="764" t="str">
        <f>+INDEX('BGM-9 (2) Detailed Summary'!$10:$10&amp;" "&amp;'BGM-9 (2) Detailed Summary'!$11:$11,1,MATCH(D62,'BGM-9 (2) Detailed Summary'!$79:$79,0))</f>
        <v>POWER COST</v>
      </c>
      <c r="I62" s="768">
        <v>2739.5278114434182</v>
      </c>
      <c r="J62" s="768"/>
      <c r="K62" s="768">
        <v>0</v>
      </c>
      <c r="L62" s="768"/>
      <c r="M62" s="768">
        <f t="shared" si="13"/>
        <v>-3645.9902651829343</v>
      </c>
      <c r="P62" s="768">
        <f>+INDEX('BGM-9 (2) Detailed Summary'!$46:$46,1,MATCH($D62,'BGM-9 (2) Detailed Summary'!$79:$79,0))/1000</f>
        <v>2739.5278114434182</v>
      </c>
      <c r="Q62" s="768"/>
      <c r="R62" s="768">
        <f>+INDEX('BGM-9 (2) Detailed Summary'!$48:$48,1,MATCH($D62,'BGM-9 (2) Detailed Summary'!$79:$79,0))/1000</f>
        <v>0</v>
      </c>
      <c r="S62" s="768"/>
      <c r="T62" s="768">
        <f t="shared" si="14"/>
        <v>-3645.9902651829343</v>
      </c>
      <c r="W62" s="768">
        <f t="shared" si="15"/>
        <v>0</v>
      </c>
      <c r="X62" s="768"/>
      <c r="Y62" s="768">
        <f t="shared" si="16"/>
        <v>0</v>
      </c>
      <c r="Z62" s="768"/>
      <c r="AA62" s="768">
        <f t="shared" si="17"/>
        <v>0</v>
      </c>
      <c r="AB62" s="769"/>
      <c r="AC62" s="768">
        <f t="shared" si="18"/>
        <v>0</v>
      </c>
      <c r="AE62" s="764" t="s">
        <v>860</v>
      </c>
      <c r="AG62" s="770"/>
    </row>
    <row r="63" spans="1:39" x14ac:dyDescent="0.2">
      <c r="B63" s="764">
        <f t="shared" ca="1" si="19"/>
        <v>52</v>
      </c>
      <c r="D63" s="772" t="s">
        <v>930</v>
      </c>
      <c r="F63" s="764" t="str">
        <f>+INDEX('BGM-9 (2) Detailed Summary'!$10:$10&amp;" "&amp;'BGM-9 (2) Detailed Summary'!$11:$11,1,MATCH(D63,'BGM-9 (2) Detailed Summary'!$79:$79,0))</f>
        <v>MONTANA TAX</v>
      </c>
      <c r="I63" s="768">
        <v>518.01067067606232</v>
      </c>
      <c r="J63" s="768"/>
      <c r="K63" s="768">
        <v>0</v>
      </c>
      <c r="L63" s="768"/>
      <c r="M63" s="768">
        <f t="shared" si="13"/>
        <v>-689.41145793686871</v>
      </c>
      <c r="P63" s="768">
        <f>+INDEX('BGM-9 (2) Detailed Summary'!$46:$46,1,MATCH($D63,'BGM-9 (2) Detailed Summary'!$79:$79,0))/1000</f>
        <v>549.76145894175181</v>
      </c>
      <c r="Q63" s="768"/>
      <c r="R63" s="768">
        <f>+INDEX('BGM-9 (2) Detailed Summary'!$48:$48,1,MATCH($D63,'BGM-9 (2) Detailed Summary'!$79:$79,0))/1000</f>
        <v>0</v>
      </c>
      <c r="S63" s="768"/>
      <c r="T63" s="768">
        <f t="shared" si="14"/>
        <v>-731.66803384934121</v>
      </c>
      <c r="W63" s="768">
        <f t="shared" si="15"/>
        <v>40.190871222391763</v>
      </c>
      <c r="X63" s="768"/>
      <c r="Y63" s="768">
        <f t="shared" si="16"/>
        <v>31.750788265689494</v>
      </c>
      <c r="Z63" s="768"/>
      <c r="AA63" s="768">
        <f t="shared" si="17"/>
        <v>0</v>
      </c>
      <c r="AB63" s="769"/>
      <c r="AC63" s="768">
        <f t="shared" si="18"/>
        <v>-42.256575912472499</v>
      </c>
      <c r="AE63" s="764" t="s">
        <v>979</v>
      </c>
      <c r="AG63" s="770"/>
    </row>
    <row r="64" spans="1:39" x14ac:dyDescent="0.2">
      <c r="B64" s="764">
        <f t="shared" ca="1" si="19"/>
        <v>53</v>
      </c>
      <c r="D64" s="772" t="s">
        <v>931</v>
      </c>
      <c r="F64" s="764" t="str">
        <f>+INDEX('BGM-9 (2) Detailed Summary'!$10:$10&amp;" "&amp;'BGM-9 (2) Detailed Summary'!$11:$11,1,MATCH(D64,'BGM-9 (2) Detailed Summary'!$79:$79,0))</f>
        <v>STORM  DAMAGE</v>
      </c>
      <c r="I64" s="768">
        <v>-10681.804722000003</v>
      </c>
      <c r="J64" s="768"/>
      <c r="K64" s="768">
        <v>0</v>
      </c>
      <c r="L64" s="768"/>
      <c r="M64" s="768">
        <f t="shared" si="13"/>
        <v>14216.229478786399</v>
      </c>
      <c r="P64" s="768">
        <f>+INDEX('BGM-9 (2) Detailed Summary'!$46:$46,1,MATCH($D64,'BGM-9 (2) Detailed Summary'!$79:$79,0))/1000</f>
        <v>-10681.804722000003</v>
      </c>
      <c r="Q64" s="768"/>
      <c r="R64" s="768">
        <f>+INDEX('BGM-9 (2) Detailed Summary'!$48:$48,1,MATCH($D64,'BGM-9 (2) Detailed Summary'!$79:$79,0))/1000</f>
        <v>0</v>
      </c>
      <c r="S64" s="768"/>
      <c r="T64" s="768">
        <f t="shared" si="14"/>
        <v>14216.229478786399</v>
      </c>
      <c r="W64" s="768">
        <f t="shared" si="15"/>
        <v>0</v>
      </c>
      <c r="X64" s="768"/>
      <c r="Y64" s="768">
        <f t="shared" si="16"/>
        <v>0</v>
      </c>
      <c r="Z64" s="768"/>
      <c r="AA64" s="768">
        <f t="shared" si="17"/>
        <v>0</v>
      </c>
      <c r="AB64" s="769"/>
      <c r="AC64" s="768">
        <f t="shared" si="18"/>
        <v>0</v>
      </c>
      <c r="AE64" s="764" t="s">
        <v>860</v>
      </c>
      <c r="AG64" s="770"/>
    </row>
    <row r="65" spans="2:33" x14ac:dyDescent="0.2">
      <c r="B65" s="764">
        <f t="shared" ca="1" si="19"/>
        <v>54</v>
      </c>
      <c r="D65" s="772" t="s">
        <v>932</v>
      </c>
      <c r="F65" s="764" t="str">
        <f>+INDEX('BGM-9 (2) Detailed Summary'!$10:$10&amp;" "&amp;'BGM-9 (2) Detailed Summary'!$11:$11,1,MATCH(D65,'BGM-9 (2) Detailed Summary'!$79:$79,0))</f>
        <v>REGULATORY  ASSETS &amp; LIAB</v>
      </c>
      <c r="I65" s="768">
        <v>9100.1154800387612</v>
      </c>
      <c r="J65" s="768"/>
      <c r="K65" s="768">
        <v>-23391.891903797139</v>
      </c>
      <c r="L65" s="768"/>
      <c r="M65" s="768">
        <f t="shared" si="13"/>
        <v>-14424.284149440682</v>
      </c>
      <c r="P65" s="768">
        <f>+INDEX('BGM-9 (2) Detailed Summary'!$46:$46,1,MATCH($D65,'BGM-9 (2) Detailed Summary'!$79:$79,0))/1000</f>
        <v>9100.1154800387612</v>
      </c>
      <c r="Q65" s="768"/>
      <c r="R65" s="768">
        <f>+INDEX('BGM-9 (2) Detailed Summary'!$48:$48,1,MATCH($D65,'BGM-9 (2) Detailed Summary'!$79:$79,0))/1000</f>
        <v>-23391.891903797139</v>
      </c>
      <c r="S65" s="768"/>
      <c r="T65" s="768">
        <f t="shared" si="14"/>
        <v>-14424.284149440682</v>
      </c>
      <c r="W65" s="768">
        <f t="shared" si="15"/>
        <v>0</v>
      </c>
      <c r="X65" s="768"/>
      <c r="Y65" s="768">
        <f t="shared" si="16"/>
        <v>0</v>
      </c>
      <c r="Z65" s="768"/>
      <c r="AA65" s="768">
        <f t="shared" si="17"/>
        <v>0</v>
      </c>
      <c r="AB65" s="769"/>
      <c r="AC65" s="768">
        <f t="shared" si="18"/>
        <v>0</v>
      </c>
      <c r="AE65" s="764" t="s">
        <v>860</v>
      </c>
      <c r="AG65" s="770"/>
    </row>
    <row r="66" spans="2:33" x14ac:dyDescent="0.2">
      <c r="B66" s="764">
        <f t="shared" ca="1" si="19"/>
        <v>55</v>
      </c>
      <c r="D66" s="772" t="s">
        <v>933</v>
      </c>
      <c r="F66" s="764" t="str">
        <f>+INDEX('BGM-9 (2) Detailed Summary'!$10:$10&amp;" "&amp;'BGM-9 (2) Detailed Summary'!$11:$11,1,MATCH(D66,'BGM-9 (2) Detailed Summary'!$79:$79,0))</f>
        <v>REMOVE EIM</v>
      </c>
      <c r="I66" s="768">
        <v>4478.7338338600002</v>
      </c>
      <c r="J66" s="768"/>
      <c r="K66" s="768">
        <v>-3321.4699169705859</v>
      </c>
      <c r="L66" s="768"/>
      <c r="M66" s="768">
        <f t="shared" si="13"/>
        <v>-6289.1117138853861</v>
      </c>
      <c r="P66" s="768">
        <f>+INDEX('BGM-9 (2) Detailed Summary'!$46:$46,1,MATCH($D66,'BGM-9 (2) Detailed Summary'!$79:$79,0))/1000</f>
        <v>4478.7338338600002</v>
      </c>
      <c r="Q66" s="768"/>
      <c r="R66" s="768">
        <f>+INDEX('BGM-9 (2) Detailed Summary'!$48:$48,1,MATCH($D66,'BGM-9 (2) Detailed Summary'!$79:$79,0))/1000</f>
        <v>-3321.4699169705859</v>
      </c>
      <c r="S66" s="768"/>
      <c r="T66" s="768">
        <f t="shared" si="14"/>
        <v>-6289.1117138853861</v>
      </c>
      <c r="W66" s="768">
        <f t="shared" si="15"/>
        <v>0</v>
      </c>
      <c r="X66" s="768"/>
      <c r="Y66" s="768">
        <f t="shared" si="16"/>
        <v>0</v>
      </c>
      <c r="Z66" s="768"/>
      <c r="AA66" s="768">
        <f t="shared" si="17"/>
        <v>0</v>
      </c>
      <c r="AB66" s="769"/>
      <c r="AC66" s="768">
        <f t="shared" si="18"/>
        <v>0</v>
      </c>
      <c r="AE66" s="764" t="s">
        <v>860</v>
      </c>
      <c r="AG66" s="770"/>
    </row>
    <row r="67" spans="2:33" x14ac:dyDescent="0.2">
      <c r="B67" s="764">
        <f t="shared" ca="1" si="19"/>
        <v>56</v>
      </c>
      <c r="D67" s="772" t="s">
        <v>934</v>
      </c>
      <c r="F67" s="764" t="str">
        <f>+INDEX('BGM-9 (2) Detailed Summary'!$10:$10&amp;" "&amp;'BGM-9 (2) Detailed Summary'!$11:$11,1,MATCH(D67,'BGM-9 (2) Detailed Summary'!$79:$79,0))</f>
        <v>HIGH MOLECULAR WEIGHT CABLE</v>
      </c>
      <c r="I67" s="768">
        <v>-292.76803540266951</v>
      </c>
      <c r="J67" s="768"/>
      <c r="K67" s="768">
        <v>11899.75955273651</v>
      </c>
      <c r="L67" s="768"/>
      <c r="M67" s="768">
        <f t="shared" si="13"/>
        <v>1566.3427344729134</v>
      </c>
      <c r="P67" s="768">
        <f>+INDEX('BGM-9 (2) Detailed Summary'!$46:$46,1,MATCH($D67,'BGM-9 (2) Detailed Summary'!$79:$79,0))/1000</f>
        <v>0</v>
      </c>
      <c r="Q67" s="768"/>
      <c r="R67" s="768">
        <f>+INDEX('BGM-9 (2) Detailed Summary'!$48:$48,1,MATCH($D67,'BGM-9 (2) Detailed Summary'!$79:$79,0))/1000</f>
        <v>0</v>
      </c>
      <c r="S67" s="768"/>
      <c r="T67" s="768">
        <f t="shared" si="14"/>
        <v>0</v>
      </c>
      <c r="W67" s="768">
        <f t="shared" si="15"/>
        <v>370.59244987679682</v>
      </c>
      <c r="X67" s="768"/>
      <c r="Y67" s="768">
        <f t="shared" si="16"/>
        <v>292.76803540266951</v>
      </c>
      <c r="Z67" s="768"/>
      <c r="AA67" s="768">
        <f t="shared" si="17"/>
        <v>-11899.75955273651</v>
      </c>
      <c r="AB67" s="769"/>
      <c r="AC67" s="768">
        <f t="shared" si="18"/>
        <v>-1566.3427344729134</v>
      </c>
      <c r="AE67" s="764" t="s">
        <v>979</v>
      </c>
      <c r="AG67" s="770"/>
    </row>
    <row r="68" spans="2:33" x14ac:dyDescent="0.2">
      <c r="B68" s="764">
        <f t="shared" ca="1" si="19"/>
        <v>57</v>
      </c>
      <c r="D68" s="772" t="s">
        <v>935</v>
      </c>
      <c r="F68" s="764" t="str">
        <f>+INDEX('BGM-9 (2) Detailed Summary'!$10:$10&amp;" "&amp;'BGM-9 (2) Detailed Summary'!$11:$11,1,MATCH(D68,'BGM-9 (2) Detailed Summary'!$79:$79,0))</f>
        <v>ENERGY MGMT SYSTEM (EMS)</v>
      </c>
      <c r="I68" s="768">
        <v>-2441.1445204499996</v>
      </c>
      <c r="J68" s="768"/>
      <c r="K68" s="768">
        <v>4381.5428268333326</v>
      </c>
      <c r="L68" s="768"/>
      <c r="M68" s="768">
        <f t="shared" si="13"/>
        <v>3682.1441485527534</v>
      </c>
      <c r="P68" s="768">
        <f>+INDEX('BGM-9 (2) Detailed Summary'!$46:$46,1,MATCH($D68,'BGM-9 (2) Detailed Summary'!$79:$79,0))/1000</f>
        <v>-2441.1445204499996</v>
      </c>
      <c r="Q68" s="768"/>
      <c r="R68" s="768">
        <f>+INDEX('BGM-9 (2) Detailed Summary'!$48:$48,1,MATCH($D68,'BGM-9 (2) Detailed Summary'!$79:$79,0))/1000</f>
        <v>4644.6606473233323</v>
      </c>
      <c r="S68" s="768"/>
      <c r="T68" s="768">
        <f t="shared" si="14"/>
        <v>3708.1624456116447</v>
      </c>
      <c r="W68" s="768">
        <f t="shared" si="15"/>
        <v>0</v>
      </c>
      <c r="X68" s="768"/>
      <c r="Y68" s="768">
        <f t="shared" si="16"/>
        <v>0</v>
      </c>
      <c r="Z68" s="768"/>
      <c r="AA68" s="768">
        <f t="shared" si="17"/>
        <v>263.11782048999976</v>
      </c>
      <c r="AB68" s="769"/>
      <c r="AC68" s="768">
        <f t="shared" si="18"/>
        <v>26.018297058891221</v>
      </c>
      <c r="AE68" s="764" t="s">
        <v>860</v>
      </c>
      <c r="AG68" s="770"/>
    </row>
    <row r="69" spans="2:33" x14ac:dyDescent="0.2">
      <c r="B69" s="764">
        <f t="shared" ca="1" si="19"/>
        <v>58</v>
      </c>
      <c r="D69" s="772" t="s">
        <v>941</v>
      </c>
      <c r="F69" s="764" t="str">
        <f>+INDEX('BGM-9 (2) Detailed Summary'!$10:$10&amp;" "&amp;'BGM-9 (2) Detailed Summary'!$11:$11,1,MATCH(D69,'BGM-9 (2) Detailed Summary'!$79:$79,0))</f>
        <v>BOTHELL DATA CENTER</v>
      </c>
      <c r="I69" s="768">
        <v>0</v>
      </c>
      <c r="J69" s="768"/>
      <c r="K69" s="768">
        <v>0</v>
      </c>
      <c r="L69" s="768"/>
      <c r="M69" s="768">
        <f t="shared" si="13"/>
        <v>0</v>
      </c>
      <c r="P69" s="768">
        <f>+INDEX('BGM-9 (2) Detailed Summary'!$46:$46,1,MATCH($D69,'BGM-9 (2) Detailed Summary'!$79:$79,0))/1000</f>
        <v>0</v>
      </c>
      <c r="Q69" s="768"/>
      <c r="R69" s="768">
        <f>+INDEX('BGM-9 (2) Detailed Summary'!$48:$48,1,MATCH($D69,'BGM-9 (2) Detailed Summary'!$79:$79,0))/1000</f>
        <v>-52488.67</v>
      </c>
      <c r="S69" s="768"/>
      <c r="T69" s="768">
        <f t="shared" si="14"/>
        <v>-5190.3204645845453</v>
      </c>
      <c r="W69" s="768">
        <f t="shared" ref="W69" si="20">+Y69/(1-$AI$5)</f>
        <v>0</v>
      </c>
      <c r="X69" s="768"/>
      <c r="Y69" s="768">
        <f t="shared" si="16"/>
        <v>0</v>
      </c>
      <c r="Z69" s="768"/>
      <c r="AA69" s="768">
        <f t="shared" ref="AA69" si="21">+R69-K69</f>
        <v>-52488.67</v>
      </c>
      <c r="AB69" s="769"/>
      <c r="AC69" s="768">
        <f t="shared" ref="AC69" si="22">+T69-M69</f>
        <v>-5190.3204645845453</v>
      </c>
      <c r="AE69" s="764" t="s">
        <v>939</v>
      </c>
      <c r="AG69" s="770"/>
    </row>
    <row r="70" spans="2:33" x14ac:dyDescent="0.2">
      <c r="B70" s="764">
        <f t="shared" ca="1" si="19"/>
        <v>59</v>
      </c>
      <c r="D70" s="877" t="s">
        <v>992</v>
      </c>
      <c r="F70" s="764" t="str">
        <f>+INDEX('BGM-9 (2) Detailed Summary'!$10:$10&amp;" "&amp;'BGM-9 (2) Detailed Summary'!$11:$11,1,MATCH(D70,'BGM-9 (2) Detailed Summary'!$79:$79,0))</f>
        <v>REMOVE SHUFFLETON</v>
      </c>
      <c r="I70" s="768">
        <v>0</v>
      </c>
      <c r="J70" s="768"/>
      <c r="K70" s="768">
        <v>0</v>
      </c>
      <c r="L70" s="768"/>
      <c r="M70" s="768">
        <f t="shared" si="13"/>
        <v>0</v>
      </c>
      <c r="P70" s="768">
        <f>+INDEX('BGM-9 (2) Detailed Summary'!$46:$46,1,MATCH($D70,'BGM-9 (2) Detailed Summary'!$79:$79,0))/1000</f>
        <v>45.03</v>
      </c>
      <c r="Q70" s="768"/>
      <c r="R70" s="768">
        <f>+INDEX('BGM-9 (2) Detailed Summary'!$48:$48,1,MATCH($D70,'BGM-9 (2) Detailed Summary'!$79:$79,0))/1000</f>
        <v>-550.15521000000001</v>
      </c>
      <c r="S70" s="768"/>
      <c r="T70" s="768">
        <f t="shared" si="14"/>
        <v>-114.33152036450217</v>
      </c>
      <c r="W70" s="768">
        <f t="shared" ref="W70" si="23">+Y70/(1-$AI$5)</f>
        <v>57</v>
      </c>
      <c r="X70" s="768"/>
      <c r="Y70" s="768">
        <f t="shared" ref="Y70" si="24">+P70-I70</f>
        <v>45.03</v>
      </c>
      <c r="Z70" s="768"/>
      <c r="AA70" s="768">
        <f t="shared" ref="AA70" si="25">+R70-K70</f>
        <v>-550.15521000000001</v>
      </c>
      <c r="AB70" s="769"/>
      <c r="AC70" s="768">
        <f t="shared" ref="AC70" si="26">+T70-M70</f>
        <v>-114.33152036450217</v>
      </c>
      <c r="AE70" s="764" t="s">
        <v>979</v>
      </c>
      <c r="AG70" s="770"/>
    </row>
    <row r="71" spans="2:33" x14ac:dyDescent="0.2">
      <c r="I71" s="797"/>
      <c r="J71" s="773"/>
      <c r="K71" s="797"/>
      <c r="L71" s="773"/>
      <c r="M71" s="797"/>
      <c r="O71" s="771"/>
      <c r="P71" s="797"/>
      <c r="Q71" s="773"/>
      <c r="R71" s="797"/>
      <c r="S71" s="773"/>
      <c r="T71" s="797"/>
      <c r="W71" s="797"/>
      <c r="X71" s="764"/>
      <c r="Y71" s="797"/>
      <c r="Z71" s="773"/>
      <c r="AA71" s="797"/>
      <c r="AB71" s="773"/>
      <c r="AC71" s="798"/>
      <c r="AG71" s="770"/>
    </row>
    <row r="72" spans="2:33" ht="13.5" thickBot="1" x14ac:dyDescent="0.25">
      <c r="B72" s="771">
        <f t="shared" ca="1" si="19"/>
        <v>60</v>
      </c>
      <c r="F72" s="771" t="s">
        <v>938</v>
      </c>
      <c r="I72" s="766">
        <f>+SUM(I$40:I$71)</f>
        <v>337744.77564435755</v>
      </c>
      <c r="J72" s="768"/>
      <c r="K72" s="766">
        <f>+SUM(K$40:K$71)</f>
        <v>5428376.6761535732</v>
      </c>
      <c r="L72" s="768"/>
      <c r="M72" s="766">
        <f>+SUM(M$40:M$71)</f>
        <v>87284.09607622902</v>
      </c>
      <c r="P72" s="766">
        <f>+SUM(P$40:P$71)</f>
        <v>367514.45373527048</v>
      </c>
      <c r="Q72" s="768"/>
      <c r="R72" s="766">
        <f>+SUM(R$40:R$71)</f>
        <v>5250432.1781150736</v>
      </c>
      <c r="S72" s="768"/>
      <c r="T72" s="766">
        <f>+SUM(T$40:T$71)</f>
        <v>30068.177261175908</v>
      </c>
      <c r="W72" s="766">
        <f>+SUM(W$40:W$71)</f>
        <v>37683.136823940535</v>
      </c>
      <c r="X72" s="769"/>
      <c r="Y72" s="766">
        <f>+SUM(Y$40:Y$71)</f>
        <v>29769.678090913021</v>
      </c>
      <c r="Z72" s="768"/>
      <c r="AA72" s="766">
        <f>+SUM(AA$40:AA$71)</f>
        <v>-177944.49803850008</v>
      </c>
      <c r="AB72" s="768"/>
      <c r="AC72" s="766">
        <f>+($AA72*$AK$12-$Y72)/$AI$4</f>
        <v>-57215.918815053323</v>
      </c>
      <c r="AG72" s="770"/>
    </row>
    <row r="73" spans="2:33" ht="13.5" thickTop="1" x14ac:dyDescent="0.2"/>
    <row r="74" spans="2:33" ht="13.5" thickBot="1" x14ac:dyDescent="0.25">
      <c r="K74" s="767" t="s">
        <v>859</v>
      </c>
      <c r="M74" s="766">
        <f>+'[8]Detailed Summary'!$BK$64/1000</f>
        <v>87284.096076229354</v>
      </c>
      <c r="N74" s="795"/>
      <c r="R74" s="767" t="s">
        <v>859</v>
      </c>
      <c r="T74" s="766">
        <f>+'BGM-9 (2) Detailed Summary'!BQ64/1000</f>
        <v>30068.177261176013</v>
      </c>
    </row>
    <row r="75" spans="2:33" ht="13.5" thickTop="1" x14ac:dyDescent="0.2">
      <c r="K75" s="796"/>
      <c r="L75" s="796"/>
      <c r="M75" s="796"/>
      <c r="N75" s="795"/>
      <c r="T75" s="768"/>
      <c r="AA75" s="886"/>
      <c r="AB75" s="886"/>
      <c r="AC75" s="886"/>
    </row>
    <row r="76" spans="2:33" ht="13.5" thickBot="1" x14ac:dyDescent="0.25">
      <c r="K76" s="767" t="s">
        <v>858</v>
      </c>
      <c r="M76" s="766">
        <f>+ROUND(M72-M74,4)</f>
        <v>0</v>
      </c>
      <c r="N76" s="795"/>
      <c r="R76" s="767" t="s">
        <v>858</v>
      </c>
      <c r="T76" s="766">
        <f>+ROUND(T72-T74,4)</f>
        <v>0</v>
      </c>
      <c r="AA76" s="906" t="s">
        <v>1013</v>
      </c>
      <c r="AB76" s="906"/>
      <c r="AC76" s="906"/>
    </row>
    <row r="77" spans="2:33" ht="13.5" thickTop="1" x14ac:dyDescent="0.2">
      <c r="D77" s="876"/>
      <c r="T77" s="897"/>
      <c r="AA77" s="907" t="s">
        <v>1015</v>
      </c>
      <c r="AB77" s="908"/>
      <c r="AC77" s="907" t="s">
        <v>1014</v>
      </c>
    </row>
    <row r="78" spans="2:33" x14ac:dyDescent="0.2">
      <c r="K78" s="891" t="s">
        <v>1012</v>
      </c>
      <c r="L78" s="885"/>
      <c r="M78" s="892">
        <f>+($K$72*$AK$39-$I$72)/$AI$4</f>
        <v>101010.70838701642</v>
      </c>
      <c r="N78" s="886"/>
      <c r="O78" s="885"/>
      <c r="P78" s="885"/>
      <c r="Q78" s="885"/>
      <c r="R78" s="885"/>
      <c r="S78" s="885"/>
      <c r="T78" s="892">
        <f>+($R$72*$AK$39-$P$72)/$AI$4</f>
        <v>43344.825377668778</v>
      </c>
      <c r="AA78" s="909">
        <f>+M78-$M$74</f>
        <v>13726.612310787066</v>
      </c>
      <c r="AB78" s="908"/>
      <c r="AC78" s="909">
        <f>+T78-$T$74</f>
        <v>13276.648116492765</v>
      </c>
    </row>
    <row r="79" spans="2:33" x14ac:dyDescent="0.2">
      <c r="K79" s="764" t="s">
        <v>1002</v>
      </c>
      <c r="M79" s="768">
        <f>+($K$72*$AK$30-$I$72)/$AI$4</f>
        <v>87284.096076228947</v>
      </c>
      <c r="T79" s="768">
        <f>+($R$72*$AK$30-$P$72)/$AI$4</f>
        <v>30068.177261175773</v>
      </c>
      <c r="AA79" s="909">
        <f>+M79-$M$74</f>
        <v>-4.0745362639427185E-10</v>
      </c>
      <c r="AC79" s="769">
        <f>+T79-$T$74</f>
        <v>-2.4010660126805305E-10</v>
      </c>
    </row>
    <row r="80" spans="2:33" x14ac:dyDescent="0.2">
      <c r="K80" s="764" t="s">
        <v>1003</v>
      </c>
      <c r="M80" s="768">
        <f>+($K$72*$AK$21-$I$72)/$AI$4</f>
        <v>80059.563281077659</v>
      </c>
      <c r="T80" s="768">
        <f>+($R$72*$AK$21-$P$72)/$AI$4</f>
        <v>23080.46772617946</v>
      </c>
      <c r="AA80" s="909">
        <f>+M80-$M$74</f>
        <v>-7224.5327951516956</v>
      </c>
      <c r="AC80" s="769">
        <f>+T80-$T$74</f>
        <v>-6987.709534996553</v>
      </c>
    </row>
    <row r="82" spans="13:20" x14ac:dyDescent="0.2">
      <c r="N82" s="764"/>
    </row>
    <row r="83" spans="13:20" x14ac:dyDescent="0.2">
      <c r="M83" s="768"/>
      <c r="T83" s="768"/>
    </row>
  </sheetData>
  <pageMargins left="0.25" right="0.25" top="1.5" bottom="0.75" header="0.8" footer="0.3"/>
  <pageSetup scale="75" pageOrder="overThenDown" orientation="portrait" r:id="rId1"/>
  <rowBreaks count="1" manualBreakCount="1">
    <brk id="41" max="31" man="1"/>
  </rowBreaks>
  <colBreaks count="1" manualBreakCount="1">
    <brk id="20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E66300"/>
  </sheetPr>
  <dimension ref="A1:AW83"/>
  <sheetViews>
    <sheetView zoomScaleNormal="100" zoomScaleSheetLayoutView="85" workbookViewId="0"/>
  </sheetViews>
  <sheetFormatPr defaultRowHeight="12.75" x14ac:dyDescent="0.2"/>
  <cols>
    <col min="1" max="1" width="1.42578125" style="764" customWidth="1"/>
    <col min="2" max="2" width="5.7109375" style="764" customWidth="1"/>
    <col min="3" max="3" width="1.42578125" style="764" customWidth="1"/>
    <col min="4" max="4" width="8" style="764" customWidth="1"/>
    <col min="5" max="5" width="1.42578125" style="764" customWidth="1"/>
    <col min="6" max="6" width="41.42578125" style="764" customWidth="1"/>
    <col min="7" max="8" width="1.42578125" style="765" customWidth="1"/>
    <col min="9" max="9" width="10.42578125" style="764" customWidth="1"/>
    <col min="10" max="10" width="1.42578125" style="764" customWidth="1"/>
    <col min="11" max="11" width="10.42578125" style="764" customWidth="1"/>
    <col min="12" max="12" width="1.42578125" style="764" customWidth="1"/>
    <col min="13" max="13" width="10.42578125" style="764" customWidth="1"/>
    <col min="14" max="14" width="1.42578125" style="765" customWidth="1"/>
    <col min="15" max="15" width="1.42578125" style="764" customWidth="1"/>
    <col min="16" max="16" width="10.42578125" style="764" customWidth="1"/>
    <col min="17" max="17" width="1.42578125" style="764" customWidth="1"/>
    <col min="18" max="18" width="10.42578125" style="764" customWidth="1"/>
    <col min="19" max="19" width="1.42578125" style="764" customWidth="1"/>
    <col min="20" max="20" width="10.42578125" style="764" customWidth="1"/>
    <col min="21" max="22" width="1.42578125" style="764" customWidth="1"/>
    <col min="23" max="23" width="10.42578125" style="765" customWidth="1"/>
    <col min="24" max="24" width="1.42578125" style="765" customWidth="1"/>
    <col min="25" max="25" width="10.42578125" style="765" customWidth="1"/>
    <col min="26" max="26" width="1.28515625" style="765" customWidth="1"/>
    <col min="27" max="27" width="10.42578125" style="765" customWidth="1"/>
    <col min="28" max="28" width="1.42578125" style="765" customWidth="1"/>
    <col min="29" max="29" width="10.42578125" style="765" customWidth="1"/>
    <col min="30" max="30" width="1.42578125" style="765" customWidth="1"/>
    <col min="31" max="31" width="20.85546875" style="765" customWidth="1"/>
    <col min="32" max="33" width="2.7109375" style="765" customWidth="1"/>
    <col min="34" max="34" width="21.140625" style="765" customWidth="1"/>
    <col min="35" max="37" width="11.85546875" style="764" customWidth="1"/>
    <col min="38" max="16384" width="9.140625" style="764"/>
  </cols>
  <sheetData>
    <row r="1" spans="1:49" x14ac:dyDescent="0.2">
      <c r="A1" s="895" t="s">
        <v>1018</v>
      </c>
      <c r="B1" s="896"/>
      <c r="C1" s="896"/>
      <c r="D1" s="897"/>
      <c r="E1" s="896"/>
      <c r="F1" s="896"/>
      <c r="I1" s="765"/>
      <c r="J1" s="771"/>
      <c r="K1" s="771"/>
      <c r="L1" s="771"/>
      <c r="M1" s="771"/>
      <c r="O1" s="771"/>
      <c r="P1" s="771"/>
      <c r="Q1" s="771"/>
      <c r="R1" s="771"/>
      <c r="S1" s="771"/>
      <c r="T1" s="771"/>
      <c r="X1" s="785"/>
      <c r="AG1" s="770"/>
      <c r="AI1" s="765"/>
      <c r="AJ1" s="765"/>
      <c r="AK1" s="765"/>
      <c r="AL1" s="765"/>
      <c r="AM1" s="765"/>
    </row>
    <row r="2" spans="1:49" x14ac:dyDescent="0.2">
      <c r="A2" s="895" t="s">
        <v>1019</v>
      </c>
      <c r="B2" s="896"/>
      <c r="C2" s="896"/>
      <c r="D2" s="896"/>
      <c r="E2" s="896"/>
      <c r="F2" s="896"/>
      <c r="H2" s="774"/>
      <c r="I2" s="893" t="s">
        <v>1017</v>
      </c>
      <c r="J2" s="894"/>
      <c r="K2" s="894"/>
      <c r="L2" s="894"/>
      <c r="M2" s="894"/>
      <c r="O2" s="771"/>
      <c r="P2" s="779" t="s">
        <v>936</v>
      </c>
      <c r="Q2" s="786"/>
      <c r="R2" s="786"/>
      <c r="S2" s="786"/>
      <c r="T2" s="786"/>
      <c r="W2" s="779" t="s">
        <v>937</v>
      </c>
      <c r="X2" s="792"/>
      <c r="Y2" s="791"/>
      <c r="Z2" s="791"/>
      <c r="AA2" s="791"/>
      <c r="AB2" s="791"/>
      <c r="AC2" s="791"/>
      <c r="AD2" s="785"/>
      <c r="AE2" s="785"/>
      <c r="AG2" s="770"/>
      <c r="AH2" s="790" t="s">
        <v>881</v>
      </c>
      <c r="AI2" s="790"/>
      <c r="AJ2" s="790"/>
      <c r="AK2" s="790"/>
      <c r="AL2" s="765"/>
      <c r="AM2" s="765"/>
    </row>
    <row r="3" spans="1:49" x14ac:dyDescent="0.2">
      <c r="B3" s="771"/>
      <c r="C3" s="771"/>
      <c r="D3" s="771"/>
      <c r="E3" s="771"/>
      <c r="F3" s="771"/>
      <c r="I3" s="785"/>
      <c r="J3" s="785"/>
      <c r="K3" s="785"/>
      <c r="L3" s="785"/>
      <c r="M3" s="785" t="s">
        <v>879</v>
      </c>
      <c r="P3" s="785"/>
      <c r="Q3" s="785"/>
      <c r="R3" s="785"/>
      <c r="S3" s="785"/>
      <c r="T3" s="785" t="s">
        <v>879</v>
      </c>
      <c r="W3" s="785" t="s">
        <v>880</v>
      </c>
      <c r="X3" s="785"/>
      <c r="Y3" s="785"/>
      <c r="Z3" s="785"/>
      <c r="AA3" s="785"/>
      <c r="AB3" s="785"/>
      <c r="AC3" s="785" t="s">
        <v>879</v>
      </c>
      <c r="AD3" s="785"/>
      <c r="AE3" s="785"/>
      <c r="AG3" s="770"/>
      <c r="AH3" s="764"/>
    </row>
    <row r="4" spans="1:49" x14ac:dyDescent="0.2">
      <c r="B4" s="771"/>
      <c r="C4" s="771"/>
      <c r="D4" s="789" t="s">
        <v>878</v>
      </c>
      <c r="E4" s="771"/>
      <c r="F4" s="771"/>
      <c r="I4" s="785" t="s">
        <v>877</v>
      </c>
      <c r="J4" s="785"/>
      <c r="K4" s="785"/>
      <c r="L4" s="785"/>
      <c r="M4" s="785" t="s">
        <v>876</v>
      </c>
      <c r="P4" s="785" t="s">
        <v>877</v>
      </c>
      <c r="Q4" s="785"/>
      <c r="R4" s="785"/>
      <c r="S4" s="785"/>
      <c r="T4" s="785" t="s">
        <v>876</v>
      </c>
      <c r="W4" s="785" t="s">
        <v>877</v>
      </c>
      <c r="X4" s="785"/>
      <c r="Y4" s="785" t="s">
        <v>877</v>
      </c>
      <c r="Z4" s="785"/>
      <c r="AA4" s="785"/>
      <c r="AB4" s="785"/>
      <c r="AC4" s="785" t="s">
        <v>876</v>
      </c>
      <c r="AD4" s="785"/>
      <c r="AE4" s="785"/>
      <c r="AG4" s="770"/>
      <c r="AH4" s="764" t="s">
        <v>875</v>
      </c>
      <c r="AI4" s="788">
        <f>+'Table 1-CA'!N6</f>
        <v>0.75138099999999997</v>
      </c>
    </row>
    <row r="5" spans="1:49" x14ac:dyDescent="0.2">
      <c r="B5" s="786" t="s">
        <v>706</v>
      </c>
      <c r="C5" s="771"/>
      <c r="D5" s="787" t="s">
        <v>874</v>
      </c>
      <c r="E5" s="771"/>
      <c r="F5" s="786" t="s">
        <v>122</v>
      </c>
      <c r="I5" s="784" t="s">
        <v>873</v>
      </c>
      <c r="J5" s="785"/>
      <c r="K5" s="784" t="s">
        <v>743</v>
      </c>
      <c r="L5" s="785"/>
      <c r="M5" s="784" t="s">
        <v>872</v>
      </c>
      <c r="P5" s="784" t="s">
        <v>873</v>
      </c>
      <c r="Q5" s="785"/>
      <c r="R5" s="784" t="s">
        <v>743</v>
      </c>
      <c r="S5" s="785"/>
      <c r="T5" s="784" t="s">
        <v>872</v>
      </c>
      <c r="W5" s="784" t="s">
        <v>873</v>
      </c>
      <c r="X5" s="785"/>
      <c r="Y5" s="784" t="s">
        <v>873</v>
      </c>
      <c r="Z5" s="785"/>
      <c r="AA5" s="784" t="s">
        <v>743</v>
      </c>
      <c r="AB5" s="785"/>
      <c r="AC5" s="784" t="s">
        <v>872</v>
      </c>
      <c r="AD5" s="785"/>
      <c r="AE5" s="784" t="s">
        <v>1009</v>
      </c>
      <c r="AG5" s="770"/>
      <c r="AH5" s="764" t="s">
        <v>854</v>
      </c>
      <c r="AI5" s="783">
        <v>0.21</v>
      </c>
    </row>
    <row r="6" spans="1:49" x14ac:dyDescent="0.2">
      <c r="AG6" s="770"/>
      <c r="AH6" s="764"/>
    </row>
    <row r="7" spans="1:49" x14ac:dyDescent="0.2">
      <c r="B7" s="764">
        <v>1</v>
      </c>
      <c r="D7" s="782"/>
      <c r="E7" s="771"/>
      <c r="F7" s="771" t="s">
        <v>940</v>
      </c>
      <c r="I7" s="794">
        <f>+'BGM-9 (2) Detailed Summary'!C46/1000</f>
        <v>391140.69110000064</v>
      </c>
      <c r="J7" s="773"/>
      <c r="K7" s="773">
        <f>+'BGM-9 (2) Detailed Summary'!C48/1000</f>
        <v>5208778.5063049914</v>
      </c>
      <c r="L7" s="773"/>
      <c r="M7" s="773">
        <f>+($K7*$AK$12-$I7)/$AI$4</f>
        <v>-5494.4802723781531</v>
      </c>
      <c r="O7" s="771"/>
      <c r="P7" s="781">
        <f>+I7</f>
        <v>391140.69110000064</v>
      </c>
      <c r="Q7" s="773"/>
      <c r="R7" s="773">
        <f>+K7</f>
        <v>5208778.5063049914</v>
      </c>
      <c r="S7" s="773"/>
      <c r="T7" s="773">
        <f>+($R7*$AK$12-$P7)/$AI$4</f>
        <v>-5494.4802723781531</v>
      </c>
      <c r="AG7" s="770"/>
      <c r="AH7" s="764"/>
      <c r="AO7" s="768"/>
      <c r="AP7" s="768"/>
      <c r="AQ7" s="768"/>
      <c r="AR7" s="780"/>
      <c r="AT7" s="780"/>
      <c r="AU7" s="775"/>
      <c r="AV7" s="775"/>
      <c r="AW7" s="775"/>
    </row>
    <row r="8" spans="1:49" x14ac:dyDescent="0.2">
      <c r="D8" s="772"/>
      <c r="I8" s="768"/>
      <c r="J8" s="768"/>
      <c r="K8" s="768"/>
      <c r="L8" s="768"/>
      <c r="M8" s="768"/>
      <c r="P8" s="768"/>
      <c r="Q8" s="768"/>
      <c r="R8" s="768"/>
      <c r="S8" s="768"/>
      <c r="T8" s="768"/>
      <c r="AE8" s="764"/>
      <c r="AG8" s="770"/>
      <c r="AH8" s="764" t="s">
        <v>871</v>
      </c>
      <c r="AI8" s="764" t="s">
        <v>870</v>
      </c>
      <c r="AK8" s="764" t="s">
        <v>869</v>
      </c>
      <c r="AO8" s="768"/>
      <c r="AP8" s="768"/>
      <c r="AQ8" s="768"/>
      <c r="AR8" s="780"/>
      <c r="AT8" s="780"/>
      <c r="AU8" s="775"/>
      <c r="AV8" s="775"/>
      <c r="AW8" s="775"/>
    </row>
    <row r="9" spans="1:49" x14ac:dyDescent="0.2">
      <c r="B9" s="774" t="s">
        <v>868</v>
      </c>
      <c r="D9" s="772"/>
      <c r="I9" s="768"/>
      <c r="J9" s="768"/>
      <c r="K9" s="768"/>
      <c r="L9" s="768"/>
      <c r="M9" s="768"/>
      <c r="P9" s="768"/>
      <c r="Q9" s="768"/>
      <c r="R9" s="768"/>
      <c r="S9" s="768"/>
      <c r="T9" s="768"/>
      <c r="AE9" s="764"/>
      <c r="AG9" s="770"/>
      <c r="AH9" s="779" t="s">
        <v>867</v>
      </c>
      <c r="AI9" s="779" t="s">
        <v>866</v>
      </c>
      <c r="AJ9" s="779" t="s">
        <v>865</v>
      </c>
      <c r="AK9" s="779" t="s">
        <v>865</v>
      </c>
      <c r="AO9" s="768"/>
      <c r="AP9" s="768"/>
      <c r="AQ9" s="768"/>
      <c r="AU9" s="775"/>
      <c r="AV9" s="775"/>
    </row>
    <row r="10" spans="1:49" x14ac:dyDescent="0.2">
      <c r="B10" s="764">
        <f t="shared" ref="B10:B38" ca="1" si="0">+MAX(OFFSET($B$7,0,0,ROW($B10)-ROW($B$7),1))+1</f>
        <v>2</v>
      </c>
      <c r="D10" s="772" t="s">
        <v>884</v>
      </c>
      <c r="F10" s="764" t="str">
        <f>+INDEX('BGM-9 (2) Detailed Summary'!$10:$10&amp;" "&amp;'BGM-9 (2) Detailed Summary'!$11:$11,1,MATCH(D10,'BGM-9 (2) Detailed Summary'!$79:$79,0))</f>
        <v>REVENUES &amp; EXPENSES</v>
      </c>
      <c r="I10" s="768">
        <v>8327.8001577338418</v>
      </c>
      <c r="J10" s="768"/>
      <c r="K10" s="768">
        <v>0</v>
      </c>
      <c r="L10" s="768"/>
      <c r="M10" s="768">
        <f>+($K10*$AK$12-$I10)/$AI$4</f>
        <v>-11083.325447055278</v>
      </c>
      <c r="P10" s="768">
        <f>+INDEX('BGM-9 (2) Detailed Summary'!$46:$46,1,MATCH($D10,'BGM-9 (2) Detailed Summary'!$79:$79,0))/1000</f>
        <v>8327.8001577338418</v>
      </c>
      <c r="Q10" s="768"/>
      <c r="R10" s="768">
        <f>+INDEX('BGM-9 (2) Detailed Summary'!$48:$48,1,MATCH($D10,'BGM-9 (2) Detailed Summary'!$79:$79,0))/1000</f>
        <v>0</v>
      </c>
      <c r="S10" s="768"/>
      <c r="T10" s="768">
        <f>+($R10*$AK$12-$P10)/$AI$4</f>
        <v>-11083.325447055278</v>
      </c>
      <c r="W10" s="768">
        <f>+Y10/(1-$AI$5)</f>
        <v>0</v>
      </c>
      <c r="X10" s="768"/>
      <c r="Y10" s="768">
        <f>+P10-I10</f>
        <v>0</v>
      </c>
      <c r="Z10" s="768"/>
      <c r="AA10" s="768">
        <f>+R10-K10</f>
        <v>0</v>
      </c>
      <c r="AB10" s="769"/>
      <c r="AC10" s="768">
        <f>+T10-M10</f>
        <v>0</v>
      </c>
      <c r="AE10" s="764" t="s">
        <v>860</v>
      </c>
      <c r="AG10" s="770"/>
      <c r="AH10" s="764" t="s">
        <v>864</v>
      </c>
      <c r="AI10" s="764">
        <v>0.51500000000000001</v>
      </c>
      <c r="AJ10" s="775">
        <v>5.5728155339805824E-2</v>
      </c>
      <c r="AK10" s="776">
        <f>ROUND(AI10*AJ10,4)</f>
        <v>2.87E-2</v>
      </c>
      <c r="AO10" s="768"/>
      <c r="AP10" s="768"/>
      <c r="AQ10" s="768"/>
    </row>
    <row r="11" spans="1:49" x14ac:dyDescent="0.2">
      <c r="B11" s="764">
        <f t="shared" ca="1" si="0"/>
        <v>3</v>
      </c>
      <c r="D11" s="772" t="s">
        <v>885</v>
      </c>
      <c r="F11" s="764" t="str">
        <f>+INDEX('BGM-9 (2) Detailed Summary'!$10:$10&amp;" "&amp;'BGM-9 (2) Detailed Summary'!$11:$11,1,MATCH(D11,'BGM-9 (2) Detailed Summary'!$79:$79,0))</f>
        <v>TEMPERATURE NORMALIZATION</v>
      </c>
      <c r="I11" s="768">
        <v>3965.156966386</v>
      </c>
      <c r="J11" s="768"/>
      <c r="K11" s="768">
        <v>0</v>
      </c>
      <c r="L11" s="768"/>
      <c r="M11" s="768">
        <f t="shared" ref="M11:M38" si="1">+($K11*$AK$12-$I11)/$AI$4</f>
        <v>-5277.1589465078305</v>
      </c>
      <c r="P11" s="768">
        <f>+INDEX('BGM-9 (2) Detailed Summary'!$46:$46,1,MATCH($D11,'BGM-9 (2) Detailed Summary'!$79:$79,0))/1000</f>
        <v>3965.156966386</v>
      </c>
      <c r="Q11" s="768"/>
      <c r="R11" s="768">
        <f>+INDEX('BGM-9 (2) Detailed Summary'!$48:$48,1,MATCH($D11,'BGM-9 (2) Detailed Summary'!$79:$79,0))/1000</f>
        <v>0</v>
      </c>
      <c r="S11" s="768"/>
      <c r="T11" s="768">
        <f t="shared" ref="T11:T38" si="2">+($R11*$AK$12-$P11)/$AI$4</f>
        <v>-5277.1589465078305</v>
      </c>
      <c r="W11" s="768">
        <f t="shared" ref="W11:W38" si="3">+Y11/(1-$AI$5)</f>
        <v>0</v>
      </c>
      <c r="X11" s="768"/>
      <c r="Y11" s="768">
        <f t="shared" ref="Y11:Y38" si="4">+P11-I11</f>
        <v>0</v>
      </c>
      <c r="Z11" s="768"/>
      <c r="AA11" s="768">
        <f t="shared" ref="AA11:AA38" si="5">+R11-K11</f>
        <v>0</v>
      </c>
      <c r="AB11" s="769"/>
      <c r="AC11" s="768">
        <f t="shared" ref="AC11:AC38" si="6">+T11-M11</f>
        <v>0</v>
      </c>
      <c r="AE11" s="764" t="s">
        <v>860</v>
      </c>
      <c r="AG11" s="770"/>
      <c r="AH11" s="764" t="s">
        <v>863</v>
      </c>
      <c r="AI11" s="764">
        <v>0.48499999999999999</v>
      </c>
      <c r="AJ11" s="901">
        <v>9.4E-2</v>
      </c>
      <c r="AK11" s="778">
        <f>ROUND(AI11*AJ11,4)</f>
        <v>4.5600000000000002E-2</v>
      </c>
      <c r="AO11" s="768"/>
      <c r="AP11" s="768"/>
      <c r="AQ11" s="768"/>
    </row>
    <row r="12" spans="1:49" x14ac:dyDescent="0.2">
      <c r="B12" s="764">
        <f t="shared" ca="1" si="0"/>
        <v>4</v>
      </c>
      <c r="D12" s="772" t="s">
        <v>886</v>
      </c>
      <c r="F12" s="764" t="str">
        <f>+INDEX('BGM-9 (2) Detailed Summary'!$10:$10&amp;" "&amp;'BGM-9 (2) Detailed Summary'!$11:$11,1,MATCH(D12,'BGM-9 (2) Detailed Summary'!$79:$79,0))</f>
        <v>FEDERAL INCOME TAX</v>
      </c>
      <c r="I12" s="768">
        <v>-14935.6534468275</v>
      </c>
      <c r="J12" s="768"/>
      <c r="K12" s="768">
        <v>0</v>
      </c>
      <c r="L12" s="768"/>
      <c r="M12" s="768">
        <f t="shared" si="1"/>
        <v>19877.60330222284</v>
      </c>
      <c r="P12" s="768">
        <f>+INDEX('BGM-9 (2) Detailed Summary'!$46:$46,1,MATCH($D12,'BGM-9 (2) Detailed Summary'!$79:$79,0))/1000</f>
        <v>-8177.0032254878279</v>
      </c>
      <c r="Q12" s="768"/>
      <c r="R12" s="768">
        <f>+INDEX('BGM-9 (2) Detailed Summary'!$48:$48,1,MATCH($D12,'BGM-9 (2) Detailed Summary'!$79:$79,0))/1000</f>
        <v>32585.069952498023</v>
      </c>
      <c r="S12" s="768"/>
      <c r="T12" s="768">
        <f t="shared" si="2"/>
        <v>14104.79360398843</v>
      </c>
      <c r="W12" s="768">
        <f t="shared" si="3"/>
        <v>8555.2534447337621</v>
      </c>
      <c r="X12" s="768"/>
      <c r="Y12" s="768">
        <f t="shared" si="4"/>
        <v>6758.6502213396725</v>
      </c>
      <c r="Z12" s="768"/>
      <c r="AA12" s="768">
        <f t="shared" si="5"/>
        <v>32585.069952498023</v>
      </c>
      <c r="AB12" s="769"/>
      <c r="AC12" s="768">
        <f t="shared" si="6"/>
        <v>-5772.8096982344105</v>
      </c>
      <c r="AE12" s="764" t="s">
        <v>1008</v>
      </c>
      <c r="AG12" s="770"/>
      <c r="AH12" s="764" t="s">
        <v>418</v>
      </c>
      <c r="AI12" s="777">
        <f>SUM(AI10:AI11)</f>
        <v>1</v>
      </c>
      <c r="AK12" s="776">
        <f>+ROUND(SUM(AK10:AK11),4)</f>
        <v>7.4300000000000005E-2</v>
      </c>
      <c r="AO12" s="768"/>
      <c r="AP12" s="768"/>
      <c r="AQ12" s="768"/>
    </row>
    <row r="13" spans="1:49" x14ac:dyDescent="0.2">
      <c r="B13" s="764">
        <f t="shared" ca="1" si="0"/>
        <v>5</v>
      </c>
      <c r="D13" s="772" t="s">
        <v>887</v>
      </c>
      <c r="F13" s="764" t="str">
        <f>+INDEX('BGM-9 (2) Detailed Summary'!$10:$10&amp;" "&amp;'BGM-9 (2) Detailed Summary'!$11:$11,1,MATCH(D13,'BGM-9 (2) Detailed Summary'!$79:$79,0))</f>
        <v>TAX BENEFIT OF INTEREST</v>
      </c>
      <c r="I13" s="892">
        <v>33105.346195786755</v>
      </c>
      <c r="J13" s="768"/>
      <c r="K13" s="768">
        <v>0</v>
      </c>
      <c r="L13" s="768"/>
      <c r="M13" s="768">
        <f t="shared" si="1"/>
        <v>-44059.333674642767</v>
      </c>
      <c r="P13" s="768">
        <f>+INDEX('BGM-9 (2) Detailed Summary'!$46:$46,1,MATCH($D13,'BGM-9 (2) Detailed Summary'!$79:$79,0))/1000</f>
        <v>32607.563054273214</v>
      </c>
      <c r="Q13" s="768"/>
      <c r="R13" s="768">
        <f>+INDEX('BGM-9 (2) Detailed Summary'!$48:$48,1,MATCH($D13,'BGM-9 (2) Detailed Summary'!$79:$79,0))/1000</f>
        <v>0</v>
      </c>
      <c r="S13" s="768"/>
      <c r="T13" s="768">
        <f t="shared" si="2"/>
        <v>-43396.842686031741</v>
      </c>
      <c r="W13" s="768">
        <f t="shared" si="3"/>
        <v>-630.10524242220333</v>
      </c>
      <c r="X13" s="768"/>
      <c r="Y13" s="768">
        <f t="shared" si="4"/>
        <v>-497.78314151354061</v>
      </c>
      <c r="Z13" s="768"/>
      <c r="AA13" s="768">
        <f t="shared" si="5"/>
        <v>0</v>
      </c>
      <c r="AB13" s="769"/>
      <c r="AC13" s="768">
        <f t="shared" si="6"/>
        <v>662.49098861102539</v>
      </c>
      <c r="AE13" s="764" t="s">
        <v>860</v>
      </c>
      <c r="AG13" s="770"/>
      <c r="AK13" s="775"/>
      <c r="AO13" s="768"/>
      <c r="AP13" s="768"/>
      <c r="AQ13" s="768"/>
    </row>
    <row r="14" spans="1:49" x14ac:dyDescent="0.2">
      <c r="B14" s="764">
        <f t="shared" ca="1" si="0"/>
        <v>6</v>
      </c>
      <c r="D14" s="772" t="s">
        <v>888</v>
      </c>
      <c r="F14" s="764" t="str">
        <f>+INDEX('BGM-9 (2) Detailed Summary'!$10:$10&amp;" "&amp;'BGM-9 (2) Detailed Summary'!$11:$11,1,MATCH(D14,'BGM-9 (2) Detailed Summary'!$79:$79,0))</f>
        <v>PASS-THROUGH REV &amp; EXP</v>
      </c>
      <c r="I14" s="768">
        <v>-1955.9862286396026</v>
      </c>
      <c r="J14" s="768"/>
      <c r="K14" s="768">
        <v>0</v>
      </c>
      <c r="L14" s="768"/>
      <c r="M14" s="768">
        <f t="shared" si="1"/>
        <v>2603.18830079494</v>
      </c>
      <c r="P14" s="768">
        <f>+INDEX('BGM-9 (2) Detailed Summary'!$46:$46,1,MATCH($D14,'BGM-9 (2) Detailed Summary'!$79:$79,0))/1000</f>
        <v>-1955.9862286396026</v>
      </c>
      <c r="Q14" s="768"/>
      <c r="R14" s="768">
        <f>+INDEX('BGM-9 (2) Detailed Summary'!$48:$48,1,MATCH($D14,'BGM-9 (2) Detailed Summary'!$79:$79,0))/1000</f>
        <v>0</v>
      </c>
      <c r="S14" s="768"/>
      <c r="T14" s="768">
        <f t="shared" si="2"/>
        <v>2603.18830079494</v>
      </c>
      <c r="W14" s="768">
        <f t="shared" si="3"/>
        <v>0</v>
      </c>
      <c r="X14" s="768"/>
      <c r="Y14" s="768">
        <f t="shared" si="4"/>
        <v>0</v>
      </c>
      <c r="Z14" s="768"/>
      <c r="AA14" s="768">
        <f t="shared" si="5"/>
        <v>0</v>
      </c>
      <c r="AB14" s="769"/>
      <c r="AC14" s="768">
        <f t="shared" si="6"/>
        <v>0</v>
      </c>
      <c r="AE14" s="764" t="s">
        <v>860</v>
      </c>
      <c r="AG14" s="770"/>
      <c r="AJ14" s="767"/>
      <c r="AK14" s="775"/>
      <c r="AO14" s="768"/>
      <c r="AP14" s="768"/>
      <c r="AQ14" s="768"/>
    </row>
    <row r="15" spans="1:49" x14ac:dyDescent="0.2">
      <c r="B15" s="764">
        <f t="shared" ca="1" si="0"/>
        <v>7</v>
      </c>
      <c r="D15" s="772" t="s">
        <v>889</v>
      </c>
      <c r="F15" s="764" t="str">
        <f>+INDEX('BGM-9 (2) Detailed Summary'!$10:$10&amp;" "&amp;'BGM-9 (2) Detailed Summary'!$11:$11,1,MATCH(D15,'BGM-9 (2) Detailed Summary'!$79:$79,0))</f>
        <v>INJURIES &amp; DAMAGES</v>
      </c>
      <c r="I15" s="768">
        <v>66.597374865170949</v>
      </c>
      <c r="J15" s="768"/>
      <c r="K15" s="768">
        <v>0</v>
      </c>
      <c r="L15" s="768"/>
      <c r="M15" s="768">
        <f t="shared" si="1"/>
        <v>-88.633296377165451</v>
      </c>
      <c r="P15" s="768">
        <f>+INDEX('BGM-9 (2) Detailed Summary'!$46:$46,1,MATCH($D15,'BGM-9 (2) Detailed Summary'!$79:$79,0))/1000</f>
        <v>66.597374865170949</v>
      </c>
      <c r="Q15" s="768"/>
      <c r="R15" s="768">
        <f>+INDEX('BGM-9 (2) Detailed Summary'!$48:$48,1,MATCH($D15,'BGM-9 (2) Detailed Summary'!$79:$79,0))/1000</f>
        <v>0</v>
      </c>
      <c r="S15" s="768"/>
      <c r="T15" s="768">
        <f t="shared" si="2"/>
        <v>-88.633296377165451</v>
      </c>
      <c r="W15" s="768">
        <f t="shared" si="3"/>
        <v>0</v>
      </c>
      <c r="X15" s="768"/>
      <c r="Y15" s="768">
        <f t="shared" si="4"/>
        <v>0</v>
      </c>
      <c r="Z15" s="768"/>
      <c r="AA15" s="768">
        <f t="shared" si="5"/>
        <v>0</v>
      </c>
      <c r="AB15" s="769"/>
      <c r="AC15" s="768">
        <f t="shared" si="6"/>
        <v>0</v>
      </c>
      <c r="AE15" s="764" t="s">
        <v>860</v>
      </c>
      <c r="AG15" s="770"/>
      <c r="AJ15" s="767"/>
      <c r="AK15" s="775"/>
      <c r="AO15" s="768"/>
      <c r="AP15" s="768"/>
      <c r="AQ15" s="768"/>
    </row>
    <row r="16" spans="1:49" ht="13.5" x14ac:dyDescent="0.25">
      <c r="B16" s="764">
        <f t="shared" ca="1" si="0"/>
        <v>8</v>
      </c>
      <c r="D16" s="772" t="s">
        <v>890</v>
      </c>
      <c r="F16" s="764" t="str">
        <f>+INDEX('BGM-9 (2) Detailed Summary'!$10:$10&amp;" "&amp;'BGM-9 (2) Detailed Summary'!$11:$11,1,MATCH(D16,'BGM-9 (2) Detailed Summary'!$79:$79,0))</f>
        <v>BAD DEBTS</v>
      </c>
      <c r="I16" s="768">
        <v>303.15375903630911</v>
      </c>
      <c r="J16" s="768"/>
      <c r="K16" s="768">
        <v>0</v>
      </c>
      <c r="L16" s="768"/>
      <c r="M16" s="768">
        <f t="shared" si="1"/>
        <v>-403.46210382789707</v>
      </c>
      <c r="P16" s="768">
        <f>+INDEX('BGM-9 (2) Detailed Summary'!$46:$46,1,MATCH($D16,'BGM-9 (2) Detailed Summary'!$79:$79,0))/1000</f>
        <v>303.15375903630911</v>
      </c>
      <c r="Q16" s="768"/>
      <c r="R16" s="768">
        <f>+INDEX('BGM-9 (2) Detailed Summary'!$48:$48,1,MATCH($D16,'BGM-9 (2) Detailed Summary'!$79:$79,0))/1000</f>
        <v>0</v>
      </c>
      <c r="S16" s="768"/>
      <c r="T16" s="768">
        <f t="shared" si="2"/>
        <v>-403.46210382789707</v>
      </c>
      <c r="W16" s="768">
        <f t="shared" si="3"/>
        <v>0</v>
      </c>
      <c r="X16" s="768"/>
      <c r="Y16" s="768">
        <f t="shared" si="4"/>
        <v>0</v>
      </c>
      <c r="Z16" s="768"/>
      <c r="AA16" s="768">
        <f t="shared" si="5"/>
        <v>0</v>
      </c>
      <c r="AB16" s="769"/>
      <c r="AC16" s="768">
        <f t="shared" si="6"/>
        <v>0</v>
      </c>
      <c r="AE16" s="764" t="s">
        <v>860</v>
      </c>
      <c r="AG16" s="770"/>
      <c r="AH16" s="881" t="s">
        <v>979</v>
      </c>
      <c r="AJ16" s="767"/>
      <c r="AK16" s="768"/>
      <c r="AO16" s="768"/>
      <c r="AP16" s="768"/>
      <c r="AQ16" s="768"/>
    </row>
    <row r="17" spans="2:43" x14ac:dyDescent="0.2">
      <c r="B17" s="764">
        <f t="shared" ca="1" si="0"/>
        <v>9</v>
      </c>
      <c r="D17" s="772" t="s">
        <v>891</v>
      </c>
      <c r="F17" s="764" t="str">
        <f>+INDEX('BGM-9 (2) Detailed Summary'!$10:$10&amp;" "&amp;'BGM-9 (2) Detailed Summary'!$11:$11,1,MATCH(D17,'BGM-9 (2) Detailed Summary'!$79:$79,0))</f>
        <v>INCENTIVE PAY</v>
      </c>
      <c r="I17" s="768">
        <v>184.1451640152801</v>
      </c>
      <c r="J17" s="768"/>
      <c r="K17" s="768">
        <v>0</v>
      </c>
      <c r="L17" s="768"/>
      <c r="M17" s="768">
        <f t="shared" si="1"/>
        <v>-245.0756194464328</v>
      </c>
      <c r="P17" s="768">
        <f>+INDEX('BGM-9 (2) Detailed Summary'!$46:$46,1,MATCH($D17,'BGM-9 (2) Detailed Summary'!$79:$79,0))/1000</f>
        <v>184.1451640152801</v>
      </c>
      <c r="Q17" s="768"/>
      <c r="R17" s="768">
        <f>+INDEX('BGM-9 (2) Detailed Summary'!$48:$48,1,MATCH($D17,'BGM-9 (2) Detailed Summary'!$79:$79,0))/1000</f>
        <v>0</v>
      </c>
      <c r="S17" s="768"/>
      <c r="T17" s="768">
        <f t="shared" si="2"/>
        <v>-245.0756194464328</v>
      </c>
      <c r="W17" s="768">
        <f t="shared" si="3"/>
        <v>0</v>
      </c>
      <c r="X17" s="768"/>
      <c r="Y17" s="768">
        <f t="shared" si="4"/>
        <v>0</v>
      </c>
      <c r="Z17" s="768"/>
      <c r="AA17" s="768">
        <f t="shared" si="5"/>
        <v>0</v>
      </c>
      <c r="AB17" s="769"/>
      <c r="AC17" s="768">
        <f t="shared" si="6"/>
        <v>0</v>
      </c>
      <c r="AE17" s="764" t="s">
        <v>860</v>
      </c>
      <c r="AG17" s="770"/>
      <c r="AH17" s="764" t="s">
        <v>871</v>
      </c>
      <c r="AI17" s="764" t="s">
        <v>870</v>
      </c>
      <c r="AK17" s="764" t="s">
        <v>869</v>
      </c>
      <c r="AO17" s="768"/>
      <c r="AP17" s="768"/>
      <c r="AQ17" s="768"/>
    </row>
    <row r="18" spans="2:43" x14ac:dyDescent="0.2">
      <c r="B18" s="764">
        <f t="shared" ca="1" si="0"/>
        <v>10</v>
      </c>
      <c r="D18" s="772" t="s">
        <v>892</v>
      </c>
      <c r="F18" s="764" t="str">
        <f>+INDEX('BGM-9 (2) Detailed Summary'!$10:$10&amp;" "&amp;'BGM-9 (2) Detailed Summary'!$11:$11,1,MATCH(D18,'BGM-9 (2) Detailed Summary'!$79:$79,0))</f>
        <v>EXCISE TAX  &amp; FILING FEE</v>
      </c>
      <c r="I18" s="768">
        <v>71.834764841626395</v>
      </c>
      <c r="J18" s="768"/>
      <c r="K18" s="768">
        <v>0</v>
      </c>
      <c r="L18" s="768"/>
      <c r="M18" s="768">
        <f t="shared" si="1"/>
        <v>-95.603648271151911</v>
      </c>
      <c r="P18" s="768">
        <f>+INDEX('BGM-9 (2) Detailed Summary'!$46:$46,1,MATCH($D18,'BGM-9 (2) Detailed Summary'!$79:$79,0))/1000</f>
        <v>71.834764841626395</v>
      </c>
      <c r="Q18" s="768"/>
      <c r="R18" s="768">
        <f>+INDEX('BGM-9 (2) Detailed Summary'!$48:$48,1,MATCH($D18,'BGM-9 (2) Detailed Summary'!$79:$79,0))/1000</f>
        <v>0</v>
      </c>
      <c r="S18" s="768"/>
      <c r="T18" s="768">
        <f t="shared" si="2"/>
        <v>-95.603648271151911</v>
      </c>
      <c r="W18" s="768">
        <f t="shared" si="3"/>
        <v>0</v>
      </c>
      <c r="X18" s="768"/>
      <c r="Y18" s="768">
        <f t="shared" si="4"/>
        <v>0</v>
      </c>
      <c r="Z18" s="768"/>
      <c r="AA18" s="768">
        <f t="shared" si="5"/>
        <v>0</v>
      </c>
      <c r="AB18" s="769"/>
      <c r="AC18" s="768">
        <f t="shared" si="6"/>
        <v>0</v>
      </c>
      <c r="AE18" s="764" t="s">
        <v>860</v>
      </c>
      <c r="AG18" s="770"/>
      <c r="AH18" s="779" t="s">
        <v>867</v>
      </c>
      <c r="AI18" s="779" t="s">
        <v>866</v>
      </c>
      <c r="AJ18" s="779" t="s">
        <v>865</v>
      </c>
      <c r="AK18" s="779" t="s">
        <v>865</v>
      </c>
      <c r="AO18" s="768"/>
      <c r="AP18" s="768"/>
      <c r="AQ18" s="768"/>
    </row>
    <row r="19" spans="2:43" x14ac:dyDescent="0.2">
      <c r="B19" s="764">
        <f t="shared" ca="1" si="0"/>
        <v>11</v>
      </c>
      <c r="D19" s="772" t="s">
        <v>893</v>
      </c>
      <c r="F19" s="764" t="str">
        <f>+INDEX('BGM-9 (2) Detailed Summary'!$10:$10&amp;" "&amp;'BGM-9 (2) Detailed Summary'!$11:$11,1,MATCH(D19,'BGM-9 (2) Detailed Summary'!$79:$79,0))</f>
        <v>D&amp;O INSURANCE</v>
      </c>
      <c r="I19" s="768">
        <v>5.3013344264041589</v>
      </c>
      <c r="J19" s="768"/>
      <c r="K19" s="768">
        <v>0</v>
      </c>
      <c r="L19" s="768"/>
      <c r="M19" s="768">
        <f t="shared" si="1"/>
        <v>-7.0554544583961523</v>
      </c>
      <c r="P19" s="768">
        <f>+INDEX('BGM-9 (2) Detailed Summary'!$46:$46,1,MATCH($D19,'BGM-9 (2) Detailed Summary'!$79:$79,0))/1000</f>
        <v>5.3013344264041589</v>
      </c>
      <c r="Q19" s="768"/>
      <c r="R19" s="768">
        <f>+INDEX('BGM-9 (2) Detailed Summary'!$48:$48,1,MATCH($D19,'BGM-9 (2) Detailed Summary'!$79:$79,0))/1000</f>
        <v>0</v>
      </c>
      <c r="S19" s="768"/>
      <c r="T19" s="768">
        <f t="shared" si="2"/>
        <v>-7.0554544583961523</v>
      </c>
      <c r="W19" s="768">
        <f t="shared" si="3"/>
        <v>0</v>
      </c>
      <c r="X19" s="768"/>
      <c r="Y19" s="768">
        <f t="shared" si="4"/>
        <v>0</v>
      </c>
      <c r="Z19" s="768"/>
      <c r="AA19" s="768">
        <f t="shared" si="5"/>
        <v>0</v>
      </c>
      <c r="AB19" s="769"/>
      <c r="AC19" s="768">
        <f t="shared" si="6"/>
        <v>0</v>
      </c>
      <c r="AE19" s="764" t="s">
        <v>860</v>
      </c>
      <c r="AG19" s="770"/>
      <c r="AH19" s="764" t="s">
        <v>864</v>
      </c>
      <c r="AI19" s="764">
        <v>0.51500000000000001</v>
      </c>
      <c r="AJ19" s="775">
        <v>5.5728155339805824E-2</v>
      </c>
      <c r="AK19" s="776">
        <f>ROUND(AI19*AJ19,4)</f>
        <v>2.87E-2</v>
      </c>
      <c r="AO19" s="768"/>
      <c r="AP19" s="768"/>
      <c r="AQ19" s="768"/>
    </row>
    <row r="20" spans="2:43" x14ac:dyDescent="0.2">
      <c r="B20" s="764">
        <f t="shared" ca="1" si="0"/>
        <v>12</v>
      </c>
      <c r="D20" s="772" t="s">
        <v>894</v>
      </c>
      <c r="F20" s="764" t="str">
        <f>+INDEX('BGM-9 (2) Detailed Summary'!$10:$10&amp;" "&amp;'BGM-9 (2) Detailed Summary'!$11:$11,1,MATCH(D20,'BGM-9 (2) Detailed Summary'!$79:$79,0))</f>
        <v>INTEREST ON  CUST DEPOSITS</v>
      </c>
      <c r="I20" s="768">
        <v>-803.90933835699934</v>
      </c>
      <c r="J20" s="768"/>
      <c r="K20" s="768">
        <v>0</v>
      </c>
      <c r="L20" s="768"/>
      <c r="M20" s="768">
        <f t="shared" si="1"/>
        <v>1069.9090585961042</v>
      </c>
      <c r="P20" s="768">
        <f>+INDEX('BGM-9 (2) Detailed Summary'!$46:$46,1,MATCH($D20,'BGM-9 (2) Detailed Summary'!$79:$79,0))/1000</f>
        <v>-803.90933835699934</v>
      </c>
      <c r="Q20" s="768"/>
      <c r="R20" s="768">
        <f>+INDEX('BGM-9 (2) Detailed Summary'!$48:$48,1,MATCH($D20,'BGM-9 (2) Detailed Summary'!$79:$79,0))/1000</f>
        <v>0</v>
      </c>
      <c r="S20" s="768"/>
      <c r="T20" s="768">
        <f t="shared" si="2"/>
        <v>1069.9090585961042</v>
      </c>
      <c r="W20" s="768">
        <f t="shared" si="3"/>
        <v>0</v>
      </c>
      <c r="X20" s="768"/>
      <c r="Y20" s="768">
        <f t="shared" si="4"/>
        <v>0</v>
      </c>
      <c r="Z20" s="768"/>
      <c r="AA20" s="768">
        <f t="shared" si="5"/>
        <v>0</v>
      </c>
      <c r="AB20" s="769"/>
      <c r="AC20" s="768">
        <f t="shared" si="6"/>
        <v>0</v>
      </c>
      <c r="AE20" s="764" t="s">
        <v>860</v>
      </c>
      <c r="AG20" s="770"/>
      <c r="AH20" s="764" t="s">
        <v>863</v>
      </c>
      <c r="AI20" s="764">
        <v>0.48499999999999999</v>
      </c>
      <c r="AJ20" s="775">
        <v>9.1999999999999998E-2</v>
      </c>
      <c r="AK20" s="778">
        <f>ROUND(AI20*AJ20,4)</f>
        <v>4.4600000000000001E-2</v>
      </c>
      <c r="AO20" s="768"/>
      <c r="AP20" s="768"/>
      <c r="AQ20" s="768"/>
    </row>
    <row r="21" spans="2:43" x14ac:dyDescent="0.2">
      <c r="B21" s="764">
        <f t="shared" ca="1" si="0"/>
        <v>13</v>
      </c>
      <c r="D21" s="772" t="s">
        <v>895</v>
      </c>
      <c r="F21" s="764" t="str">
        <f>+INDEX('BGM-9 (2) Detailed Summary'!$10:$10&amp;" "&amp;'BGM-9 (2) Detailed Summary'!$11:$11,1,MATCH(D21,'BGM-9 (2) Detailed Summary'!$79:$79,0))</f>
        <v>RATE CASE EXPENSE</v>
      </c>
      <c r="I21" s="768">
        <v>-496.55758700637006</v>
      </c>
      <c r="J21" s="768"/>
      <c r="K21" s="768">
        <v>0</v>
      </c>
      <c r="L21" s="768"/>
      <c r="M21" s="768">
        <f t="shared" si="1"/>
        <v>660.8599192771311</v>
      </c>
      <c r="P21" s="768">
        <f>+INDEX('BGM-9 (2) Detailed Summary'!$46:$46,1,MATCH($D21,'BGM-9 (2) Detailed Summary'!$79:$79,0))/1000</f>
        <v>-496.55758700637006</v>
      </c>
      <c r="Q21" s="768"/>
      <c r="R21" s="768">
        <f>+INDEX('BGM-9 (2) Detailed Summary'!$48:$48,1,MATCH($D21,'BGM-9 (2) Detailed Summary'!$79:$79,0))/1000</f>
        <v>0</v>
      </c>
      <c r="S21" s="768"/>
      <c r="T21" s="768">
        <f t="shared" si="2"/>
        <v>660.8599192771311</v>
      </c>
      <c r="W21" s="768">
        <f t="shared" si="3"/>
        <v>0</v>
      </c>
      <c r="X21" s="768"/>
      <c r="Y21" s="768">
        <f t="shared" si="4"/>
        <v>0</v>
      </c>
      <c r="Z21" s="768"/>
      <c r="AA21" s="768">
        <f t="shared" si="5"/>
        <v>0</v>
      </c>
      <c r="AB21" s="769"/>
      <c r="AC21" s="768">
        <f t="shared" si="6"/>
        <v>0</v>
      </c>
      <c r="AE21" s="764" t="s">
        <v>860</v>
      </c>
      <c r="AG21" s="770"/>
      <c r="AH21" s="764" t="s">
        <v>418</v>
      </c>
      <c r="AI21" s="777">
        <f>SUM(AI19:AI20)</f>
        <v>1</v>
      </c>
      <c r="AK21" s="776">
        <f>+ROUND(SUM(AK19:AK20),4)</f>
        <v>7.3300000000000004E-2</v>
      </c>
      <c r="AO21" s="768"/>
      <c r="AP21" s="768"/>
      <c r="AQ21" s="768"/>
    </row>
    <row r="22" spans="2:43" x14ac:dyDescent="0.2">
      <c r="B22" s="764">
        <f t="shared" ca="1" si="0"/>
        <v>14</v>
      </c>
      <c r="D22" s="772" t="s">
        <v>896</v>
      </c>
      <c r="F22" s="764" t="str">
        <f>+INDEX('BGM-9 (2) Detailed Summary'!$10:$10&amp;" "&amp;'BGM-9 (2) Detailed Summary'!$11:$11,1,MATCH(D22,'BGM-9 (2) Detailed Summary'!$79:$79,0))</f>
        <v>PENSION PLAN</v>
      </c>
      <c r="I22" s="768">
        <v>-1726.149211916219</v>
      </c>
      <c r="J22" s="768"/>
      <c r="K22" s="768">
        <v>0</v>
      </c>
      <c r="L22" s="768"/>
      <c r="M22" s="768">
        <f t="shared" si="1"/>
        <v>2297.3021834678002</v>
      </c>
      <c r="P22" s="768">
        <f>+INDEX('BGM-9 (2) Detailed Summary'!$46:$46,1,MATCH($D22,'BGM-9 (2) Detailed Summary'!$79:$79,0))/1000</f>
        <v>-1726.149211916219</v>
      </c>
      <c r="Q22" s="768"/>
      <c r="R22" s="768">
        <f>+INDEX('BGM-9 (2) Detailed Summary'!$48:$48,1,MATCH($D22,'BGM-9 (2) Detailed Summary'!$79:$79,0))/1000</f>
        <v>0</v>
      </c>
      <c r="S22" s="768"/>
      <c r="T22" s="768">
        <f t="shared" si="2"/>
        <v>2297.3021834678002</v>
      </c>
      <c r="W22" s="768">
        <f t="shared" si="3"/>
        <v>0</v>
      </c>
      <c r="X22" s="768"/>
      <c r="Y22" s="768">
        <f t="shared" si="4"/>
        <v>0</v>
      </c>
      <c r="Z22" s="768"/>
      <c r="AA22" s="768">
        <f t="shared" si="5"/>
        <v>0</v>
      </c>
      <c r="AB22" s="769"/>
      <c r="AC22" s="768">
        <f t="shared" si="6"/>
        <v>0</v>
      </c>
      <c r="AE22" s="764" t="s">
        <v>860</v>
      </c>
      <c r="AG22" s="770"/>
      <c r="AO22" s="768"/>
      <c r="AP22" s="768"/>
      <c r="AQ22" s="768"/>
    </row>
    <row r="23" spans="2:43" x14ac:dyDescent="0.2">
      <c r="B23" s="764">
        <f t="shared" ca="1" si="0"/>
        <v>15</v>
      </c>
      <c r="D23" s="772" t="s">
        <v>897</v>
      </c>
      <c r="F23" s="764" t="str">
        <f>+INDEX('BGM-9 (2) Detailed Summary'!$10:$10&amp;" "&amp;'BGM-9 (2) Detailed Summary'!$11:$11,1,MATCH(D23,'BGM-9 (2) Detailed Summary'!$79:$79,0))</f>
        <v>PROPERTY AND LIAB INSURANCE</v>
      </c>
      <c r="I23" s="768">
        <v>319.95138960871822</v>
      </c>
      <c r="J23" s="768"/>
      <c r="K23" s="768">
        <v>0</v>
      </c>
      <c r="L23" s="768"/>
      <c r="M23" s="768">
        <f t="shared" si="1"/>
        <v>-425.81778033876054</v>
      </c>
      <c r="P23" s="768">
        <f>+INDEX('BGM-9 (2) Detailed Summary'!$46:$46,1,MATCH($D23,'BGM-9 (2) Detailed Summary'!$79:$79,0))/1000</f>
        <v>319.95138960871822</v>
      </c>
      <c r="Q23" s="768"/>
      <c r="R23" s="768">
        <f>+INDEX('BGM-9 (2) Detailed Summary'!$48:$48,1,MATCH($D23,'BGM-9 (2) Detailed Summary'!$79:$79,0))/1000</f>
        <v>0</v>
      </c>
      <c r="S23" s="768"/>
      <c r="T23" s="768">
        <f t="shared" si="2"/>
        <v>-425.81778033876054</v>
      </c>
      <c r="W23" s="768">
        <f t="shared" si="3"/>
        <v>0</v>
      </c>
      <c r="X23" s="768"/>
      <c r="Y23" s="768">
        <f t="shared" si="4"/>
        <v>0</v>
      </c>
      <c r="Z23" s="768"/>
      <c r="AA23" s="768">
        <f t="shared" si="5"/>
        <v>0</v>
      </c>
      <c r="AB23" s="769"/>
      <c r="AC23" s="768">
        <f t="shared" si="6"/>
        <v>0</v>
      </c>
      <c r="AE23" s="764" t="s">
        <v>860</v>
      </c>
      <c r="AG23" s="770"/>
      <c r="AO23" s="768"/>
      <c r="AP23" s="768"/>
      <c r="AQ23" s="768"/>
    </row>
    <row r="24" spans="2:43" x14ac:dyDescent="0.2">
      <c r="B24" s="764">
        <f t="shared" ca="1" si="0"/>
        <v>16</v>
      </c>
      <c r="D24" s="772" t="s">
        <v>898</v>
      </c>
      <c r="F24" s="764" t="str">
        <f>+INDEX('BGM-9 (2) Detailed Summary'!$10:$10&amp;" "&amp;'BGM-9 (2) Detailed Summary'!$11:$11,1,MATCH(D24,'BGM-9 (2) Detailed Summary'!$79:$79,0))</f>
        <v>WAGE &amp; PAYROLL TAX</v>
      </c>
      <c r="I24" s="768">
        <v>-61.810425156236214</v>
      </c>
      <c r="J24" s="768"/>
      <c r="K24" s="768">
        <v>0</v>
      </c>
      <c r="L24" s="768"/>
      <c r="M24" s="768">
        <f t="shared" si="1"/>
        <v>82.262427658187008</v>
      </c>
      <c r="P24" s="768">
        <f>+INDEX('BGM-9 (2) Detailed Summary'!$46:$46,1,MATCH($D24,'BGM-9 (2) Detailed Summary'!$79:$79,0))/1000</f>
        <v>-61.810425156236214</v>
      </c>
      <c r="Q24" s="768"/>
      <c r="R24" s="768">
        <f>+INDEX('BGM-9 (2) Detailed Summary'!$48:$48,1,MATCH($D24,'BGM-9 (2) Detailed Summary'!$79:$79,0))/1000</f>
        <v>0</v>
      </c>
      <c r="S24" s="768"/>
      <c r="T24" s="768">
        <f t="shared" si="2"/>
        <v>82.262427658187008</v>
      </c>
      <c r="W24" s="768">
        <f t="shared" si="3"/>
        <v>0</v>
      </c>
      <c r="X24" s="768"/>
      <c r="Y24" s="768">
        <f t="shared" si="4"/>
        <v>0</v>
      </c>
      <c r="Z24" s="768"/>
      <c r="AA24" s="768">
        <f t="shared" si="5"/>
        <v>0</v>
      </c>
      <c r="AB24" s="769"/>
      <c r="AC24" s="768">
        <f t="shared" si="6"/>
        <v>0</v>
      </c>
      <c r="AE24" s="764" t="s">
        <v>860</v>
      </c>
      <c r="AG24" s="770"/>
      <c r="AO24" s="768"/>
      <c r="AP24" s="768"/>
      <c r="AQ24" s="768"/>
    </row>
    <row r="25" spans="2:43" ht="13.5" x14ac:dyDescent="0.25">
      <c r="B25" s="764">
        <f t="shared" ca="1" si="0"/>
        <v>17</v>
      </c>
      <c r="D25" s="772" t="s">
        <v>899</v>
      </c>
      <c r="F25" s="764" t="str">
        <f>+INDEX('BGM-9 (2) Detailed Summary'!$10:$10&amp;" "&amp;'BGM-9 (2) Detailed Summary'!$11:$11,1,MATCH(D25,'BGM-9 (2) Detailed Summary'!$79:$79,0))</f>
        <v>INVESTMENT PLAN</v>
      </c>
      <c r="I25" s="768">
        <v>-13.156595940416745</v>
      </c>
      <c r="J25" s="768"/>
      <c r="K25" s="768">
        <v>0</v>
      </c>
      <c r="L25" s="768"/>
      <c r="M25" s="768">
        <f t="shared" si="1"/>
        <v>17.509886383095587</v>
      </c>
      <c r="P25" s="768">
        <f>+INDEX('BGM-9 (2) Detailed Summary'!$46:$46,1,MATCH($D25,'BGM-9 (2) Detailed Summary'!$79:$79,0))/1000</f>
        <v>-13.156595940416745</v>
      </c>
      <c r="Q25" s="768"/>
      <c r="R25" s="768">
        <f>+INDEX('BGM-9 (2) Detailed Summary'!$48:$48,1,MATCH($D25,'BGM-9 (2) Detailed Summary'!$79:$79,0))/1000</f>
        <v>0</v>
      </c>
      <c r="S25" s="768"/>
      <c r="T25" s="768">
        <f t="shared" si="2"/>
        <v>17.509886383095587</v>
      </c>
      <c r="W25" s="768">
        <f t="shared" si="3"/>
        <v>0</v>
      </c>
      <c r="X25" s="768"/>
      <c r="Y25" s="768">
        <f t="shared" si="4"/>
        <v>0</v>
      </c>
      <c r="Z25" s="768"/>
      <c r="AA25" s="768">
        <f t="shared" si="5"/>
        <v>0</v>
      </c>
      <c r="AB25" s="769"/>
      <c r="AC25" s="768">
        <f t="shared" si="6"/>
        <v>0</v>
      </c>
      <c r="AE25" s="764" t="s">
        <v>860</v>
      </c>
      <c r="AG25" s="770"/>
      <c r="AH25" s="882">
        <v>9.4E-2</v>
      </c>
      <c r="AJ25" s="767"/>
      <c r="AK25" s="768"/>
      <c r="AO25" s="768"/>
      <c r="AP25" s="768"/>
      <c r="AQ25" s="768"/>
    </row>
    <row r="26" spans="2:43" x14ac:dyDescent="0.2">
      <c r="B26" s="764">
        <f t="shared" ca="1" si="0"/>
        <v>18</v>
      </c>
      <c r="D26" s="772" t="s">
        <v>900</v>
      </c>
      <c r="F26" s="764" t="str">
        <f>+INDEX('BGM-9 (2) Detailed Summary'!$10:$10&amp;" "&amp;'BGM-9 (2) Detailed Summary'!$11:$11,1,MATCH(D26,'BGM-9 (2) Detailed Summary'!$79:$79,0))</f>
        <v>EMPLOYEE  INSURANCE</v>
      </c>
      <c r="I26" s="768">
        <v>-23.850252119969372</v>
      </c>
      <c r="J26" s="768"/>
      <c r="K26" s="768">
        <v>0</v>
      </c>
      <c r="L26" s="768"/>
      <c r="M26" s="768">
        <f t="shared" si="1"/>
        <v>31.741888762118517</v>
      </c>
      <c r="P26" s="768">
        <f>+INDEX('BGM-9 (2) Detailed Summary'!$46:$46,1,MATCH($D26,'BGM-9 (2) Detailed Summary'!$79:$79,0))/1000</f>
        <v>-23.850252119969372</v>
      </c>
      <c r="Q26" s="768"/>
      <c r="R26" s="768">
        <f>+INDEX('BGM-9 (2) Detailed Summary'!$48:$48,1,MATCH($D26,'BGM-9 (2) Detailed Summary'!$79:$79,0))/1000</f>
        <v>0</v>
      </c>
      <c r="S26" s="768"/>
      <c r="T26" s="768">
        <f t="shared" si="2"/>
        <v>31.741888762118517</v>
      </c>
      <c r="W26" s="768">
        <f t="shared" si="3"/>
        <v>0</v>
      </c>
      <c r="X26" s="768"/>
      <c r="Y26" s="768">
        <f t="shared" si="4"/>
        <v>0</v>
      </c>
      <c r="Z26" s="768"/>
      <c r="AA26" s="768">
        <f t="shared" si="5"/>
        <v>0</v>
      </c>
      <c r="AB26" s="769"/>
      <c r="AC26" s="768">
        <f t="shared" si="6"/>
        <v>0</v>
      </c>
      <c r="AE26" s="764" t="s">
        <v>860</v>
      </c>
      <c r="AG26" s="770"/>
      <c r="AH26" s="764" t="s">
        <v>871</v>
      </c>
      <c r="AI26" s="764" t="s">
        <v>870</v>
      </c>
      <c r="AK26" s="764" t="s">
        <v>869</v>
      </c>
      <c r="AO26" s="768"/>
      <c r="AP26" s="768"/>
      <c r="AQ26" s="768"/>
    </row>
    <row r="27" spans="2:43" x14ac:dyDescent="0.2">
      <c r="B27" s="764">
        <f t="shared" ca="1" si="0"/>
        <v>19</v>
      </c>
      <c r="D27" s="772" t="s">
        <v>901</v>
      </c>
      <c r="F27" s="764" t="str">
        <f>+INDEX('BGM-9 (2) Detailed Summary'!$10:$10&amp;" "&amp;'BGM-9 (2) Detailed Summary'!$11:$11,1,MATCH(D27,'BGM-9 (2) Detailed Summary'!$79:$79,0))</f>
        <v>AMA TO EOP RATE BASE</v>
      </c>
      <c r="I27" s="768">
        <v>0</v>
      </c>
      <c r="J27" s="768"/>
      <c r="K27" s="892">
        <v>182818.24210345364</v>
      </c>
      <c r="L27" s="768"/>
      <c r="M27" s="768">
        <f t="shared" si="1"/>
        <v>18077.906399398715</v>
      </c>
      <c r="P27" s="768">
        <f>+INDEX('BGM-9 (2) Detailed Summary'!$46:$46,1,MATCH($D27,'BGM-9 (2) Detailed Summary'!$79:$79,0))/1000</f>
        <v>0</v>
      </c>
      <c r="Q27" s="768"/>
      <c r="R27" s="768">
        <f>+INDEX('BGM-9 (2) Detailed Summary'!$48:$48,1,MATCH($D27,'BGM-9 (2) Detailed Summary'!$79:$79,0))/1000</f>
        <v>182606.83772800947</v>
      </c>
      <c r="S27" s="768"/>
      <c r="T27" s="768">
        <f t="shared" si="2"/>
        <v>18057.001765004847</v>
      </c>
      <c r="W27" s="768">
        <f t="shared" si="3"/>
        <v>0</v>
      </c>
      <c r="X27" s="768"/>
      <c r="Y27" s="768">
        <f t="shared" si="4"/>
        <v>0</v>
      </c>
      <c r="Z27" s="768"/>
      <c r="AA27" s="768">
        <f t="shared" si="5"/>
        <v>-211.40437544416636</v>
      </c>
      <c r="AB27" s="769"/>
      <c r="AC27" s="768">
        <f t="shared" si="6"/>
        <v>-20.904634393868037</v>
      </c>
      <c r="AE27" s="764" t="s">
        <v>860</v>
      </c>
      <c r="AG27" s="770"/>
      <c r="AH27" s="779" t="s">
        <v>867</v>
      </c>
      <c r="AI27" s="779" t="s">
        <v>866</v>
      </c>
      <c r="AJ27" s="779" t="s">
        <v>865</v>
      </c>
      <c r="AK27" s="779" t="s">
        <v>865</v>
      </c>
      <c r="AO27" s="768"/>
      <c r="AP27" s="768"/>
      <c r="AQ27" s="768"/>
    </row>
    <row r="28" spans="2:43" x14ac:dyDescent="0.2">
      <c r="B28" s="764">
        <f t="shared" ca="1" si="0"/>
        <v>20</v>
      </c>
      <c r="D28" s="772" t="s">
        <v>902</v>
      </c>
      <c r="F28" s="764" t="str">
        <f>+INDEX('BGM-9 (2) Detailed Summary'!$10:$10&amp;" "&amp;'BGM-9 (2) Detailed Summary'!$11:$11,1,MATCH(D28,'BGM-9 (2) Detailed Summary'!$79:$79,0))</f>
        <v>AMA TO EOP DEPRECIATION</v>
      </c>
      <c r="I28" s="768">
        <v>-16904.953479322143</v>
      </c>
      <c r="J28" s="768"/>
      <c r="K28" s="768">
        <v>-16904.953479322143</v>
      </c>
      <c r="L28" s="768"/>
      <c r="M28" s="768">
        <f t="shared" si="1"/>
        <v>20826.871368597964</v>
      </c>
      <c r="P28" s="768">
        <f>+INDEX('BGM-9 (2) Detailed Summary'!$46:$46,1,MATCH($D28,'BGM-9 (2) Detailed Summary'!$79:$79,0))/1000</f>
        <v>-16904.953479322143</v>
      </c>
      <c r="Q28" s="768"/>
      <c r="R28" s="768">
        <f>+INDEX('BGM-9 (2) Detailed Summary'!$48:$48,1,MATCH($D28,'BGM-9 (2) Detailed Summary'!$79:$79,0))/1000</f>
        <v>-16904.953479322143</v>
      </c>
      <c r="S28" s="768"/>
      <c r="T28" s="768">
        <f t="shared" si="2"/>
        <v>20826.871368597964</v>
      </c>
      <c r="W28" s="768">
        <f t="shared" si="3"/>
        <v>0</v>
      </c>
      <c r="X28" s="768"/>
      <c r="Y28" s="768">
        <f t="shared" si="4"/>
        <v>0</v>
      </c>
      <c r="Z28" s="768"/>
      <c r="AA28" s="768">
        <f t="shared" si="5"/>
        <v>0</v>
      </c>
      <c r="AB28" s="769"/>
      <c r="AC28" s="768">
        <f t="shared" si="6"/>
        <v>0</v>
      </c>
      <c r="AE28" s="764" t="s">
        <v>860</v>
      </c>
      <c r="AG28" s="770"/>
      <c r="AH28" s="764" t="s">
        <v>864</v>
      </c>
      <c r="AI28" s="764">
        <v>0.51500000000000001</v>
      </c>
      <c r="AJ28" s="775">
        <v>5.5728155339805824E-2</v>
      </c>
      <c r="AK28" s="776">
        <f>ROUND(AI28*AJ28,4)</f>
        <v>2.87E-2</v>
      </c>
      <c r="AO28" s="768"/>
      <c r="AP28" s="768"/>
      <c r="AQ28" s="768"/>
    </row>
    <row r="29" spans="2:43" x14ac:dyDescent="0.2">
      <c r="B29" s="764">
        <f t="shared" ca="1" si="0"/>
        <v>21</v>
      </c>
      <c r="D29" s="772" t="s">
        <v>903</v>
      </c>
      <c r="F29" s="764" t="str">
        <f>+INDEX('BGM-9 (2) Detailed Summary'!$10:$10&amp;" "&amp;'BGM-9 (2) Detailed Summary'!$11:$11,1,MATCH(D29,'BGM-9 (2) Detailed Summary'!$79:$79,0))</f>
        <v>ANNUALIZE RENT EXP</v>
      </c>
      <c r="I29" s="768">
        <v>340.89294246068329</v>
      </c>
      <c r="J29" s="768"/>
      <c r="K29" s="768">
        <v>0</v>
      </c>
      <c r="L29" s="768"/>
      <c r="M29" s="768">
        <f t="shared" si="1"/>
        <v>-453.68853146497355</v>
      </c>
      <c r="P29" s="768">
        <f>+INDEX('BGM-9 (2) Detailed Summary'!$46:$46,1,MATCH($D29,'BGM-9 (2) Detailed Summary'!$79:$79,0))/1000</f>
        <v>340.89294246068329</v>
      </c>
      <c r="Q29" s="768"/>
      <c r="R29" s="768">
        <f>+INDEX('BGM-9 (2) Detailed Summary'!$48:$48,1,MATCH($D29,'BGM-9 (2) Detailed Summary'!$79:$79,0))/1000</f>
        <v>0</v>
      </c>
      <c r="S29" s="768"/>
      <c r="T29" s="768">
        <f t="shared" si="2"/>
        <v>-453.68853146497355</v>
      </c>
      <c r="W29" s="768">
        <f t="shared" si="3"/>
        <v>0</v>
      </c>
      <c r="X29" s="768"/>
      <c r="Y29" s="768">
        <f t="shared" si="4"/>
        <v>0</v>
      </c>
      <c r="Z29" s="768"/>
      <c r="AA29" s="768">
        <f t="shared" si="5"/>
        <v>0</v>
      </c>
      <c r="AB29" s="769"/>
      <c r="AC29" s="768">
        <f t="shared" si="6"/>
        <v>0</v>
      </c>
      <c r="AE29" s="764" t="s">
        <v>860</v>
      </c>
      <c r="AG29" s="770"/>
      <c r="AH29" s="764" t="s">
        <v>863</v>
      </c>
      <c r="AI29" s="764">
        <v>0.48499999999999999</v>
      </c>
      <c r="AJ29" s="775">
        <v>9.4E-2</v>
      </c>
      <c r="AK29" s="778">
        <f>ROUND(AI29*AJ29,4)</f>
        <v>4.5600000000000002E-2</v>
      </c>
      <c r="AO29" s="768"/>
      <c r="AP29" s="768"/>
      <c r="AQ29" s="768"/>
    </row>
    <row r="30" spans="2:43" x14ac:dyDescent="0.2">
      <c r="B30" s="764">
        <f t="shared" ca="1" si="0"/>
        <v>22</v>
      </c>
      <c r="C30" s="771"/>
      <c r="D30" s="772" t="s">
        <v>904</v>
      </c>
      <c r="E30" s="771"/>
      <c r="F30" s="764" t="str">
        <f>+INDEX('BGM-9 (2) Detailed Summary'!$10:$10&amp;" "&amp;'BGM-9 (2) Detailed Summary'!$11:$11,1,MATCH(D30,'BGM-9 (2) Detailed Summary'!$79:$79,0))</f>
        <v>POWER COSTS</v>
      </c>
      <c r="I30" s="768">
        <v>-7589.5601894254951</v>
      </c>
      <c r="J30" s="768"/>
      <c r="K30" s="768">
        <v>0</v>
      </c>
      <c r="L30" s="768"/>
      <c r="M30" s="768">
        <f t="shared" si="1"/>
        <v>10100.814619248418</v>
      </c>
      <c r="P30" s="768">
        <f>+INDEX('BGM-9 (2) Detailed Summary'!$46:$46,1,MATCH($D30,'BGM-9 (2) Detailed Summary'!$79:$79,0))/1000</f>
        <v>-7589.5601894254951</v>
      </c>
      <c r="Q30" s="768"/>
      <c r="R30" s="768">
        <f>+INDEX('BGM-9 (2) Detailed Summary'!$48:$48,1,MATCH($D30,'BGM-9 (2) Detailed Summary'!$79:$79,0))/1000</f>
        <v>0</v>
      </c>
      <c r="S30" s="768"/>
      <c r="T30" s="768">
        <f t="shared" si="2"/>
        <v>10100.814619248418</v>
      </c>
      <c r="W30" s="768">
        <f t="shared" si="3"/>
        <v>0</v>
      </c>
      <c r="X30" s="768"/>
      <c r="Y30" s="768">
        <f t="shared" si="4"/>
        <v>0</v>
      </c>
      <c r="Z30" s="768"/>
      <c r="AA30" s="768">
        <f t="shared" si="5"/>
        <v>0</v>
      </c>
      <c r="AB30" s="769"/>
      <c r="AC30" s="768">
        <f t="shared" si="6"/>
        <v>0</v>
      </c>
      <c r="AE30" s="764" t="s">
        <v>860</v>
      </c>
      <c r="AG30" s="770"/>
      <c r="AH30" s="764" t="s">
        <v>418</v>
      </c>
      <c r="AI30" s="777">
        <f>SUM(AI28:AI29)</f>
        <v>1</v>
      </c>
      <c r="AK30" s="776">
        <f>+ROUND(SUM(AK28:AK29),4)</f>
        <v>7.4300000000000005E-2</v>
      </c>
      <c r="AO30" s="768"/>
      <c r="AP30" s="768"/>
      <c r="AQ30" s="768"/>
    </row>
    <row r="31" spans="2:43" x14ac:dyDescent="0.2">
      <c r="B31" s="764">
        <f t="shared" ca="1" si="0"/>
        <v>23</v>
      </c>
      <c r="C31" s="771"/>
      <c r="D31" s="772" t="s">
        <v>905</v>
      </c>
      <c r="E31" s="771"/>
      <c r="F31" s="764" t="str">
        <f>+INDEX('BGM-9 (2) Detailed Summary'!$10:$10&amp;" "&amp;'BGM-9 (2) Detailed Summary'!$11:$11,1,MATCH(D31,'BGM-9 (2) Detailed Summary'!$79:$79,0))</f>
        <v>MONTANA TAX</v>
      </c>
      <c r="I31" s="768">
        <v>-68.620043849999959</v>
      </c>
      <c r="J31" s="768"/>
      <c r="K31" s="768">
        <v>0</v>
      </c>
      <c r="L31" s="768"/>
      <c r="M31" s="768">
        <f t="shared" si="1"/>
        <v>91.325231606867831</v>
      </c>
      <c r="P31" s="768">
        <f>+INDEX('BGM-9 (2) Detailed Summary'!$46:$46,1,MATCH($D31,'BGM-9 (2) Detailed Summary'!$79:$79,0))/1000</f>
        <v>-68.620043849999959</v>
      </c>
      <c r="Q31" s="768"/>
      <c r="R31" s="768">
        <f>+INDEX('BGM-9 (2) Detailed Summary'!$48:$48,1,MATCH($D31,'BGM-9 (2) Detailed Summary'!$79:$79,0))/1000</f>
        <v>0</v>
      </c>
      <c r="S31" s="768"/>
      <c r="T31" s="768">
        <f t="shared" si="2"/>
        <v>91.325231606867831</v>
      </c>
      <c r="W31" s="768">
        <f t="shared" si="3"/>
        <v>0</v>
      </c>
      <c r="X31" s="768"/>
      <c r="Y31" s="768">
        <f t="shared" si="4"/>
        <v>0</v>
      </c>
      <c r="Z31" s="768"/>
      <c r="AA31" s="768">
        <f t="shared" si="5"/>
        <v>0</v>
      </c>
      <c r="AB31" s="769"/>
      <c r="AC31" s="768">
        <f t="shared" si="6"/>
        <v>0</v>
      </c>
      <c r="AE31" s="764" t="s">
        <v>860</v>
      </c>
      <c r="AG31" s="770"/>
      <c r="AO31" s="768"/>
      <c r="AP31" s="768"/>
      <c r="AQ31" s="768"/>
    </row>
    <row r="32" spans="2:43" x14ac:dyDescent="0.2">
      <c r="B32" s="764">
        <f t="shared" ca="1" si="0"/>
        <v>24</v>
      </c>
      <c r="C32" s="771"/>
      <c r="D32" s="772" t="s">
        <v>906</v>
      </c>
      <c r="E32" s="771"/>
      <c r="F32" s="764" t="str">
        <f>+INDEX('BGM-9 (2) Detailed Summary'!$10:$10&amp;" "&amp;'BGM-9 (2) Detailed Summary'!$11:$11,1,MATCH(D32,'BGM-9 (2) Detailed Summary'!$79:$79,0))</f>
        <v>WILD HORSE SOLAR</v>
      </c>
      <c r="I32" s="768">
        <v>167.53056000000001</v>
      </c>
      <c r="J32" s="768"/>
      <c r="K32" s="768">
        <v>-1615.3714300000001</v>
      </c>
      <c r="L32" s="768"/>
      <c r="M32" s="768">
        <f t="shared" si="1"/>
        <v>-382.69886681856485</v>
      </c>
      <c r="P32" s="768">
        <f>+INDEX('BGM-9 (2) Detailed Summary'!$46:$46,1,MATCH($D32,'BGM-9 (2) Detailed Summary'!$79:$79,0))/1000</f>
        <v>167.53056000000001</v>
      </c>
      <c r="Q32" s="768"/>
      <c r="R32" s="768">
        <f>+INDEX('BGM-9 (2) Detailed Summary'!$48:$48,1,MATCH($D32,'BGM-9 (2) Detailed Summary'!$79:$79,0))/1000</f>
        <v>-1615.3714300000001</v>
      </c>
      <c r="S32" s="768"/>
      <c r="T32" s="768">
        <f t="shared" si="2"/>
        <v>-382.69886681856485</v>
      </c>
      <c r="W32" s="768">
        <f t="shared" si="3"/>
        <v>0</v>
      </c>
      <c r="X32" s="768"/>
      <c r="Y32" s="768">
        <f t="shared" si="4"/>
        <v>0</v>
      </c>
      <c r="Z32" s="768"/>
      <c r="AA32" s="768">
        <f t="shared" si="5"/>
        <v>0</v>
      </c>
      <c r="AB32" s="769"/>
      <c r="AC32" s="768">
        <f t="shared" si="6"/>
        <v>0</v>
      </c>
      <c r="AE32" s="764" t="s">
        <v>860</v>
      </c>
      <c r="AG32" s="770"/>
      <c r="AO32" s="768"/>
      <c r="AP32" s="768"/>
      <c r="AQ32" s="768"/>
    </row>
    <row r="33" spans="2:43" x14ac:dyDescent="0.2">
      <c r="B33" s="764">
        <f t="shared" ca="1" si="0"/>
        <v>25</v>
      </c>
      <c r="D33" s="772" t="s">
        <v>907</v>
      </c>
      <c r="F33" s="764" t="str">
        <f>+INDEX('BGM-9 (2) Detailed Summary'!$10:$10&amp;" "&amp;'BGM-9 (2) Detailed Summary'!$11:$11,1,MATCH(D33,'BGM-9 (2) Detailed Summary'!$79:$79,0))</f>
        <v>ASC 815</v>
      </c>
      <c r="I33" s="768">
        <v>-32912.585679399999</v>
      </c>
      <c r="J33" s="768"/>
      <c r="K33" s="768">
        <v>0</v>
      </c>
      <c r="L33" s="768"/>
      <c r="M33" s="768">
        <f t="shared" si="1"/>
        <v>43802.792031472716</v>
      </c>
      <c r="P33" s="768">
        <f>+INDEX('BGM-9 (2) Detailed Summary'!$46:$46,1,MATCH($D33,'BGM-9 (2) Detailed Summary'!$79:$79,0))/1000</f>
        <v>-32912.585679399999</v>
      </c>
      <c r="Q33" s="768"/>
      <c r="R33" s="768">
        <f>+INDEX('BGM-9 (2) Detailed Summary'!$48:$48,1,MATCH($D33,'BGM-9 (2) Detailed Summary'!$79:$79,0))/1000</f>
        <v>0</v>
      </c>
      <c r="S33" s="768"/>
      <c r="T33" s="768">
        <f t="shared" si="2"/>
        <v>43802.792031472716</v>
      </c>
      <c r="W33" s="768">
        <f t="shared" si="3"/>
        <v>0</v>
      </c>
      <c r="X33" s="768"/>
      <c r="Y33" s="768">
        <f t="shared" si="4"/>
        <v>0</v>
      </c>
      <c r="Z33" s="768"/>
      <c r="AA33" s="768">
        <f t="shared" si="5"/>
        <v>0</v>
      </c>
      <c r="AB33" s="769"/>
      <c r="AC33" s="768">
        <f t="shared" si="6"/>
        <v>0</v>
      </c>
      <c r="AE33" s="764" t="s">
        <v>860</v>
      </c>
      <c r="AG33" s="770"/>
      <c r="AO33" s="768"/>
      <c r="AP33" s="768"/>
      <c r="AQ33" s="768"/>
    </row>
    <row r="34" spans="2:43" ht="13.5" x14ac:dyDescent="0.25">
      <c r="B34" s="764">
        <f t="shared" ca="1" si="0"/>
        <v>26</v>
      </c>
      <c r="D34" s="772" t="s">
        <v>908</v>
      </c>
      <c r="F34" s="764" t="str">
        <f>+INDEX('BGM-9 (2) Detailed Summary'!$10:$10&amp;" "&amp;'BGM-9 (2) Detailed Summary'!$11:$11,1,MATCH(D34,'BGM-9 (2) Detailed Summary'!$79:$79,0))</f>
        <v>STORM  DAMAGE</v>
      </c>
      <c r="I34" s="768">
        <v>-11.000847433333901</v>
      </c>
      <c r="J34" s="768"/>
      <c r="K34" s="768">
        <v>0</v>
      </c>
      <c r="L34" s="768"/>
      <c r="M34" s="768">
        <f t="shared" si="1"/>
        <v>14.640837914897903</v>
      </c>
      <c r="P34" s="768">
        <f>+INDEX('BGM-9 (2) Detailed Summary'!$46:$46,1,MATCH($D34,'BGM-9 (2) Detailed Summary'!$79:$79,0))/1000</f>
        <v>-11.000847433333901</v>
      </c>
      <c r="Q34" s="768"/>
      <c r="R34" s="768">
        <f>+INDEX('BGM-9 (2) Detailed Summary'!$48:$48,1,MATCH($D34,'BGM-9 (2) Detailed Summary'!$79:$79,0))/1000</f>
        <v>0</v>
      </c>
      <c r="S34" s="768"/>
      <c r="T34" s="768">
        <f t="shared" si="2"/>
        <v>14.640837914897903</v>
      </c>
      <c r="W34" s="768">
        <f t="shared" si="3"/>
        <v>0</v>
      </c>
      <c r="X34" s="768"/>
      <c r="Y34" s="768">
        <f t="shared" si="4"/>
        <v>0</v>
      </c>
      <c r="Z34" s="768"/>
      <c r="AA34" s="768">
        <f t="shared" si="5"/>
        <v>0</v>
      </c>
      <c r="AB34" s="769"/>
      <c r="AC34" s="768">
        <f t="shared" si="6"/>
        <v>0</v>
      </c>
      <c r="AE34" s="876" t="s">
        <v>860</v>
      </c>
      <c r="AG34" s="770"/>
      <c r="AH34" s="898">
        <v>9.8000000000000004E-2</v>
      </c>
      <c r="AI34" s="891"/>
      <c r="AJ34" s="899"/>
      <c r="AK34" s="892"/>
      <c r="AO34" s="768"/>
      <c r="AP34" s="768"/>
      <c r="AQ34" s="768"/>
    </row>
    <row r="35" spans="2:43" x14ac:dyDescent="0.2">
      <c r="B35" s="764">
        <f t="shared" ca="1" si="0"/>
        <v>27</v>
      </c>
      <c r="D35" s="772" t="s">
        <v>909</v>
      </c>
      <c r="F35" s="764" t="str">
        <f>+INDEX('BGM-9 (2) Detailed Summary'!$10:$10&amp;" "&amp;'BGM-9 (2) Detailed Summary'!$11:$11,1,MATCH(D35,'BGM-9 (2) Detailed Summary'!$79:$79,0))</f>
        <v>COLSTRIP DEPRECIATION</v>
      </c>
      <c r="I35" s="768">
        <v>1668.4264785019332</v>
      </c>
      <c r="J35" s="768"/>
      <c r="K35" s="768">
        <v>-11018.406688827798</v>
      </c>
      <c r="L35" s="768"/>
      <c r="M35" s="768">
        <f t="shared" si="1"/>
        <v>-3310.0305909809258</v>
      </c>
      <c r="P35" s="768">
        <f>+INDEX('BGM-9 (2) Detailed Summary'!$46:$46,1,MATCH($D35,'BGM-9 (2) Detailed Summary'!$79:$79,0))/1000</f>
        <v>19584.19621567598</v>
      </c>
      <c r="Q35" s="768"/>
      <c r="R35" s="768">
        <f>+INDEX('BGM-9 (2) Detailed Summary'!$48:$48,1,MATCH($D35,'BGM-9 (2) Detailed Summary'!$79:$79,0))/1000</f>
        <v>-118419.10882745513</v>
      </c>
      <c r="S35" s="768"/>
      <c r="T35" s="768">
        <f t="shared" si="2"/>
        <v>-37774.093304935705</v>
      </c>
      <c r="W35" s="768">
        <f t="shared" si="3"/>
        <v>22678.189540726642</v>
      </c>
      <c r="X35" s="768"/>
      <c r="Y35" s="768">
        <f t="shared" si="4"/>
        <v>17915.769737174047</v>
      </c>
      <c r="Z35" s="768"/>
      <c r="AA35" s="768">
        <f t="shared" si="5"/>
        <v>-107400.70213862733</v>
      </c>
      <c r="AB35" s="769"/>
      <c r="AC35" s="768">
        <f t="shared" si="6"/>
        <v>-34464.06271395478</v>
      </c>
      <c r="AE35" s="891" t="s">
        <v>1011</v>
      </c>
      <c r="AG35" s="770"/>
      <c r="AH35" s="891" t="s">
        <v>871</v>
      </c>
      <c r="AI35" s="891" t="s">
        <v>870</v>
      </c>
      <c r="AJ35" s="891"/>
      <c r="AK35" s="891" t="s">
        <v>869</v>
      </c>
      <c r="AO35" s="768"/>
      <c r="AP35" s="768"/>
      <c r="AQ35" s="768"/>
    </row>
    <row r="36" spans="2:43" x14ac:dyDescent="0.2">
      <c r="B36" s="764">
        <f t="shared" ca="1" si="0"/>
        <v>28</v>
      </c>
      <c r="D36" s="772" t="s">
        <v>967</v>
      </c>
      <c r="F36" s="764" t="s">
        <v>976</v>
      </c>
      <c r="I36" s="768">
        <v>0</v>
      </c>
      <c r="J36" s="768"/>
      <c r="K36" s="768">
        <v>0</v>
      </c>
      <c r="L36" s="768"/>
      <c r="M36" s="768">
        <f t="shared" si="1"/>
        <v>0</v>
      </c>
      <c r="P36" s="768">
        <f>+INDEX('BGM-9 (2) Detailed Summary'!$46:$46,1,MATCH($D36,'BGM-9 (2) Detailed Summary'!$79:$79,0))/1000</f>
        <v>431.82468063823194</v>
      </c>
      <c r="Q36" s="768"/>
      <c r="R36" s="768">
        <f>+INDEX('BGM-9 (2) Detailed Summary'!$48:$48,1,MATCH($D36,'BGM-9 (2) Detailed Summary'!$79:$79,0))/1000</f>
        <v>-5272.4007298989873</v>
      </c>
      <c r="S36" s="768"/>
      <c r="T36" s="768">
        <f t="shared" si="2"/>
        <v>-1096.0671814561811</v>
      </c>
      <c r="W36" s="768">
        <f t="shared" si="3"/>
        <v>546.61351979523033</v>
      </c>
      <c r="X36" s="768"/>
      <c r="Y36" s="768">
        <f t="shared" si="4"/>
        <v>431.82468063823194</v>
      </c>
      <c r="Z36" s="768"/>
      <c r="AA36" s="768">
        <f t="shared" si="5"/>
        <v>-5272.4007298989873</v>
      </c>
      <c r="AB36" s="769"/>
      <c r="AC36" s="768">
        <f t="shared" si="6"/>
        <v>-1096.0671814561811</v>
      </c>
      <c r="AE36" s="764" t="s">
        <v>979</v>
      </c>
      <c r="AG36" s="770"/>
      <c r="AH36" s="900" t="s">
        <v>867</v>
      </c>
      <c r="AI36" s="900" t="s">
        <v>866</v>
      </c>
      <c r="AJ36" s="900" t="s">
        <v>865</v>
      </c>
      <c r="AK36" s="900" t="s">
        <v>865</v>
      </c>
      <c r="AO36" s="768"/>
      <c r="AP36" s="768"/>
      <c r="AQ36" s="768"/>
    </row>
    <row r="37" spans="2:43" x14ac:dyDescent="0.2">
      <c r="B37" s="764">
        <f t="shared" ca="1" si="0"/>
        <v>29</v>
      </c>
      <c r="D37" s="772" t="s">
        <v>968</v>
      </c>
      <c r="F37" s="764" t="s">
        <v>977</v>
      </c>
      <c r="I37" s="768">
        <v>0</v>
      </c>
      <c r="J37" s="768"/>
      <c r="K37" s="768">
        <v>0</v>
      </c>
      <c r="L37" s="768"/>
      <c r="M37" s="768">
        <f t="shared" si="1"/>
        <v>0</v>
      </c>
      <c r="P37" s="768">
        <f>+INDEX('BGM-9 (2) Detailed Summary'!$46:$46,1,MATCH($D37,'BGM-9 (2) Detailed Summary'!$79:$79,0))/1000</f>
        <v>0</v>
      </c>
      <c r="Q37" s="768"/>
      <c r="R37" s="768">
        <f>+INDEX('BGM-9 (2) Detailed Summary'!$48:$48,1,MATCH($D37,'BGM-9 (2) Detailed Summary'!$79:$79,0))/1000</f>
        <v>-326.274</v>
      </c>
      <c r="S37" s="768"/>
      <c r="T37" s="768">
        <f t="shared" si="2"/>
        <v>-32.263469797612665</v>
      </c>
      <c r="W37" s="768">
        <f t="shared" si="3"/>
        <v>0</v>
      </c>
      <c r="X37" s="768"/>
      <c r="Y37" s="768">
        <f t="shared" si="4"/>
        <v>0</v>
      </c>
      <c r="Z37" s="768"/>
      <c r="AA37" s="768">
        <f t="shared" si="5"/>
        <v>-326.274</v>
      </c>
      <c r="AB37" s="769"/>
      <c r="AC37" s="768">
        <f t="shared" si="6"/>
        <v>-32.263469797612665</v>
      </c>
      <c r="AE37" s="764" t="s">
        <v>979</v>
      </c>
      <c r="AG37" s="770"/>
      <c r="AH37" s="891" t="s">
        <v>864</v>
      </c>
      <c r="AI37" s="891">
        <v>0.51500000000000001</v>
      </c>
      <c r="AJ37" s="901">
        <v>5.5728155339805824E-2</v>
      </c>
      <c r="AK37" s="902">
        <f>ROUND(AI37*AJ37,4)</f>
        <v>2.87E-2</v>
      </c>
      <c r="AO37" s="768"/>
      <c r="AP37" s="768"/>
      <c r="AQ37" s="768"/>
    </row>
    <row r="38" spans="2:43" x14ac:dyDescent="0.2">
      <c r="B38" s="764">
        <f t="shared" ca="1" si="0"/>
        <v>30</v>
      </c>
      <c r="D38" s="772" t="s">
        <v>969</v>
      </c>
      <c r="F38" s="764" t="s">
        <v>978</v>
      </c>
      <c r="I38" s="768">
        <v>0</v>
      </c>
      <c r="J38" s="768"/>
      <c r="K38" s="768">
        <v>0</v>
      </c>
      <c r="L38" s="768"/>
      <c r="M38" s="768">
        <f t="shared" si="1"/>
        <v>0</v>
      </c>
      <c r="P38" s="768">
        <f>+INDEX('BGM-9 (2) Detailed Summary'!$46:$46,1,MATCH($D38,'BGM-9 (2) Detailed Summary'!$79:$79,0))/1000</f>
        <v>0</v>
      </c>
      <c r="Q38" s="768"/>
      <c r="R38" s="768">
        <f>+INDEX('BGM-9 (2) Detailed Summary'!$48:$48,1,MATCH($D38,'BGM-9 (2) Detailed Summary'!$79:$79,0))/1000</f>
        <v>0</v>
      </c>
      <c r="S38" s="768"/>
      <c r="T38" s="768">
        <f t="shared" si="2"/>
        <v>0</v>
      </c>
      <c r="W38" s="768">
        <f t="shared" si="3"/>
        <v>0</v>
      </c>
      <c r="X38" s="768"/>
      <c r="Y38" s="768">
        <f t="shared" si="4"/>
        <v>0</v>
      </c>
      <c r="Z38" s="768"/>
      <c r="AA38" s="768">
        <f t="shared" si="5"/>
        <v>0</v>
      </c>
      <c r="AB38" s="769"/>
      <c r="AC38" s="768">
        <f t="shared" si="6"/>
        <v>0</v>
      </c>
      <c r="AE38" s="764" t="s">
        <v>979</v>
      </c>
      <c r="AG38" s="770"/>
      <c r="AH38" s="891" t="s">
        <v>863</v>
      </c>
      <c r="AI38" s="891">
        <v>0.48499999999999999</v>
      </c>
      <c r="AJ38" s="901">
        <v>9.8000000000000004E-2</v>
      </c>
      <c r="AK38" s="903">
        <f>ROUND(AI38*AJ38,4)</f>
        <v>4.7500000000000001E-2</v>
      </c>
      <c r="AO38" s="768"/>
      <c r="AP38" s="768"/>
      <c r="AQ38" s="768"/>
    </row>
    <row r="39" spans="2:43" x14ac:dyDescent="0.2">
      <c r="D39" s="772"/>
      <c r="I39" s="797"/>
      <c r="J39" s="773"/>
      <c r="K39" s="797"/>
      <c r="L39" s="773"/>
      <c r="M39" s="797"/>
      <c r="O39" s="771"/>
      <c r="P39" s="797"/>
      <c r="Q39" s="773"/>
      <c r="R39" s="797"/>
      <c r="S39" s="773"/>
      <c r="T39" s="797"/>
      <c r="W39" s="797"/>
      <c r="X39" s="764"/>
      <c r="Y39" s="797"/>
      <c r="Z39" s="773"/>
      <c r="AA39" s="797"/>
      <c r="AB39" s="773"/>
      <c r="AC39" s="798"/>
      <c r="AE39" s="764"/>
      <c r="AG39" s="770"/>
      <c r="AH39" s="891" t="s">
        <v>418</v>
      </c>
      <c r="AI39" s="904">
        <f>SUM(AI37:AI38)</f>
        <v>1</v>
      </c>
      <c r="AJ39" s="891"/>
      <c r="AK39" s="902">
        <f>+ROUND(SUM(AK37:AK38),4)</f>
        <v>7.6200000000000004E-2</v>
      </c>
      <c r="AO39" s="768"/>
      <c r="AP39" s="768"/>
      <c r="AQ39" s="768"/>
    </row>
    <row r="40" spans="2:43" x14ac:dyDescent="0.2">
      <c r="B40" s="764">
        <f ca="1">+MAX(OFFSET($B$7,0,0,ROW($B40)-ROW($B$7),1))+1</f>
        <v>31</v>
      </c>
      <c r="D40" s="772"/>
      <c r="F40" s="771" t="s">
        <v>862</v>
      </c>
      <c r="I40" s="773">
        <f>+SUM(I$7:I$39)</f>
        <v>362163.03486226918</v>
      </c>
      <c r="J40" s="773"/>
      <c r="K40" s="773">
        <f>+SUM(K$7:K$39)</f>
        <v>5362058.0168102942</v>
      </c>
      <c r="L40" s="773"/>
      <c r="M40" s="773">
        <f>+($K40*$AK$12-$I40)/$AI$4</f>
        <v>48228.363222833337</v>
      </c>
      <c r="O40" s="771"/>
      <c r="P40" s="773">
        <f>+SUM(P$7:P$39)</f>
        <v>386771.4963599075</v>
      </c>
      <c r="Q40" s="773"/>
      <c r="R40" s="773">
        <f>+SUM(R$7:R$39)</f>
        <v>5281432.3055188218</v>
      </c>
      <c r="S40" s="773"/>
      <c r="T40" s="773">
        <f>+SUM(T$7:T$39)</f>
        <v>7504.7465136076671</v>
      </c>
      <c r="W40" s="773">
        <f>+SUM(W$7:W$39)</f>
        <v>31149.951262833434</v>
      </c>
      <c r="X40" s="773"/>
      <c r="Y40" s="773">
        <f>+SUM(Y$7:Y$39)</f>
        <v>24608.461497638411</v>
      </c>
      <c r="Z40" s="773"/>
      <c r="AA40" s="773">
        <f>+SUM(AA$7:AA$39)</f>
        <v>-80625.711291472471</v>
      </c>
      <c r="AB40" s="773"/>
      <c r="AC40" s="773">
        <f>+SUM(AC$7:AC$39)</f>
        <v>-40723.616709225818</v>
      </c>
      <c r="AE40" s="764"/>
      <c r="AG40" s="770"/>
      <c r="AO40" s="768"/>
      <c r="AP40" s="768"/>
      <c r="AQ40" s="768"/>
    </row>
    <row r="41" spans="2:43" x14ac:dyDescent="0.2">
      <c r="D41" s="772"/>
      <c r="I41" s="768"/>
      <c r="J41" s="773"/>
      <c r="K41" s="768"/>
      <c r="L41" s="773"/>
      <c r="M41" s="768"/>
      <c r="P41" s="768"/>
      <c r="Q41" s="768"/>
      <c r="R41" s="768"/>
      <c r="S41" s="768"/>
      <c r="T41" s="768"/>
      <c r="W41" s="768"/>
      <c r="X41" s="768"/>
      <c r="Y41" s="768"/>
      <c r="Z41" s="768"/>
      <c r="AA41" s="768"/>
      <c r="AB41" s="769"/>
      <c r="AC41" s="768"/>
      <c r="AE41" s="764"/>
      <c r="AG41" s="770"/>
      <c r="AO41" s="768"/>
      <c r="AP41" s="768"/>
      <c r="AQ41" s="768"/>
    </row>
    <row r="42" spans="2:43" x14ac:dyDescent="0.2">
      <c r="B42" s="774" t="s">
        <v>861</v>
      </c>
      <c r="D42" s="772"/>
      <c r="I42" s="768"/>
      <c r="J42" s="773"/>
      <c r="K42" s="768"/>
      <c r="L42" s="773"/>
      <c r="M42" s="768"/>
      <c r="P42" s="768"/>
      <c r="Q42" s="768"/>
      <c r="R42" s="768"/>
      <c r="S42" s="768"/>
      <c r="T42" s="768"/>
      <c r="W42" s="768"/>
      <c r="X42" s="768"/>
      <c r="Y42" s="768"/>
      <c r="Z42" s="768"/>
      <c r="AA42" s="768"/>
      <c r="AB42" s="769"/>
      <c r="AC42" s="768"/>
      <c r="AE42" s="764"/>
      <c r="AG42" s="770"/>
      <c r="AO42" s="768"/>
      <c r="AP42" s="768"/>
      <c r="AQ42" s="768"/>
    </row>
    <row r="43" spans="2:43" x14ac:dyDescent="0.2">
      <c r="B43" s="764">
        <f t="shared" ref="B43:B72" ca="1" si="7">+MAX(OFFSET($B$7,0,0,ROW($B43)-ROW($B$7),1))+1</f>
        <v>32</v>
      </c>
      <c r="D43" s="772" t="s">
        <v>910</v>
      </c>
      <c r="F43" s="764" t="str">
        <f>+INDEX('BGM-9 (2) Detailed Summary'!$10:$10&amp;" "&amp;'BGM-9 (2) Detailed Summary'!$11:$11,1,MATCH(D43,'BGM-9 (2) Detailed Summary'!$79:$79,0))</f>
        <v>REVENUES &amp; EXPENSES</v>
      </c>
      <c r="I43" s="768">
        <v>-25687.973340135377</v>
      </c>
      <c r="J43" s="768"/>
      <c r="K43" s="768">
        <v>0</v>
      </c>
      <c r="L43" s="768"/>
      <c r="M43" s="768">
        <f t="shared" ref="M43:M70" si="8">+($K43*$AK$12-$I43)/$AI$4</f>
        <v>34187.680205029646</v>
      </c>
      <c r="P43" s="768">
        <f>+INDEX('BGM-9 (2) Detailed Summary'!$46:$46,1,MATCH($D43,'BGM-9 (2) Detailed Summary'!$79:$79,0))/1000</f>
        <v>-25679.089012964978</v>
      </c>
      <c r="Q43" s="768"/>
      <c r="R43" s="768">
        <f>+INDEX('BGM-9 (2) Detailed Summary'!$48:$48,1,MATCH($D43,'BGM-9 (2) Detailed Summary'!$79:$79,0))/1000</f>
        <v>0</v>
      </c>
      <c r="S43" s="768"/>
      <c r="T43" s="768">
        <f t="shared" ref="T43:T70" si="9">+($R43*$AK$12-$P43)/$AI$4</f>
        <v>34175.856207390098</v>
      </c>
      <c r="W43" s="768">
        <f t="shared" ref="W43:W70" si="10">+Y43/(1-$AI$5)</f>
        <v>11.245983759998794</v>
      </c>
      <c r="X43" s="768"/>
      <c r="Y43" s="768">
        <f t="shared" ref="Y43:Y70" si="11">+P43-I43</f>
        <v>8.8843271703990467</v>
      </c>
      <c r="Z43" s="768"/>
      <c r="AA43" s="768">
        <f t="shared" ref="AA43:AA70" si="12">+R43-K43</f>
        <v>0</v>
      </c>
      <c r="AB43" s="769"/>
      <c r="AC43" s="768">
        <f t="shared" ref="AC43:AC70" si="13">+T43-M43</f>
        <v>-11.823997639548907</v>
      </c>
      <c r="AE43" s="764" t="s">
        <v>979</v>
      </c>
      <c r="AG43" s="770"/>
      <c r="AO43" s="768"/>
      <c r="AP43" s="768"/>
      <c r="AQ43" s="768"/>
    </row>
    <row r="44" spans="2:43" x14ac:dyDescent="0.2">
      <c r="B44" s="764">
        <f t="shared" ca="1" si="7"/>
        <v>33</v>
      </c>
      <c r="D44" s="772" t="s">
        <v>911</v>
      </c>
      <c r="F44" s="764" t="str">
        <f>+INDEX('BGM-9 (2) Detailed Summary'!$10:$10&amp;" "&amp;'BGM-9 (2) Detailed Summary'!$11:$11,1,MATCH(D44,'BGM-9 (2) Detailed Summary'!$79:$79,0))</f>
        <v>TEMPERATURE NORMALIZATION</v>
      </c>
      <c r="I44" s="768">
        <v>6844.2875880840775</v>
      </c>
      <c r="J44" s="768"/>
      <c r="K44" s="768">
        <v>0</v>
      </c>
      <c r="L44" s="768"/>
      <c r="M44" s="768">
        <f t="shared" si="8"/>
        <v>-9108.9441815591254</v>
      </c>
      <c r="P44" s="768">
        <f>+INDEX('BGM-9 (2) Detailed Summary'!$46:$46,1,MATCH($D44,'BGM-9 (2) Detailed Summary'!$79:$79,0))/1000</f>
        <v>6844.2875880840775</v>
      </c>
      <c r="Q44" s="768"/>
      <c r="R44" s="768">
        <f>+INDEX('BGM-9 (2) Detailed Summary'!$48:$48,1,MATCH($D44,'BGM-9 (2) Detailed Summary'!$79:$79,0))/1000</f>
        <v>0</v>
      </c>
      <c r="S44" s="768"/>
      <c r="T44" s="768">
        <f t="shared" si="9"/>
        <v>-9108.9441815591254</v>
      </c>
      <c r="W44" s="768">
        <f t="shared" si="10"/>
        <v>0</v>
      </c>
      <c r="X44" s="768"/>
      <c r="Y44" s="768">
        <f t="shared" si="11"/>
        <v>0</v>
      </c>
      <c r="Z44" s="768"/>
      <c r="AA44" s="768">
        <f t="shared" si="12"/>
        <v>0</v>
      </c>
      <c r="AB44" s="769"/>
      <c r="AC44" s="768">
        <f t="shared" si="13"/>
        <v>0</v>
      </c>
      <c r="AE44" s="764" t="s">
        <v>860</v>
      </c>
      <c r="AG44" s="770"/>
      <c r="AO44" s="768"/>
      <c r="AP44" s="768"/>
      <c r="AQ44" s="768"/>
    </row>
    <row r="45" spans="2:43" x14ac:dyDescent="0.2">
      <c r="B45" s="764">
        <f t="shared" ca="1" si="7"/>
        <v>34</v>
      </c>
      <c r="D45" s="772" t="s">
        <v>912</v>
      </c>
      <c r="F45" s="764" t="str">
        <f>+INDEX('BGM-9 (2) Detailed Summary'!$10:$10&amp;" "&amp;'BGM-9 (2) Detailed Summary'!$11:$11,1,MATCH(D45,'BGM-9 (2) Detailed Summary'!$79:$79,0))</f>
        <v>TAX BENEFIT OF INTEREST</v>
      </c>
      <c r="I45" s="768">
        <v>-387.24583443835974</v>
      </c>
      <c r="J45" s="768"/>
      <c r="K45" s="768">
        <v>0</v>
      </c>
      <c r="L45" s="768"/>
      <c r="M45" s="768">
        <f t="shared" si="8"/>
        <v>515.3787950964421</v>
      </c>
      <c r="P45" s="768">
        <f>+INDEX('BGM-9 (2) Detailed Summary'!$46:$46,1,MATCH($D45,'BGM-9 (2) Detailed Summary'!$79:$79,0))/1000</f>
        <v>-963.20831677365209</v>
      </c>
      <c r="Q45" s="768"/>
      <c r="R45" s="768">
        <f>+INDEX('BGM-9 (2) Detailed Summary'!$48:$48,1,MATCH($D45,'BGM-9 (2) Detailed Summary'!$79:$79,0))/1000</f>
        <v>0</v>
      </c>
      <c r="S45" s="768"/>
      <c r="T45" s="768">
        <f t="shared" si="9"/>
        <v>1281.917318608871</v>
      </c>
      <c r="W45" s="768">
        <f t="shared" si="10"/>
        <v>-729.06643333581314</v>
      </c>
      <c r="X45" s="768"/>
      <c r="Y45" s="768">
        <f t="shared" si="11"/>
        <v>-575.96248233529241</v>
      </c>
      <c r="Z45" s="768"/>
      <c r="AA45" s="768">
        <f t="shared" si="12"/>
        <v>0</v>
      </c>
      <c r="AB45" s="769"/>
      <c r="AC45" s="768">
        <f t="shared" si="13"/>
        <v>766.53852351242892</v>
      </c>
      <c r="AE45" s="764" t="s">
        <v>860</v>
      </c>
      <c r="AG45" s="770"/>
      <c r="AO45" s="768"/>
      <c r="AP45" s="768"/>
      <c r="AQ45" s="768"/>
    </row>
    <row r="46" spans="2:43" x14ac:dyDescent="0.2">
      <c r="B46" s="764">
        <f t="shared" ca="1" si="7"/>
        <v>35</v>
      </c>
      <c r="D46" s="772" t="s">
        <v>913</v>
      </c>
      <c r="F46" s="764" t="str">
        <f>+INDEX('BGM-9 (2) Detailed Summary'!$10:$10&amp;" "&amp;'BGM-9 (2) Detailed Summary'!$11:$11,1,MATCH(D46,'BGM-9 (2) Detailed Summary'!$79:$79,0))</f>
        <v>EXCISE TAX  &amp; FILING FEE</v>
      </c>
      <c r="I46" s="768">
        <v>-71.834764841627035</v>
      </c>
      <c r="J46" s="768"/>
      <c r="K46" s="768">
        <v>0</v>
      </c>
      <c r="L46" s="768"/>
      <c r="M46" s="768">
        <f t="shared" si="8"/>
        <v>95.603648271152764</v>
      </c>
      <c r="P46" s="768">
        <f>+INDEX('BGM-9 (2) Detailed Summary'!$46:$46,1,MATCH($D46,'BGM-9 (2) Detailed Summary'!$79:$79,0))/1000</f>
        <v>-71.834764841627035</v>
      </c>
      <c r="Q46" s="768"/>
      <c r="R46" s="768">
        <f>+INDEX('BGM-9 (2) Detailed Summary'!$48:$48,1,MATCH($D46,'BGM-9 (2) Detailed Summary'!$79:$79,0))/1000</f>
        <v>0</v>
      </c>
      <c r="S46" s="768"/>
      <c r="T46" s="768">
        <f t="shared" si="9"/>
        <v>95.603648271152764</v>
      </c>
      <c r="W46" s="768">
        <f t="shared" si="10"/>
        <v>0</v>
      </c>
      <c r="X46" s="768"/>
      <c r="Y46" s="768">
        <f t="shared" si="11"/>
        <v>0</v>
      </c>
      <c r="Z46" s="768"/>
      <c r="AA46" s="768">
        <f t="shared" si="12"/>
        <v>0</v>
      </c>
      <c r="AB46" s="769"/>
      <c r="AC46" s="768">
        <f t="shared" si="13"/>
        <v>0</v>
      </c>
      <c r="AE46" s="764" t="s">
        <v>860</v>
      </c>
      <c r="AG46" s="770"/>
      <c r="AO46" s="768"/>
      <c r="AP46" s="768"/>
      <c r="AQ46" s="768"/>
    </row>
    <row r="47" spans="2:43" x14ac:dyDescent="0.2">
      <c r="B47" s="764">
        <f t="shared" ca="1" si="7"/>
        <v>36</v>
      </c>
      <c r="D47" s="772" t="s">
        <v>914</v>
      </c>
      <c r="F47" s="764" t="str">
        <f>+INDEX('BGM-9 (2) Detailed Summary'!$10:$10&amp;" "&amp;'BGM-9 (2) Detailed Summary'!$11:$11,1,MATCH(D47,'BGM-9 (2) Detailed Summary'!$79:$79,0))</f>
        <v>D&amp;O INSURANCE</v>
      </c>
      <c r="I47" s="768">
        <v>-5.3013344264041589</v>
      </c>
      <c r="J47" s="768"/>
      <c r="K47" s="768">
        <v>0</v>
      </c>
      <c r="L47" s="768"/>
      <c r="M47" s="768">
        <f t="shared" si="8"/>
        <v>7.0554544583961523</v>
      </c>
      <c r="P47" s="768">
        <f>+INDEX('BGM-9 (2) Detailed Summary'!$46:$46,1,MATCH($D47,'BGM-9 (2) Detailed Summary'!$79:$79,0))/1000</f>
        <v>-5.3013344264041589</v>
      </c>
      <c r="Q47" s="768"/>
      <c r="R47" s="768">
        <f>+INDEX('BGM-9 (2) Detailed Summary'!$48:$48,1,MATCH($D47,'BGM-9 (2) Detailed Summary'!$79:$79,0))/1000</f>
        <v>0</v>
      </c>
      <c r="S47" s="768"/>
      <c r="T47" s="768">
        <f t="shared" si="9"/>
        <v>7.0554544583961523</v>
      </c>
      <c r="W47" s="768">
        <f t="shared" si="10"/>
        <v>0</v>
      </c>
      <c r="X47" s="768"/>
      <c r="Y47" s="768">
        <f t="shared" si="11"/>
        <v>0</v>
      </c>
      <c r="Z47" s="768"/>
      <c r="AA47" s="768">
        <f t="shared" si="12"/>
        <v>0</v>
      </c>
      <c r="AB47" s="769"/>
      <c r="AC47" s="768">
        <f t="shared" si="13"/>
        <v>0</v>
      </c>
      <c r="AE47" s="764" t="s">
        <v>860</v>
      </c>
      <c r="AG47" s="770"/>
      <c r="AO47" s="768"/>
      <c r="AP47" s="768"/>
      <c r="AQ47" s="768"/>
    </row>
    <row r="48" spans="2:43" x14ac:dyDescent="0.2">
      <c r="B48" s="764">
        <f t="shared" ca="1" si="7"/>
        <v>37</v>
      </c>
      <c r="D48" s="772" t="s">
        <v>915</v>
      </c>
      <c r="F48" s="764" t="str">
        <f>+INDEX('BGM-9 (2) Detailed Summary'!$10:$10&amp;" "&amp;'BGM-9 (2) Detailed Summary'!$11:$11,1,MATCH(D48,'BGM-9 (2) Detailed Summary'!$79:$79,0))</f>
        <v>PROPERTY &amp; LIABILITY INS</v>
      </c>
      <c r="I48" s="768">
        <v>-442.58800130389307</v>
      </c>
      <c r="J48" s="768"/>
      <c r="K48" s="768">
        <v>0</v>
      </c>
      <c r="L48" s="768"/>
      <c r="M48" s="768">
        <f t="shared" si="8"/>
        <v>589.03272947265509</v>
      </c>
      <c r="P48" s="768">
        <f>+INDEX('BGM-9 (2) Detailed Summary'!$46:$46,1,MATCH($D48,'BGM-9 (2) Detailed Summary'!$79:$79,0))/1000</f>
        <v>-442.58800130389307</v>
      </c>
      <c r="Q48" s="768"/>
      <c r="R48" s="768">
        <f>+INDEX('BGM-9 (2) Detailed Summary'!$48:$48,1,MATCH($D48,'BGM-9 (2) Detailed Summary'!$79:$79,0))/1000</f>
        <v>0</v>
      </c>
      <c r="S48" s="768"/>
      <c r="T48" s="768">
        <f t="shared" si="9"/>
        <v>589.03272947265509</v>
      </c>
      <c r="W48" s="768">
        <f t="shared" si="10"/>
        <v>0</v>
      </c>
      <c r="X48" s="768"/>
      <c r="Y48" s="768">
        <f t="shared" si="11"/>
        <v>0</v>
      </c>
      <c r="Z48" s="768"/>
      <c r="AA48" s="768">
        <f t="shared" si="12"/>
        <v>0</v>
      </c>
      <c r="AB48" s="769"/>
      <c r="AC48" s="768">
        <f t="shared" si="13"/>
        <v>0</v>
      </c>
      <c r="AE48" s="764" t="s">
        <v>860</v>
      </c>
      <c r="AG48" s="770"/>
      <c r="AO48" s="768"/>
      <c r="AP48" s="768"/>
      <c r="AQ48" s="768"/>
    </row>
    <row r="49" spans="1:43" x14ac:dyDescent="0.2">
      <c r="B49" s="764">
        <f t="shared" ca="1" si="7"/>
        <v>38</v>
      </c>
      <c r="D49" s="772" t="s">
        <v>916</v>
      </c>
      <c r="F49" s="764" t="str">
        <f>+INDEX('BGM-9 (2) Detailed Summary'!$10:$10&amp;" "&amp;'BGM-9 (2) Detailed Summary'!$11:$11,1,MATCH(D49,'BGM-9 (2) Detailed Summary'!$79:$79,0))</f>
        <v>WAGE INCREASE</v>
      </c>
      <c r="I49" s="768">
        <v>-3003.5571583568117</v>
      </c>
      <c r="J49" s="768"/>
      <c r="K49" s="768">
        <v>0</v>
      </c>
      <c r="L49" s="768"/>
      <c r="M49" s="768">
        <f t="shared" si="8"/>
        <v>3997.3823644154054</v>
      </c>
      <c r="P49" s="768">
        <f>+INDEX('BGM-9 (2) Detailed Summary'!$46:$46,1,MATCH($D49,'BGM-9 (2) Detailed Summary'!$79:$79,0))/1000</f>
        <v>-3003.5571583568117</v>
      </c>
      <c r="Q49" s="768"/>
      <c r="R49" s="768">
        <f>+INDEX('BGM-9 (2) Detailed Summary'!$48:$48,1,MATCH($D49,'BGM-9 (2) Detailed Summary'!$79:$79,0))/1000</f>
        <v>0</v>
      </c>
      <c r="S49" s="768"/>
      <c r="T49" s="768">
        <f t="shared" si="9"/>
        <v>3997.3823644154054</v>
      </c>
      <c r="W49" s="768">
        <f t="shared" si="10"/>
        <v>0</v>
      </c>
      <c r="X49" s="768"/>
      <c r="Y49" s="768">
        <f t="shared" si="11"/>
        <v>0</v>
      </c>
      <c r="Z49" s="768"/>
      <c r="AA49" s="768">
        <f t="shared" si="12"/>
        <v>0</v>
      </c>
      <c r="AB49" s="769"/>
      <c r="AC49" s="768">
        <f t="shared" si="13"/>
        <v>0</v>
      </c>
      <c r="AE49" s="764" t="s">
        <v>860</v>
      </c>
      <c r="AG49" s="770"/>
      <c r="AO49" s="768"/>
      <c r="AP49" s="768"/>
      <c r="AQ49" s="768"/>
    </row>
    <row r="50" spans="1:43" x14ac:dyDescent="0.2">
      <c r="B50" s="764">
        <f t="shared" ca="1" si="7"/>
        <v>39</v>
      </c>
      <c r="D50" s="772" t="s">
        <v>917</v>
      </c>
      <c r="F50" s="764" t="str">
        <f>+INDEX('BGM-9 (2) Detailed Summary'!$10:$10&amp;" "&amp;'BGM-9 (2) Detailed Summary'!$11:$11,1,MATCH(D50,'BGM-9 (2) Detailed Summary'!$79:$79,0))</f>
        <v>INVESTMENT PLAN</v>
      </c>
      <c r="I50" s="768">
        <v>-208.17732402600535</v>
      </c>
      <c r="J50" s="768"/>
      <c r="K50" s="768">
        <v>0</v>
      </c>
      <c r="L50" s="768"/>
      <c r="M50" s="768">
        <f t="shared" si="8"/>
        <v>277.05960627964424</v>
      </c>
      <c r="P50" s="768">
        <f>+INDEX('BGM-9 (2) Detailed Summary'!$46:$46,1,MATCH($D50,'BGM-9 (2) Detailed Summary'!$79:$79,0))/1000</f>
        <v>-208.17732402600535</v>
      </c>
      <c r="Q50" s="768"/>
      <c r="R50" s="768">
        <f>+INDEX('BGM-9 (2) Detailed Summary'!$48:$48,1,MATCH($D50,'BGM-9 (2) Detailed Summary'!$79:$79,0))/1000</f>
        <v>0</v>
      </c>
      <c r="S50" s="768"/>
      <c r="T50" s="768">
        <f t="shared" si="9"/>
        <v>277.05960627964424</v>
      </c>
      <c r="W50" s="768">
        <f t="shared" si="10"/>
        <v>0</v>
      </c>
      <c r="X50" s="768"/>
      <c r="Y50" s="768">
        <f t="shared" si="11"/>
        <v>0</v>
      </c>
      <c r="Z50" s="768"/>
      <c r="AA50" s="768">
        <f t="shared" si="12"/>
        <v>0</v>
      </c>
      <c r="AB50" s="769"/>
      <c r="AC50" s="768">
        <f t="shared" si="13"/>
        <v>0</v>
      </c>
      <c r="AE50" s="764" t="s">
        <v>860</v>
      </c>
      <c r="AG50" s="770"/>
      <c r="AO50" s="768"/>
      <c r="AP50" s="768"/>
      <c r="AQ50" s="768"/>
    </row>
    <row r="51" spans="1:43" x14ac:dyDescent="0.2">
      <c r="B51" s="764">
        <f t="shared" ca="1" si="7"/>
        <v>40</v>
      </c>
      <c r="D51" s="772" t="s">
        <v>918</v>
      </c>
      <c r="F51" s="764" t="str">
        <f>+INDEX('BGM-9 (2) Detailed Summary'!$10:$10&amp;" "&amp;'BGM-9 (2) Detailed Summary'!$11:$11,1,MATCH(D51,'BGM-9 (2) Detailed Summary'!$79:$79,0))</f>
        <v>EMPLOYEE INSURANCE</v>
      </c>
      <c r="I51" s="768">
        <v>-691.24688851637836</v>
      </c>
      <c r="J51" s="768"/>
      <c r="K51" s="768">
        <v>0</v>
      </c>
      <c r="L51" s="768"/>
      <c r="M51" s="768">
        <f t="shared" si="8"/>
        <v>919.96854926645517</v>
      </c>
      <c r="P51" s="768">
        <f>+INDEX('BGM-9 (2) Detailed Summary'!$46:$46,1,MATCH($D51,'BGM-9 (2) Detailed Summary'!$79:$79,0))/1000</f>
        <v>-691.24688851637836</v>
      </c>
      <c r="Q51" s="768"/>
      <c r="R51" s="768">
        <f>+INDEX('BGM-9 (2) Detailed Summary'!$48:$48,1,MATCH($D51,'BGM-9 (2) Detailed Summary'!$79:$79,0))/1000</f>
        <v>0</v>
      </c>
      <c r="S51" s="768"/>
      <c r="T51" s="768">
        <f t="shared" si="9"/>
        <v>919.96854926645517</v>
      </c>
      <c r="W51" s="768">
        <f t="shared" si="10"/>
        <v>0</v>
      </c>
      <c r="X51" s="768"/>
      <c r="Y51" s="768">
        <f t="shared" si="11"/>
        <v>0</v>
      </c>
      <c r="Z51" s="768"/>
      <c r="AA51" s="768">
        <f t="shared" si="12"/>
        <v>0</v>
      </c>
      <c r="AB51" s="769"/>
      <c r="AC51" s="768">
        <f t="shared" si="13"/>
        <v>0</v>
      </c>
      <c r="AE51" s="764" t="s">
        <v>860</v>
      </c>
      <c r="AG51" s="770"/>
      <c r="AO51" s="768"/>
      <c r="AP51" s="768"/>
      <c r="AQ51" s="768"/>
    </row>
    <row r="52" spans="1:43" x14ac:dyDescent="0.2">
      <c r="B52" s="764">
        <f t="shared" ca="1" si="7"/>
        <v>41</v>
      </c>
      <c r="D52" s="772" t="s">
        <v>919</v>
      </c>
      <c r="F52" s="764" t="str">
        <f>+INDEX('BGM-9 (2) Detailed Summary'!$10:$10&amp;" "&amp;'BGM-9 (2) Detailed Summary'!$11:$11,1,MATCH(D52,'BGM-9 (2) Detailed Summary'!$79:$79,0))</f>
        <v>DEFERRED G/L ON PROPERTY SALES</v>
      </c>
      <c r="I52" s="892">
        <v>-410.038445266667</v>
      </c>
      <c r="J52" s="768"/>
      <c r="K52" s="768">
        <v>0</v>
      </c>
      <c r="L52" s="768"/>
      <c r="M52" s="768">
        <f t="shared" si="8"/>
        <v>545.71308732409659</v>
      </c>
      <c r="P52" s="768">
        <f>+INDEX('BGM-9 (2) Detailed Summary'!$46:$46,1,MATCH($D52,'BGM-9 (2) Detailed Summary'!$79:$79,0))/1000</f>
        <v>2791.8315547333327</v>
      </c>
      <c r="Q52" s="768"/>
      <c r="R52" s="768">
        <f>+INDEX('BGM-9 (2) Detailed Summary'!$48:$48,1,MATCH($D52,'BGM-9 (2) Detailed Summary'!$79:$79,0))/1000</f>
        <v>0</v>
      </c>
      <c r="S52" s="768"/>
      <c r="T52" s="768">
        <f t="shared" si="9"/>
        <v>-3715.6004140819809</v>
      </c>
      <c r="W52" s="768">
        <f t="shared" si="10"/>
        <v>4052.9999999999995</v>
      </c>
      <c r="X52" s="768"/>
      <c r="Y52" s="768">
        <f t="shared" si="11"/>
        <v>3201.87</v>
      </c>
      <c r="Z52" s="768"/>
      <c r="AA52" s="768">
        <f t="shared" si="12"/>
        <v>0</v>
      </c>
      <c r="AB52" s="769"/>
      <c r="AC52" s="768">
        <f t="shared" si="13"/>
        <v>-4261.3135014060772</v>
      </c>
      <c r="AE52" s="764" t="s">
        <v>860</v>
      </c>
      <c r="AG52" s="770"/>
      <c r="AO52" s="768"/>
      <c r="AP52" s="768"/>
      <c r="AQ52" s="768"/>
    </row>
    <row r="53" spans="1:43" x14ac:dyDescent="0.2">
      <c r="B53" s="764">
        <f t="shared" ca="1" si="7"/>
        <v>42</v>
      </c>
      <c r="D53" s="772" t="s">
        <v>920</v>
      </c>
      <c r="F53" s="764" t="str">
        <f>+INDEX('BGM-9 (2) Detailed Summary'!$10:$10&amp;" "&amp;'BGM-9 (2) Detailed Summary'!$11:$11,1,MATCH(D53,'BGM-9 (2) Detailed Summary'!$79:$79,0))</f>
        <v>ENVIRON REMEDIATION</v>
      </c>
      <c r="I53" s="768">
        <v>-120.11765165375613</v>
      </c>
      <c r="J53" s="768"/>
      <c r="K53" s="768">
        <v>0</v>
      </c>
      <c r="L53" s="768"/>
      <c r="M53" s="768">
        <f t="shared" si="8"/>
        <v>159.86250870564484</v>
      </c>
      <c r="P53" s="768">
        <f>+INDEX('BGM-9 (2) Detailed Summary'!$46:$46,1,MATCH($D53,'BGM-9 (2) Detailed Summary'!$79:$79,0))/1000</f>
        <v>-120.11765165375613</v>
      </c>
      <c r="Q53" s="768"/>
      <c r="R53" s="768">
        <f>+INDEX('BGM-9 (2) Detailed Summary'!$48:$48,1,MATCH($D53,'BGM-9 (2) Detailed Summary'!$79:$79,0))/1000</f>
        <v>0</v>
      </c>
      <c r="S53" s="768"/>
      <c r="T53" s="768">
        <f t="shared" si="9"/>
        <v>159.86250870564484</v>
      </c>
      <c r="W53" s="768">
        <f t="shared" si="10"/>
        <v>0</v>
      </c>
      <c r="X53" s="768"/>
      <c r="Y53" s="768">
        <f t="shared" si="11"/>
        <v>0</v>
      </c>
      <c r="Z53" s="768"/>
      <c r="AA53" s="768">
        <f t="shared" si="12"/>
        <v>0</v>
      </c>
      <c r="AB53" s="769"/>
      <c r="AC53" s="768">
        <f t="shared" si="13"/>
        <v>0</v>
      </c>
      <c r="AE53" s="764" t="s">
        <v>860</v>
      </c>
      <c r="AG53" s="770"/>
      <c r="AO53" s="768"/>
      <c r="AP53" s="768"/>
      <c r="AQ53" s="768"/>
    </row>
    <row r="54" spans="1:43" x14ac:dyDescent="0.2">
      <c r="B54" s="764">
        <f t="shared" ca="1" si="7"/>
        <v>43</v>
      </c>
      <c r="D54" s="772" t="s">
        <v>921</v>
      </c>
      <c r="F54" s="764" t="str">
        <f>+INDEX('BGM-9 (2) Detailed Summary'!$10:$10&amp;" "&amp;'BGM-9 (2) Detailed Summary'!$11:$11,1,MATCH(D54,'BGM-9 (2) Detailed Summary'!$79:$79,0))</f>
        <v xml:space="preserve">AMI </v>
      </c>
      <c r="I54" s="768">
        <v>-4864.3764922224491</v>
      </c>
      <c r="J54" s="768"/>
      <c r="K54" s="768">
        <v>28244.978592898085</v>
      </c>
      <c r="L54" s="768"/>
      <c r="M54" s="768">
        <f t="shared" si="8"/>
        <v>9266.9077361215914</v>
      </c>
      <c r="P54" s="768">
        <f>+INDEX('BGM-9 (2) Detailed Summary'!$46:$46,1,MATCH($D54,'BGM-9 (2) Detailed Summary'!$79:$79,0))/1000</f>
        <v>-4864.3764922224491</v>
      </c>
      <c r="Q54" s="768"/>
      <c r="R54" s="768">
        <f>+INDEX('BGM-9 (2) Detailed Summary'!$48:$48,1,MATCH($D54,'BGM-9 (2) Detailed Summary'!$79:$79,0))/1000</f>
        <v>28244.978592898085</v>
      </c>
      <c r="S54" s="768"/>
      <c r="T54" s="768">
        <f t="shared" si="9"/>
        <v>9266.9077361215914</v>
      </c>
      <c r="W54" s="768">
        <f t="shared" si="10"/>
        <v>0</v>
      </c>
      <c r="X54" s="768"/>
      <c r="Y54" s="768">
        <f t="shared" si="11"/>
        <v>0</v>
      </c>
      <c r="Z54" s="768"/>
      <c r="AA54" s="768">
        <f t="shared" si="12"/>
        <v>0</v>
      </c>
      <c r="AB54" s="769"/>
      <c r="AC54" s="768">
        <f t="shared" si="13"/>
        <v>0</v>
      </c>
      <c r="AE54" s="764" t="s">
        <v>860</v>
      </c>
      <c r="AG54" s="770"/>
      <c r="AO54" s="768"/>
      <c r="AP54" s="768"/>
      <c r="AQ54" s="768"/>
    </row>
    <row r="55" spans="1:43" s="765" customFormat="1" x14ac:dyDescent="0.2">
      <c r="A55" s="764"/>
      <c r="B55" s="764">
        <f t="shared" ca="1" si="7"/>
        <v>44</v>
      </c>
      <c r="C55" s="764"/>
      <c r="D55" s="772" t="s">
        <v>922</v>
      </c>
      <c r="E55" s="764"/>
      <c r="F55" s="764" t="str">
        <f>+INDEX('BGM-9 (2) Detailed Summary'!$10:$10&amp;" "&amp;'BGM-9 (2) Detailed Summary'!$11:$11,1,MATCH(D55,'BGM-9 (2) Detailed Summary'!$79:$79,0))</f>
        <v>ANNUALIZE RENT EXP</v>
      </c>
      <c r="I55" s="768">
        <v>394.54896938773646</v>
      </c>
      <c r="J55" s="768"/>
      <c r="K55" s="768">
        <v>0</v>
      </c>
      <c r="L55" s="768"/>
      <c r="M55" s="768">
        <f t="shared" si="8"/>
        <v>-525.09841130895836</v>
      </c>
      <c r="O55" s="764"/>
      <c r="P55" s="768">
        <f>+INDEX('BGM-9 (2) Detailed Summary'!$46:$46,1,MATCH($D55,'BGM-9 (2) Detailed Summary'!$79:$79,0))/1000</f>
        <v>394.54896938773646</v>
      </c>
      <c r="Q55" s="768"/>
      <c r="R55" s="768">
        <f>+INDEX('BGM-9 (2) Detailed Summary'!$48:$48,1,MATCH($D55,'BGM-9 (2) Detailed Summary'!$79:$79,0))/1000</f>
        <v>0</v>
      </c>
      <c r="S55" s="768"/>
      <c r="T55" s="768">
        <f t="shared" si="9"/>
        <v>-525.09841130895836</v>
      </c>
      <c r="U55" s="764"/>
      <c r="V55" s="764"/>
      <c r="W55" s="768">
        <f t="shared" si="10"/>
        <v>0</v>
      </c>
      <c r="X55" s="768"/>
      <c r="Y55" s="768">
        <f t="shared" si="11"/>
        <v>0</v>
      </c>
      <c r="Z55" s="768"/>
      <c r="AA55" s="768">
        <f t="shared" si="12"/>
        <v>0</v>
      </c>
      <c r="AB55" s="769"/>
      <c r="AC55" s="768">
        <f t="shared" si="13"/>
        <v>0</v>
      </c>
      <c r="AE55" s="764" t="s">
        <v>860</v>
      </c>
      <c r="AG55" s="770"/>
      <c r="AI55" s="764"/>
      <c r="AJ55" s="764"/>
      <c r="AK55" s="764"/>
      <c r="AL55" s="764"/>
      <c r="AM55" s="764"/>
      <c r="AO55" s="768"/>
      <c r="AP55" s="768"/>
      <c r="AQ55" s="768"/>
    </row>
    <row r="56" spans="1:43" s="765" customFormat="1" x14ac:dyDescent="0.2">
      <c r="A56" s="764"/>
      <c r="B56" s="764">
        <f t="shared" ca="1" si="7"/>
        <v>45</v>
      </c>
      <c r="C56" s="764"/>
      <c r="D56" s="772" t="s">
        <v>923</v>
      </c>
      <c r="E56" s="764"/>
      <c r="F56" s="764" t="str">
        <f>+INDEX('BGM-9 (2) Detailed Summary'!$10:$10&amp;" "&amp;'BGM-9 (2) Detailed Summary'!$11:$11,1,MATCH(D56,'BGM-9 (2) Detailed Summary'!$79:$79,0))</f>
        <v>GTZ PLANT &amp; DFRL</v>
      </c>
      <c r="I56" s="892">
        <v>-9627.5937620313671</v>
      </c>
      <c r="J56" s="768"/>
      <c r="K56" s="768">
        <v>25877.605564484787</v>
      </c>
      <c r="L56" s="768"/>
      <c r="M56" s="768">
        <f t="shared" si="8"/>
        <v>15372.094657001691</v>
      </c>
      <c r="O56" s="764"/>
      <c r="P56" s="768">
        <f>+INDEX('BGM-9 (2) Detailed Summary'!$46:$46,1,MATCH($D56,'BGM-9 (2) Detailed Summary'!$79:$79,0))/1000</f>
        <v>-5181.4101925229534</v>
      </c>
      <c r="Q56" s="768"/>
      <c r="R56" s="768">
        <f>+INDEX('BGM-9 (2) Detailed Summary'!$48:$48,1,MATCH($D56,'BGM-9 (2) Detailed Summary'!$79:$79,0))/1000</f>
        <v>11359.234266798821</v>
      </c>
      <c r="S56" s="768"/>
      <c r="T56" s="768">
        <f t="shared" si="9"/>
        <v>8019.1025572194485</v>
      </c>
      <c r="U56" s="764"/>
      <c r="V56" s="764"/>
      <c r="W56" s="768">
        <f t="shared" si="10"/>
        <v>5628.0804677321694</v>
      </c>
      <c r="X56" s="768"/>
      <c r="Y56" s="768">
        <f t="shared" si="11"/>
        <v>4446.1835695084137</v>
      </c>
      <c r="Z56" s="768"/>
      <c r="AA56" s="768">
        <f t="shared" si="12"/>
        <v>-14518.371297685966</v>
      </c>
      <c r="AB56" s="769"/>
      <c r="AC56" s="768">
        <f t="shared" si="13"/>
        <v>-7352.9920997822428</v>
      </c>
      <c r="AE56" s="764" t="s">
        <v>979</v>
      </c>
      <c r="AG56" s="770"/>
      <c r="AI56" s="764"/>
      <c r="AJ56" s="764"/>
      <c r="AK56" s="764"/>
      <c r="AL56" s="764"/>
      <c r="AM56" s="764"/>
      <c r="AO56" s="768"/>
      <c r="AP56" s="768"/>
      <c r="AQ56" s="768"/>
    </row>
    <row r="57" spans="1:43" s="765" customFormat="1" x14ac:dyDescent="0.2">
      <c r="A57" s="764"/>
      <c r="B57" s="764">
        <f t="shared" ca="1" si="7"/>
        <v>46</v>
      </c>
      <c r="C57" s="764"/>
      <c r="D57" s="772" t="s">
        <v>924</v>
      </c>
      <c r="E57" s="764"/>
      <c r="F57" s="764" t="str">
        <f>+INDEX('BGM-9 (2) Detailed Summary'!$10:$10&amp;" "&amp;'BGM-9 (2) Detailed Summary'!$11:$11,1,MATCH(D57,'BGM-9 (2) Detailed Summary'!$79:$79,0))</f>
        <v>CREDIT  CARD AMORT</v>
      </c>
      <c r="I57" s="768">
        <v>477.33077329275</v>
      </c>
      <c r="J57" s="768"/>
      <c r="K57" s="768">
        <v>0</v>
      </c>
      <c r="L57" s="768"/>
      <c r="M57" s="768">
        <f t="shared" si="8"/>
        <v>-635.27128486446964</v>
      </c>
      <c r="O57" s="764"/>
      <c r="P57" s="768">
        <f>+INDEX('BGM-9 (2) Detailed Summary'!$46:$46,1,MATCH($D57,'BGM-9 (2) Detailed Summary'!$79:$79,0))/1000</f>
        <v>477.33077329275</v>
      </c>
      <c r="Q57" s="768"/>
      <c r="R57" s="768">
        <f>+INDEX('BGM-9 (2) Detailed Summary'!$48:$48,1,MATCH($D57,'BGM-9 (2) Detailed Summary'!$79:$79,0))/1000</f>
        <v>0</v>
      </c>
      <c r="S57" s="768"/>
      <c r="T57" s="768">
        <f t="shared" si="9"/>
        <v>-635.27128486446964</v>
      </c>
      <c r="U57" s="764"/>
      <c r="V57" s="764"/>
      <c r="W57" s="768">
        <f t="shared" si="10"/>
        <v>0</v>
      </c>
      <c r="X57" s="768"/>
      <c r="Y57" s="768">
        <f t="shared" si="11"/>
        <v>0</v>
      </c>
      <c r="Z57" s="768"/>
      <c r="AA57" s="768">
        <f t="shared" si="12"/>
        <v>0</v>
      </c>
      <c r="AB57" s="769"/>
      <c r="AC57" s="768">
        <f t="shared" si="13"/>
        <v>0</v>
      </c>
      <c r="AE57" s="764" t="s">
        <v>860</v>
      </c>
      <c r="AG57" s="770"/>
      <c r="AI57" s="764"/>
      <c r="AJ57" s="764"/>
      <c r="AK57" s="764"/>
      <c r="AL57" s="764"/>
      <c r="AM57" s="764"/>
      <c r="AO57" s="768"/>
      <c r="AP57" s="768"/>
      <c r="AQ57" s="768"/>
    </row>
    <row r="58" spans="1:43" x14ac:dyDescent="0.2">
      <c r="B58" s="764">
        <f t="shared" ca="1" si="7"/>
        <v>47</v>
      </c>
      <c r="D58" s="772" t="s">
        <v>925</v>
      </c>
      <c r="F58" s="764" t="str">
        <f>+INDEX('BGM-9 (2) Detailed Summary'!$10:$10&amp;" "&amp;'BGM-9 (2) Detailed Summary'!$11:$11,1,MATCH(D58,'BGM-9 (2) Detailed Summary'!$79:$79,0))</f>
        <v>REMOVE UNPRO- TECTED DFIT</v>
      </c>
      <c r="I58" s="768">
        <v>9006.3722399999988</v>
      </c>
      <c r="J58" s="768"/>
      <c r="K58" s="768">
        <v>4503.1861200000085</v>
      </c>
      <c r="L58" s="768"/>
      <c r="M58" s="768">
        <f t="shared" si="8"/>
        <v>-11541.129615047492</v>
      </c>
      <c r="P58" s="768">
        <f>+INDEX('BGM-9 (2) Detailed Summary'!$46:$46,1,MATCH($D58,'BGM-9 (2) Detailed Summary'!$79:$79,0))/1000</f>
        <v>9006.3722399999988</v>
      </c>
      <c r="Q58" s="768"/>
      <c r="R58" s="768">
        <f>+INDEX('BGM-9 (2) Detailed Summary'!$48:$48,1,MATCH($D58,'BGM-9 (2) Detailed Summary'!$79:$79,0))/1000</f>
        <v>4503.1861200000085</v>
      </c>
      <c r="S58" s="768"/>
      <c r="T58" s="768">
        <f t="shared" si="9"/>
        <v>-11541.129615047492</v>
      </c>
      <c r="W58" s="768">
        <f t="shared" si="10"/>
        <v>0</v>
      </c>
      <c r="X58" s="768"/>
      <c r="Y58" s="768">
        <f t="shared" si="11"/>
        <v>0</v>
      </c>
      <c r="Z58" s="768"/>
      <c r="AA58" s="768">
        <f t="shared" si="12"/>
        <v>0</v>
      </c>
      <c r="AB58" s="769"/>
      <c r="AC58" s="768">
        <f t="shared" si="13"/>
        <v>0</v>
      </c>
      <c r="AE58" s="764" t="s">
        <v>860</v>
      </c>
      <c r="AG58" s="770"/>
      <c r="AO58" s="768"/>
      <c r="AP58" s="768"/>
      <c r="AQ58" s="768"/>
    </row>
    <row r="59" spans="1:43" x14ac:dyDescent="0.2">
      <c r="B59" s="764">
        <f t="shared" ca="1" si="7"/>
        <v>48</v>
      </c>
      <c r="D59" s="772" t="s">
        <v>926</v>
      </c>
      <c r="F59" s="764" t="str">
        <f>+INDEX('BGM-9 (2) Detailed Summary'!$10:$10&amp;" "&amp;'BGM-9 (2) Detailed Summary'!$11:$11,1,MATCH(D59,'BGM-9 (2) Detailed Summary'!$79:$79,0))</f>
        <v>PUBLIC IMPROVEMENT</v>
      </c>
      <c r="I59" s="768">
        <v>-296.26105729127158</v>
      </c>
      <c r="J59" s="768"/>
      <c r="K59" s="768">
        <v>12855.303339327644</v>
      </c>
      <c r="L59" s="768"/>
      <c r="M59" s="768">
        <f t="shared" si="8"/>
        <v>1665.4800898656149</v>
      </c>
      <c r="P59" s="768">
        <f>+INDEX('BGM-9 (2) Detailed Summary'!$46:$46,1,MATCH($D59,'BGM-9 (2) Detailed Summary'!$79:$79,0))/1000</f>
        <v>0</v>
      </c>
      <c r="Q59" s="768"/>
      <c r="R59" s="768">
        <f>+INDEX('BGM-9 (2) Detailed Summary'!$48:$48,1,MATCH($D59,'BGM-9 (2) Detailed Summary'!$79:$79,0))/1000</f>
        <v>0</v>
      </c>
      <c r="S59" s="768"/>
      <c r="T59" s="768">
        <f t="shared" si="9"/>
        <v>0</v>
      </c>
      <c r="W59" s="768">
        <f t="shared" si="10"/>
        <v>375.01399657122982</v>
      </c>
      <c r="X59" s="768"/>
      <c r="Y59" s="768">
        <f t="shared" si="11"/>
        <v>296.26105729127158</v>
      </c>
      <c r="Z59" s="768"/>
      <c r="AA59" s="768">
        <f t="shared" si="12"/>
        <v>-12855.303339327644</v>
      </c>
      <c r="AB59" s="769"/>
      <c r="AC59" s="768">
        <f t="shared" si="13"/>
        <v>-1665.4800898656149</v>
      </c>
      <c r="AE59" s="764" t="s">
        <v>979</v>
      </c>
      <c r="AG59" s="770"/>
      <c r="AO59" s="768"/>
      <c r="AP59" s="768"/>
      <c r="AQ59" s="768"/>
    </row>
    <row r="60" spans="1:43" x14ac:dyDescent="0.2">
      <c r="B60" s="764">
        <f t="shared" ca="1" si="7"/>
        <v>49</v>
      </c>
      <c r="D60" s="772" t="s">
        <v>927</v>
      </c>
      <c r="F60" s="764" t="str">
        <f>+INDEX('BGM-9 (2) Detailed Summary'!$10:$10&amp;" "&amp;'BGM-9 (2) Detailed Summary'!$11:$11,1,MATCH(D60,'BGM-9 (2) Detailed Summary'!$79:$79,0))</f>
        <v>CONTRACT ESCALATIONS</v>
      </c>
      <c r="I60" s="768">
        <v>-1330.7259543599268</v>
      </c>
      <c r="J60" s="768"/>
      <c r="K60" s="768">
        <v>0</v>
      </c>
      <c r="L60" s="768"/>
      <c r="M60" s="768">
        <f t="shared" si="8"/>
        <v>1771.0401971302533</v>
      </c>
      <c r="P60" s="768">
        <f>+INDEX('BGM-9 (2) Detailed Summary'!$46:$46,1,MATCH($D60,'BGM-9 (2) Detailed Summary'!$79:$79,0))/1000</f>
        <v>-1330.7259543599268</v>
      </c>
      <c r="Q60" s="768"/>
      <c r="R60" s="768">
        <f>+INDEX('BGM-9 (2) Detailed Summary'!$48:$48,1,MATCH($D60,'BGM-9 (2) Detailed Summary'!$79:$79,0))/1000</f>
        <v>0</v>
      </c>
      <c r="S60" s="768"/>
      <c r="T60" s="768">
        <f t="shared" si="9"/>
        <v>1771.0401971302533</v>
      </c>
      <c r="W60" s="768">
        <f t="shared" si="10"/>
        <v>0</v>
      </c>
      <c r="X60" s="768"/>
      <c r="Y60" s="768">
        <f t="shared" si="11"/>
        <v>0</v>
      </c>
      <c r="Z60" s="768"/>
      <c r="AA60" s="768">
        <f t="shared" si="12"/>
        <v>0</v>
      </c>
      <c r="AB60" s="769"/>
      <c r="AC60" s="768">
        <f t="shared" si="13"/>
        <v>0</v>
      </c>
      <c r="AE60" s="764" t="s">
        <v>860</v>
      </c>
      <c r="AG60" s="770"/>
      <c r="AO60" s="768"/>
      <c r="AP60" s="768"/>
      <c r="AQ60" s="768"/>
    </row>
    <row r="61" spans="1:43" x14ac:dyDescent="0.2">
      <c r="B61" s="764">
        <f t="shared" ca="1" si="7"/>
        <v>50</v>
      </c>
      <c r="D61" s="772" t="s">
        <v>928</v>
      </c>
      <c r="F61" s="764" t="str">
        <f>+INDEX('BGM-9 (2) Detailed Summary'!$10:$10&amp;" "&amp;'BGM-9 (2) Detailed Summary'!$11:$11,1,MATCH(D61,'BGM-9 (2) Detailed Summary'!$79:$79,0))</f>
        <v xml:space="preserve"> HR TOPS</v>
      </c>
      <c r="I61" s="768">
        <v>-538.58803</v>
      </c>
      <c r="J61" s="768"/>
      <c r="K61" s="768">
        <v>5481.0495432116631</v>
      </c>
      <c r="L61" s="768"/>
      <c r="M61" s="768">
        <f t="shared" si="8"/>
        <v>1258.7888315789548</v>
      </c>
      <c r="P61" s="768">
        <f>+INDEX('BGM-9 (2) Detailed Summary'!$46:$46,1,MATCH($D61,'BGM-9 (2) Detailed Summary'!$79:$79,0))/1000</f>
        <v>0</v>
      </c>
      <c r="Q61" s="768"/>
      <c r="R61" s="768">
        <f>+INDEX('BGM-9 (2) Detailed Summary'!$48:$48,1,MATCH($D61,'BGM-9 (2) Detailed Summary'!$79:$79,0))/1000</f>
        <v>0</v>
      </c>
      <c r="S61" s="768"/>
      <c r="T61" s="768">
        <f t="shared" si="9"/>
        <v>0</v>
      </c>
      <c r="W61" s="768">
        <f t="shared" si="10"/>
        <v>681.75699999999995</v>
      </c>
      <c r="X61" s="768"/>
      <c r="Y61" s="768">
        <f t="shared" si="11"/>
        <v>538.58803</v>
      </c>
      <c r="Z61" s="768"/>
      <c r="AA61" s="768">
        <f t="shared" si="12"/>
        <v>-5481.0495432116631</v>
      </c>
      <c r="AB61" s="769"/>
      <c r="AC61" s="768">
        <f t="shared" si="13"/>
        <v>-1258.7888315789548</v>
      </c>
      <c r="AE61" s="764" t="s">
        <v>979</v>
      </c>
      <c r="AG61" s="770"/>
      <c r="AO61" s="768"/>
      <c r="AP61" s="768"/>
      <c r="AQ61" s="768"/>
    </row>
    <row r="62" spans="1:43" x14ac:dyDescent="0.2">
      <c r="B62" s="764">
        <f t="shared" ca="1" si="7"/>
        <v>51</v>
      </c>
      <c r="D62" s="772" t="s">
        <v>929</v>
      </c>
      <c r="F62" s="764" t="str">
        <f>+INDEX('BGM-9 (2) Detailed Summary'!$10:$10&amp;" "&amp;'BGM-9 (2) Detailed Summary'!$11:$11,1,MATCH(D62,'BGM-9 (2) Detailed Summary'!$79:$79,0))</f>
        <v>POWER COST</v>
      </c>
      <c r="I62" s="892">
        <v>3256.035008391887</v>
      </c>
      <c r="J62" s="768"/>
      <c r="K62" s="768">
        <v>0</v>
      </c>
      <c r="L62" s="768"/>
      <c r="M62" s="768">
        <f t="shared" si="8"/>
        <v>-4333.4007758938369</v>
      </c>
      <c r="P62" s="768">
        <f>+INDEX('BGM-9 (2) Detailed Summary'!$46:$46,1,MATCH($D62,'BGM-9 (2) Detailed Summary'!$79:$79,0))/1000</f>
        <v>2739.5278114434182</v>
      </c>
      <c r="Q62" s="768"/>
      <c r="R62" s="768">
        <f>+INDEX('BGM-9 (2) Detailed Summary'!$48:$48,1,MATCH($D62,'BGM-9 (2) Detailed Summary'!$79:$79,0))/1000</f>
        <v>0</v>
      </c>
      <c r="S62" s="768"/>
      <c r="T62" s="768">
        <f t="shared" si="9"/>
        <v>-3645.9902651829343</v>
      </c>
      <c r="W62" s="768">
        <f t="shared" si="10"/>
        <v>-653.80657841578329</v>
      </c>
      <c r="X62" s="768"/>
      <c r="Y62" s="768">
        <f t="shared" si="11"/>
        <v>-516.50719694846885</v>
      </c>
      <c r="Z62" s="768"/>
      <c r="AA62" s="768">
        <f t="shared" si="12"/>
        <v>0</v>
      </c>
      <c r="AB62" s="769"/>
      <c r="AC62" s="768">
        <f t="shared" si="13"/>
        <v>687.4105107109026</v>
      </c>
      <c r="AE62" s="764" t="s">
        <v>860</v>
      </c>
      <c r="AG62" s="770"/>
      <c r="AO62" s="768"/>
      <c r="AP62" s="768"/>
      <c r="AQ62" s="768"/>
    </row>
    <row r="63" spans="1:43" x14ac:dyDescent="0.2">
      <c r="B63" s="764">
        <f t="shared" ca="1" si="7"/>
        <v>52</v>
      </c>
      <c r="D63" s="772" t="s">
        <v>930</v>
      </c>
      <c r="F63" s="764" t="str">
        <f>+INDEX('BGM-9 (2) Detailed Summary'!$10:$10&amp;" "&amp;'BGM-9 (2) Detailed Summary'!$11:$11,1,MATCH(D63,'BGM-9 (2) Detailed Summary'!$79:$79,0))</f>
        <v>MONTANA TAX</v>
      </c>
      <c r="I63" s="768">
        <v>518.01067067606232</v>
      </c>
      <c r="J63" s="768"/>
      <c r="K63" s="768">
        <v>0</v>
      </c>
      <c r="L63" s="768"/>
      <c r="M63" s="768">
        <f t="shared" si="8"/>
        <v>-689.41145793686871</v>
      </c>
      <c r="P63" s="768">
        <f>+INDEX('BGM-9 (2) Detailed Summary'!$46:$46,1,MATCH($D63,'BGM-9 (2) Detailed Summary'!$79:$79,0))/1000</f>
        <v>549.76145894175181</v>
      </c>
      <c r="Q63" s="768"/>
      <c r="R63" s="768">
        <f>+INDEX('BGM-9 (2) Detailed Summary'!$48:$48,1,MATCH($D63,'BGM-9 (2) Detailed Summary'!$79:$79,0))/1000</f>
        <v>0</v>
      </c>
      <c r="S63" s="768"/>
      <c r="T63" s="768">
        <f t="shared" si="9"/>
        <v>-731.66803384934121</v>
      </c>
      <c r="W63" s="768">
        <f t="shared" si="10"/>
        <v>40.190871222391763</v>
      </c>
      <c r="X63" s="768"/>
      <c r="Y63" s="768">
        <f t="shared" si="11"/>
        <v>31.750788265689494</v>
      </c>
      <c r="Z63" s="768"/>
      <c r="AA63" s="768">
        <f t="shared" si="12"/>
        <v>0</v>
      </c>
      <c r="AB63" s="769"/>
      <c r="AC63" s="768">
        <f t="shared" si="13"/>
        <v>-42.256575912472499</v>
      </c>
      <c r="AE63" s="764" t="s">
        <v>979</v>
      </c>
      <c r="AG63" s="770"/>
      <c r="AO63" s="768"/>
      <c r="AP63" s="768"/>
      <c r="AQ63" s="768"/>
    </row>
    <row r="64" spans="1:43" x14ac:dyDescent="0.2">
      <c r="B64" s="764">
        <f t="shared" ca="1" si="7"/>
        <v>53</v>
      </c>
      <c r="D64" s="772" t="s">
        <v>931</v>
      </c>
      <c r="F64" s="764" t="str">
        <f>+INDEX('BGM-9 (2) Detailed Summary'!$10:$10&amp;" "&amp;'BGM-9 (2) Detailed Summary'!$11:$11,1,MATCH(D64,'BGM-9 (2) Detailed Summary'!$79:$79,0))</f>
        <v>STORM  DAMAGE</v>
      </c>
      <c r="I64" s="768">
        <v>-10681.804722000003</v>
      </c>
      <c r="J64" s="768"/>
      <c r="K64" s="768">
        <v>0</v>
      </c>
      <c r="L64" s="768"/>
      <c r="M64" s="768">
        <f t="shared" si="8"/>
        <v>14216.229478786399</v>
      </c>
      <c r="P64" s="768">
        <f>+INDEX('BGM-9 (2) Detailed Summary'!$46:$46,1,MATCH($D64,'BGM-9 (2) Detailed Summary'!$79:$79,0))/1000</f>
        <v>-10681.804722000003</v>
      </c>
      <c r="Q64" s="768"/>
      <c r="R64" s="768">
        <f>+INDEX('BGM-9 (2) Detailed Summary'!$48:$48,1,MATCH($D64,'BGM-9 (2) Detailed Summary'!$79:$79,0))/1000</f>
        <v>0</v>
      </c>
      <c r="S64" s="768"/>
      <c r="T64" s="768">
        <f t="shared" si="9"/>
        <v>14216.229478786399</v>
      </c>
      <c r="W64" s="768">
        <f t="shared" si="10"/>
        <v>0</v>
      </c>
      <c r="X64" s="768"/>
      <c r="Y64" s="768">
        <f t="shared" si="11"/>
        <v>0</v>
      </c>
      <c r="Z64" s="768"/>
      <c r="AA64" s="768">
        <f t="shared" si="12"/>
        <v>0</v>
      </c>
      <c r="AB64" s="769"/>
      <c r="AC64" s="768">
        <f t="shared" si="13"/>
        <v>0</v>
      </c>
      <c r="AE64" s="764" t="s">
        <v>860</v>
      </c>
      <c r="AG64" s="770"/>
      <c r="AO64" s="768"/>
      <c r="AP64" s="768"/>
      <c r="AQ64" s="768"/>
    </row>
    <row r="65" spans="1:49" x14ac:dyDescent="0.2">
      <c r="B65" s="764">
        <f t="shared" ca="1" si="7"/>
        <v>54</v>
      </c>
      <c r="D65" s="772" t="s">
        <v>932</v>
      </c>
      <c r="F65" s="764" t="str">
        <f>+INDEX('BGM-9 (2) Detailed Summary'!$10:$10&amp;" "&amp;'BGM-9 (2) Detailed Summary'!$11:$11,1,MATCH(D65,'BGM-9 (2) Detailed Summary'!$79:$79,0))</f>
        <v>REGULATORY  ASSETS &amp; LIAB</v>
      </c>
      <c r="I65" s="768">
        <v>9100.1154800387612</v>
      </c>
      <c r="J65" s="768"/>
      <c r="K65" s="768">
        <v>-23391.891903797139</v>
      </c>
      <c r="L65" s="768"/>
      <c r="M65" s="768">
        <f t="shared" si="8"/>
        <v>-14424.284149440682</v>
      </c>
      <c r="P65" s="768">
        <f>+INDEX('BGM-9 (2) Detailed Summary'!$46:$46,1,MATCH($D65,'BGM-9 (2) Detailed Summary'!$79:$79,0))/1000</f>
        <v>9100.1154800387612</v>
      </c>
      <c r="Q65" s="768"/>
      <c r="R65" s="768">
        <f>+INDEX('BGM-9 (2) Detailed Summary'!$48:$48,1,MATCH($D65,'BGM-9 (2) Detailed Summary'!$79:$79,0))/1000</f>
        <v>-23391.891903797139</v>
      </c>
      <c r="S65" s="768"/>
      <c r="T65" s="768">
        <f t="shared" si="9"/>
        <v>-14424.284149440682</v>
      </c>
      <c r="W65" s="768">
        <f t="shared" si="10"/>
        <v>0</v>
      </c>
      <c r="X65" s="768"/>
      <c r="Y65" s="768">
        <f t="shared" si="11"/>
        <v>0</v>
      </c>
      <c r="Z65" s="768"/>
      <c r="AA65" s="768">
        <f t="shared" si="12"/>
        <v>0</v>
      </c>
      <c r="AB65" s="769"/>
      <c r="AC65" s="768">
        <f t="shared" si="13"/>
        <v>0</v>
      </c>
      <c r="AE65" s="764" t="s">
        <v>860</v>
      </c>
      <c r="AG65" s="770"/>
      <c r="AO65" s="768"/>
      <c r="AP65" s="768"/>
      <c r="AQ65" s="768"/>
    </row>
    <row r="66" spans="1:49" x14ac:dyDescent="0.2">
      <c r="B66" s="764">
        <f t="shared" ca="1" si="7"/>
        <v>55</v>
      </c>
      <c r="D66" s="772" t="s">
        <v>933</v>
      </c>
      <c r="F66" s="764" t="str">
        <f>+INDEX('BGM-9 (2) Detailed Summary'!$10:$10&amp;" "&amp;'BGM-9 (2) Detailed Summary'!$11:$11,1,MATCH(D66,'BGM-9 (2) Detailed Summary'!$79:$79,0))</f>
        <v>REMOVE EIM</v>
      </c>
      <c r="I66" s="768">
        <v>4478.7338338600002</v>
      </c>
      <c r="J66" s="768"/>
      <c r="K66" s="768">
        <v>-3321.4699169705859</v>
      </c>
      <c r="L66" s="768"/>
      <c r="M66" s="768">
        <f t="shared" si="8"/>
        <v>-6289.1117138853861</v>
      </c>
      <c r="P66" s="768">
        <f>+INDEX('BGM-9 (2) Detailed Summary'!$46:$46,1,MATCH($D66,'BGM-9 (2) Detailed Summary'!$79:$79,0))/1000</f>
        <v>4478.7338338600002</v>
      </c>
      <c r="Q66" s="768"/>
      <c r="R66" s="768">
        <f>+INDEX('BGM-9 (2) Detailed Summary'!$48:$48,1,MATCH($D66,'BGM-9 (2) Detailed Summary'!$79:$79,0))/1000</f>
        <v>-3321.4699169705859</v>
      </c>
      <c r="S66" s="768"/>
      <c r="T66" s="768">
        <f t="shared" si="9"/>
        <v>-6289.1117138853861</v>
      </c>
      <c r="W66" s="768">
        <f t="shared" si="10"/>
        <v>0</v>
      </c>
      <c r="X66" s="768"/>
      <c r="Y66" s="768">
        <f t="shared" si="11"/>
        <v>0</v>
      </c>
      <c r="Z66" s="768"/>
      <c r="AA66" s="768">
        <f t="shared" si="12"/>
        <v>0</v>
      </c>
      <c r="AB66" s="769"/>
      <c r="AC66" s="768">
        <f t="shared" si="13"/>
        <v>0</v>
      </c>
      <c r="AE66" s="764" t="s">
        <v>860</v>
      </c>
      <c r="AG66" s="770"/>
      <c r="AO66" s="768"/>
      <c r="AP66" s="768"/>
      <c r="AQ66" s="768"/>
    </row>
    <row r="67" spans="1:49" x14ac:dyDescent="0.2">
      <c r="B67" s="764">
        <f t="shared" ca="1" si="7"/>
        <v>56</v>
      </c>
      <c r="D67" s="772" t="s">
        <v>934</v>
      </c>
      <c r="F67" s="764" t="str">
        <f>+INDEX('BGM-9 (2) Detailed Summary'!$10:$10&amp;" "&amp;'BGM-9 (2) Detailed Summary'!$11:$11,1,MATCH(D67,'BGM-9 (2) Detailed Summary'!$79:$79,0))</f>
        <v>HIGH MOLECULAR WEIGHT CABLE</v>
      </c>
      <c r="I67" s="768">
        <v>-292.76803540266951</v>
      </c>
      <c r="J67" s="768"/>
      <c r="K67" s="768">
        <v>11899.75955273651</v>
      </c>
      <c r="L67" s="768"/>
      <c r="M67" s="768">
        <f t="shared" si="8"/>
        <v>1566.3427344729134</v>
      </c>
      <c r="P67" s="768">
        <f>+INDEX('BGM-9 (2) Detailed Summary'!$46:$46,1,MATCH($D67,'BGM-9 (2) Detailed Summary'!$79:$79,0))/1000</f>
        <v>0</v>
      </c>
      <c r="Q67" s="768"/>
      <c r="R67" s="768">
        <f>+INDEX('BGM-9 (2) Detailed Summary'!$48:$48,1,MATCH($D67,'BGM-9 (2) Detailed Summary'!$79:$79,0))/1000</f>
        <v>0</v>
      </c>
      <c r="S67" s="768"/>
      <c r="T67" s="768">
        <f t="shared" si="9"/>
        <v>0</v>
      </c>
      <c r="W67" s="768">
        <f t="shared" si="10"/>
        <v>370.59244987679682</v>
      </c>
      <c r="X67" s="768"/>
      <c r="Y67" s="768">
        <f t="shared" si="11"/>
        <v>292.76803540266951</v>
      </c>
      <c r="Z67" s="768"/>
      <c r="AA67" s="768">
        <f t="shared" si="12"/>
        <v>-11899.75955273651</v>
      </c>
      <c r="AB67" s="769"/>
      <c r="AC67" s="768">
        <f t="shared" si="13"/>
        <v>-1566.3427344729134</v>
      </c>
      <c r="AE67" s="764" t="s">
        <v>979</v>
      </c>
      <c r="AG67" s="770"/>
      <c r="AO67" s="768"/>
      <c r="AP67" s="768"/>
      <c r="AQ67" s="768"/>
    </row>
    <row r="68" spans="1:49" x14ac:dyDescent="0.2">
      <c r="B68" s="764">
        <f t="shared" ca="1" si="7"/>
        <v>57</v>
      </c>
      <c r="D68" s="772" t="s">
        <v>935</v>
      </c>
      <c r="F68" s="764" t="str">
        <f>+INDEX('BGM-9 (2) Detailed Summary'!$10:$10&amp;" "&amp;'BGM-9 (2) Detailed Summary'!$11:$11,1,MATCH(D68,'BGM-9 (2) Detailed Summary'!$79:$79,0))</f>
        <v>ENERGY MGMT SYSTEM (EMS)</v>
      </c>
      <c r="I68" s="768">
        <v>-2441.1445204499996</v>
      </c>
      <c r="J68" s="768"/>
      <c r="K68" s="768">
        <v>4381.5428268333326</v>
      </c>
      <c r="L68" s="768"/>
      <c r="M68" s="768">
        <f t="shared" si="8"/>
        <v>3682.1441485527534</v>
      </c>
      <c r="P68" s="768">
        <f>+INDEX('BGM-9 (2) Detailed Summary'!$46:$46,1,MATCH($D68,'BGM-9 (2) Detailed Summary'!$79:$79,0))/1000</f>
        <v>-2441.1445204499996</v>
      </c>
      <c r="Q68" s="768"/>
      <c r="R68" s="768">
        <f>+INDEX('BGM-9 (2) Detailed Summary'!$48:$48,1,MATCH($D68,'BGM-9 (2) Detailed Summary'!$79:$79,0))/1000</f>
        <v>4644.6606473233323</v>
      </c>
      <c r="S68" s="768"/>
      <c r="T68" s="768">
        <f t="shared" si="9"/>
        <v>3708.1624456116447</v>
      </c>
      <c r="W68" s="768">
        <f t="shared" si="10"/>
        <v>0</v>
      </c>
      <c r="X68" s="768"/>
      <c r="Y68" s="768">
        <f t="shared" si="11"/>
        <v>0</v>
      </c>
      <c r="Z68" s="768"/>
      <c r="AA68" s="768">
        <f t="shared" si="12"/>
        <v>263.11782048999976</v>
      </c>
      <c r="AB68" s="769"/>
      <c r="AC68" s="768">
        <f t="shared" si="13"/>
        <v>26.018297058891221</v>
      </c>
      <c r="AE68" s="764" t="s">
        <v>860</v>
      </c>
      <c r="AG68" s="770"/>
      <c r="AO68" s="768"/>
      <c r="AP68" s="768"/>
      <c r="AQ68" s="768"/>
    </row>
    <row r="69" spans="1:49" x14ac:dyDescent="0.2">
      <c r="B69" s="764">
        <f t="shared" ca="1" si="7"/>
        <v>58</v>
      </c>
      <c r="D69" s="772" t="s">
        <v>941</v>
      </c>
      <c r="F69" s="764" t="str">
        <f>+INDEX('BGM-9 (2) Detailed Summary'!$10:$10&amp;" "&amp;'BGM-9 (2) Detailed Summary'!$11:$11,1,MATCH(D69,'BGM-9 (2) Detailed Summary'!$79:$79,0))</f>
        <v>BOTHELL DATA CENTER</v>
      </c>
      <c r="I69" s="768">
        <v>0</v>
      </c>
      <c r="J69" s="768"/>
      <c r="K69" s="768">
        <v>0</v>
      </c>
      <c r="L69" s="768"/>
      <c r="M69" s="768">
        <f t="shared" si="8"/>
        <v>0</v>
      </c>
      <c r="P69" s="768">
        <f>+INDEX('BGM-9 (2) Detailed Summary'!$46:$46,1,MATCH($D69,'BGM-9 (2) Detailed Summary'!$79:$79,0))/1000</f>
        <v>0</v>
      </c>
      <c r="Q69" s="768"/>
      <c r="R69" s="768">
        <f>+INDEX('BGM-9 (2) Detailed Summary'!$48:$48,1,MATCH($D69,'BGM-9 (2) Detailed Summary'!$79:$79,0))/1000</f>
        <v>-52488.67</v>
      </c>
      <c r="S69" s="768"/>
      <c r="T69" s="768">
        <f t="shared" si="9"/>
        <v>-5190.3204645845453</v>
      </c>
      <c r="W69" s="768">
        <f t="shared" si="10"/>
        <v>0</v>
      </c>
      <c r="X69" s="768"/>
      <c r="Y69" s="768">
        <f t="shared" si="11"/>
        <v>0</v>
      </c>
      <c r="Z69" s="768"/>
      <c r="AA69" s="768">
        <f t="shared" si="12"/>
        <v>-52488.67</v>
      </c>
      <c r="AB69" s="769"/>
      <c r="AC69" s="768">
        <f t="shared" si="13"/>
        <v>-5190.3204645845453</v>
      </c>
      <c r="AE69" s="764" t="s">
        <v>939</v>
      </c>
      <c r="AG69" s="770"/>
    </row>
    <row r="70" spans="1:49" x14ac:dyDescent="0.2">
      <c r="B70" s="764">
        <f t="shared" ca="1" si="7"/>
        <v>59</v>
      </c>
      <c r="D70" s="877" t="s">
        <v>992</v>
      </c>
      <c r="F70" s="764" t="str">
        <f>+INDEX('BGM-9 (2) Detailed Summary'!$10:$10&amp;" "&amp;'BGM-9 (2) Detailed Summary'!$11:$11,1,MATCH(D70,'BGM-9 (2) Detailed Summary'!$79:$79,0))</f>
        <v>REMOVE SHUFFLETON</v>
      </c>
      <c r="I70" s="768">
        <v>0</v>
      </c>
      <c r="J70" s="768"/>
      <c r="K70" s="768">
        <v>0</v>
      </c>
      <c r="L70" s="768"/>
      <c r="M70" s="768">
        <f t="shared" si="8"/>
        <v>0</v>
      </c>
      <c r="P70" s="768">
        <f>+INDEX('BGM-9 (2) Detailed Summary'!$46:$46,1,MATCH($D70,'BGM-9 (2) Detailed Summary'!$79:$79,0))/1000</f>
        <v>45.03</v>
      </c>
      <c r="Q70" s="768"/>
      <c r="R70" s="768">
        <f>+INDEX('BGM-9 (2) Detailed Summary'!$48:$48,1,MATCH($D70,'BGM-9 (2) Detailed Summary'!$79:$79,0))/1000</f>
        <v>-550.15521000000001</v>
      </c>
      <c r="S70" s="768"/>
      <c r="T70" s="768">
        <f t="shared" si="9"/>
        <v>-114.33152036450217</v>
      </c>
      <c r="W70" s="768">
        <f t="shared" si="10"/>
        <v>57</v>
      </c>
      <c r="X70" s="768"/>
      <c r="Y70" s="768">
        <f t="shared" si="11"/>
        <v>45.03</v>
      </c>
      <c r="Z70" s="768"/>
      <c r="AA70" s="768">
        <f t="shared" si="12"/>
        <v>-550.15521000000001</v>
      </c>
      <c r="AB70" s="769"/>
      <c r="AC70" s="768">
        <f t="shared" si="13"/>
        <v>-114.33152036450217</v>
      </c>
      <c r="AE70" s="764" t="s">
        <v>979</v>
      </c>
      <c r="AG70" s="770"/>
    </row>
    <row r="71" spans="1:49" x14ac:dyDescent="0.2">
      <c r="I71" s="797"/>
      <c r="J71" s="773"/>
      <c r="K71" s="797"/>
      <c r="L71" s="773"/>
      <c r="M71" s="797"/>
      <c r="O71" s="771"/>
      <c r="P71" s="797"/>
      <c r="Q71" s="773"/>
      <c r="R71" s="797"/>
      <c r="S71" s="773"/>
      <c r="T71" s="797"/>
      <c r="W71" s="797"/>
      <c r="X71" s="764"/>
      <c r="Y71" s="797"/>
      <c r="Z71" s="773"/>
      <c r="AA71" s="797"/>
      <c r="AB71" s="773"/>
      <c r="AC71" s="798"/>
      <c r="AG71" s="770"/>
    </row>
    <row r="72" spans="1:49" ht="13.5" thickBot="1" x14ac:dyDescent="0.25">
      <c r="B72" s="771">
        <f t="shared" ca="1" si="7"/>
        <v>60</v>
      </c>
      <c r="F72" s="771" t="s">
        <v>938</v>
      </c>
      <c r="I72" s="766">
        <f>+SUM(I$40:I$71)</f>
        <v>335137.12610927748</v>
      </c>
      <c r="J72" s="768"/>
      <c r="K72" s="766">
        <f>+SUM(K$40:K$71)</f>
        <v>5428588.0805290174</v>
      </c>
      <c r="L72" s="768"/>
      <c r="M72" s="766">
        <f>+SUM(M$40:M$71)</f>
        <v>90775.476454726202</v>
      </c>
      <c r="P72" s="766">
        <f>+SUM(P$40:P$71)</f>
        <v>367514.45373527048</v>
      </c>
      <c r="Q72" s="768"/>
      <c r="R72" s="766">
        <f>+SUM(R$40:R$71)</f>
        <v>5250432.1781150736</v>
      </c>
      <c r="S72" s="768"/>
      <c r="T72" s="766">
        <f>+SUM(T$40:T$71)</f>
        <v>30068.177261175908</v>
      </c>
      <c r="W72" s="766">
        <f>+SUM(W$40:W$71)</f>
        <v>40983.959020244423</v>
      </c>
      <c r="X72" s="769"/>
      <c r="Y72" s="766">
        <f>+SUM(Y$40:Y$71)</f>
        <v>32377.327625993094</v>
      </c>
      <c r="Z72" s="768"/>
      <c r="AA72" s="766">
        <f>+SUM(AA$40:AA$71)</f>
        <v>-178155.90241394425</v>
      </c>
      <c r="AB72" s="768"/>
      <c r="AC72" s="766">
        <f>+($AA72*$AK$12-$Y72)/$AI$4</f>
        <v>-60707.299193550483</v>
      </c>
      <c r="AG72" s="770"/>
    </row>
    <row r="73" spans="1:49" ht="13.5" thickTop="1" x14ac:dyDescent="0.2"/>
    <row r="74" spans="1:49" ht="13.5" thickBot="1" x14ac:dyDescent="0.25">
      <c r="K74" s="767" t="s">
        <v>859</v>
      </c>
      <c r="M74" s="890">
        <f>+'[9]Detailed Summary'!$BK$64/1000</f>
        <v>90775.476454726493</v>
      </c>
      <c r="N74" s="795"/>
      <c r="R74" s="767" t="s">
        <v>859</v>
      </c>
      <c r="T74" s="766">
        <f>+'BGM-9 (2) Detailed Summary'!BQ64/1000</f>
        <v>30068.177261176013</v>
      </c>
    </row>
    <row r="75" spans="1:49" ht="13.5" thickTop="1" x14ac:dyDescent="0.2">
      <c r="K75" s="796"/>
      <c r="L75" s="796"/>
      <c r="M75" s="796"/>
      <c r="N75" s="795"/>
      <c r="T75" s="768"/>
    </row>
    <row r="76" spans="1:49" ht="13.5" thickBot="1" x14ac:dyDescent="0.25">
      <c r="K76" s="767" t="s">
        <v>858</v>
      </c>
      <c r="M76" s="887">
        <f>+ROUND(M72-M74,4)</f>
        <v>0</v>
      </c>
      <c r="N76" s="795"/>
      <c r="R76" s="767" t="s">
        <v>858</v>
      </c>
      <c r="T76" s="766">
        <f>+ROUND(T72-T74,4)</f>
        <v>0</v>
      </c>
      <c r="AA76" s="906" t="s">
        <v>1013</v>
      </c>
      <c r="AB76" s="906"/>
      <c r="AC76" s="906"/>
    </row>
    <row r="77" spans="1:49" s="765" customFormat="1" ht="13.5" thickTop="1" x14ac:dyDescent="0.2">
      <c r="A77" s="764"/>
      <c r="B77" s="764"/>
      <c r="C77" s="764"/>
      <c r="D77" s="876"/>
      <c r="E77" s="764"/>
      <c r="F77" s="764"/>
      <c r="I77" s="764"/>
      <c r="J77" s="764"/>
      <c r="K77" s="764"/>
      <c r="L77" s="764"/>
      <c r="M77" s="764"/>
      <c r="O77" s="764"/>
      <c r="P77" s="764"/>
      <c r="Q77" s="764"/>
      <c r="R77" s="764"/>
      <c r="S77" s="764"/>
      <c r="T77" s="764"/>
      <c r="U77" s="764"/>
      <c r="V77" s="764"/>
      <c r="AA77" s="907" t="s">
        <v>1015</v>
      </c>
      <c r="AB77" s="908"/>
      <c r="AC77" s="907" t="s">
        <v>1014</v>
      </c>
      <c r="AI77" s="764"/>
      <c r="AJ77" s="764"/>
      <c r="AK77" s="764"/>
      <c r="AL77" s="764"/>
      <c r="AM77" s="764"/>
      <c r="AN77" s="764"/>
      <c r="AO77" s="764"/>
      <c r="AP77" s="764"/>
      <c r="AQ77" s="764"/>
      <c r="AR77" s="764"/>
      <c r="AS77" s="764"/>
      <c r="AT77" s="764"/>
      <c r="AU77" s="764"/>
      <c r="AV77" s="764"/>
      <c r="AW77" s="764"/>
    </row>
    <row r="78" spans="1:49" s="765" customFormat="1" x14ac:dyDescent="0.2">
      <c r="A78" s="764"/>
      <c r="B78" s="764"/>
      <c r="C78" s="764"/>
      <c r="D78" s="764"/>
      <c r="E78" s="764"/>
      <c r="F78" s="764"/>
      <c r="I78" s="764"/>
      <c r="J78" s="764"/>
      <c r="K78" s="891" t="s">
        <v>1012</v>
      </c>
      <c r="L78" s="891"/>
      <c r="M78" s="892">
        <f>+($K$72*$AK$39-$I$72)/$AI$4</f>
        <v>104502.62333893681</v>
      </c>
      <c r="N78" s="886"/>
      <c r="O78" s="885"/>
      <c r="P78" s="885"/>
      <c r="Q78" s="885"/>
      <c r="R78" s="885"/>
      <c r="S78" s="885"/>
      <c r="T78" s="892">
        <f>+($R$72*$AK$39-$P$72)/$AI$4</f>
        <v>43344.825377668778</v>
      </c>
      <c r="U78" s="764"/>
      <c r="V78" s="764"/>
      <c r="AA78" s="909">
        <f>+M78-$M$72</f>
        <v>13727.146884210611</v>
      </c>
      <c r="AB78" s="908"/>
      <c r="AC78" s="909">
        <f>+T78-$T$72</f>
        <v>13276.64811649287</v>
      </c>
      <c r="AE78" s="769">
        <f>+AC78-AA78</f>
        <v>-450.49876771774143</v>
      </c>
      <c r="AI78" s="764"/>
      <c r="AJ78" s="764"/>
      <c r="AK78" s="764"/>
      <c r="AL78" s="764"/>
      <c r="AM78" s="764"/>
      <c r="AN78" s="764"/>
      <c r="AO78" s="764"/>
      <c r="AP78" s="764"/>
      <c r="AQ78" s="764"/>
      <c r="AR78" s="764"/>
      <c r="AS78" s="764"/>
      <c r="AT78" s="764"/>
      <c r="AU78" s="764"/>
      <c r="AV78" s="764"/>
      <c r="AW78" s="764"/>
    </row>
    <row r="79" spans="1:49" s="765" customFormat="1" x14ac:dyDescent="0.2">
      <c r="A79" s="764"/>
      <c r="B79" s="764"/>
      <c r="C79" s="764"/>
      <c r="D79" s="764"/>
      <c r="E79" s="764"/>
      <c r="F79" s="764"/>
      <c r="I79" s="764"/>
      <c r="J79" s="764"/>
      <c r="K79" s="764" t="s">
        <v>1002</v>
      </c>
      <c r="L79" s="764"/>
      <c r="M79" s="768">
        <f>+($K$72*$AK$30-$I$72)/$AI$4</f>
        <v>90775.476454726115</v>
      </c>
      <c r="O79" s="764"/>
      <c r="P79" s="764"/>
      <c r="Q79" s="764"/>
      <c r="R79" s="764"/>
      <c r="S79" s="764"/>
      <c r="T79" s="768">
        <f>+($R$72*$AK$30-$P$72)/$AI$4</f>
        <v>30068.177261175773</v>
      </c>
      <c r="U79" s="764"/>
      <c r="V79" s="764"/>
      <c r="AA79" s="909">
        <f>+M79-$M$72</f>
        <v>0</v>
      </c>
      <c r="AC79" s="769">
        <f>+T79-$T$72</f>
        <v>-1.3460521586239338E-10</v>
      </c>
      <c r="AI79" s="764"/>
      <c r="AJ79" s="764"/>
      <c r="AK79" s="764"/>
      <c r="AL79" s="764"/>
      <c r="AM79" s="764"/>
      <c r="AN79" s="764"/>
      <c r="AO79" s="764"/>
      <c r="AP79" s="764"/>
      <c r="AQ79" s="764"/>
      <c r="AR79" s="764"/>
      <c r="AS79" s="764"/>
      <c r="AT79" s="764"/>
      <c r="AU79" s="764"/>
      <c r="AV79" s="764"/>
      <c r="AW79" s="764"/>
    </row>
    <row r="80" spans="1:49" s="765" customFormat="1" x14ac:dyDescent="0.2">
      <c r="A80" s="764"/>
      <c r="B80" s="764"/>
      <c r="C80" s="764"/>
      <c r="D80" s="764"/>
      <c r="E80" s="764"/>
      <c r="F80" s="764"/>
      <c r="I80" s="764"/>
      <c r="J80" s="764"/>
      <c r="K80" s="764" t="s">
        <v>1003</v>
      </c>
      <c r="L80" s="764"/>
      <c r="M80" s="768">
        <f>+($K$72*$AK$21-$I$72)/$AI$4</f>
        <v>83550.662305141464</v>
      </c>
      <c r="O80" s="764"/>
      <c r="P80" s="764"/>
      <c r="Q80" s="764"/>
      <c r="R80" s="764"/>
      <c r="S80" s="764"/>
      <c r="T80" s="768">
        <f>+($R$72*$AK$21-$P$72)/$AI$4</f>
        <v>23080.46772617946</v>
      </c>
      <c r="U80" s="764"/>
      <c r="V80" s="764"/>
      <c r="AA80" s="909">
        <f>+M80-$M$72</f>
        <v>-7224.8141495847376</v>
      </c>
      <c r="AC80" s="769">
        <f>+T80-$T$79</f>
        <v>-6987.7095349963129</v>
      </c>
      <c r="AI80" s="764"/>
      <c r="AJ80" s="764"/>
      <c r="AK80" s="764"/>
      <c r="AL80" s="764"/>
      <c r="AM80" s="764"/>
      <c r="AN80" s="764"/>
      <c r="AO80" s="764"/>
      <c r="AP80" s="764"/>
      <c r="AQ80" s="764"/>
      <c r="AR80" s="764"/>
      <c r="AS80" s="764"/>
      <c r="AT80" s="764"/>
      <c r="AU80" s="764"/>
      <c r="AV80" s="764"/>
      <c r="AW80" s="764"/>
    </row>
    <row r="83" spans="13:20" x14ac:dyDescent="0.2">
      <c r="M83" s="768"/>
      <c r="T83" s="768"/>
    </row>
  </sheetData>
  <pageMargins left="0.25" right="0.25" top="1.5" bottom="0.75" header="0.8" footer="0.3"/>
  <pageSetup scale="75" pageOrder="overThenDown" orientation="portrait" r:id="rId1"/>
  <rowBreaks count="1" manualBreakCount="1">
    <brk id="41" max="31" man="1"/>
  </rowBreaks>
  <colBreaks count="1" manualBreakCount="1">
    <brk id="20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619DF5"/>
  </sheetPr>
  <dimension ref="A1:BY103"/>
  <sheetViews>
    <sheetView zoomScaleNormal="100" zoomScaleSheetLayoutView="55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ColWidth="9.140625" defaultRowHeight="12.75" outlineLevelCol="1" x14ac:dyDescent="0.2"/>
  <cols>
    <col min="1" max="1" width="4.5703125" style="288" bestFit="1" customWidth="1"/>
    <col min="2" max="2" width="41.7109375" style="288" customWidth="1"/>
    <col min="3" max="3" width="17.28515625" style="288" customWidth="1"/>
    <col min="4" max="6" width="15.28515625" style="288" customWidth="1"/>
    <col min="7" max="7" width="14.140625" style="288" bestFit="1" customWidth="1"/>
    <col min="8" max="8" width="17.5703125" style="288" bestFit="1" customWidth="1"/>
    <col min="9" max="21" width="15.28515625" style="288" customWidth="1"/>
    <col min="22" max="22" width="16" style="288" bestFit="1" customWidth="1"/>
    <col min="23" max="28" width="15.28515625" style="288" customWidth="1"/>
    <col min="29" max="29" width="16.85546875" style="288" bestFit="1" customWidth="1"/>
    <col min="30" max="32" width="15.28515625" style="288" customWidth="1" outlineLevel="1"/>
    <col min="33" max="34" width="15.28515625" style="288" hidden="1" customWidth="1" outlineLevel="1"/>
    <col min="35" max="35" width="15.28515625" style="288" customWidth="1"/>
    <col min="36" max="36" width="17.140625" style="288" customWidth="1"/>
    <col min="37" max="37" width="15.28515625" style="288" customWidth="1"/>
    <col min="38" max="38" width="14.85546875" style="288" customWidth="1"/>
    <col min="39" max="47" width="15.28515625" style="288" customWidth="1"/>
    <col min="48" max="48" width="16" style="288" customWidth="1"/>
    <col min="49" max="49" width="15.28515625" style="288" customWidth="1"/>
    <col min="50" max="50" width="16" style="288" customWidth="1"/>
    <col min="51" max="53" width="15.28515625" style="288" customWidth="1"/>
    <col min="54" max="54" width="18.140625" style="288" customWidth="1"/>
    <col min="55" max="55" width="15.28515625" style="288" customWidth="1"/>
    <col min="56" max="56" width="16" style="288" customWidth="1"/>
    <col min="57" max="62" width="15.28515625" style="288" customWidth="1"/>
    <col min="63" max="64" width="15.28515625" style="288" customWidth="1" outlineLevel="1"/>
    <col min="65" max="67" width="15.28515625" style="288" hidden="1" customWidth="1" outlineLevel="1"/>
    <col min="68" max="68" width="16.28515625" style="288" bestFit="1" customWidth="1"/>
    <col min="69" max="69" width="17.28515625" style="288" bestFit="1" customWidth="1"/>
    <col min="70" max="70" width="15.85546875" style="288" bestFit="1" customWidth="1"/>
    <col min="71" max="76" width="9.140625" style="288"/>
    <col min="77" max="77" width="11.5703125" style="288" bestFit="1" customWidth="1"/>
    <col min="78" max="16384" width="9.140625" style="288"/>
  </cols>
  <sheetData>
    <row r="1" spans="1:70" x14ac:dyDescent="0.2">
      <c r="A1" s="91" t="s">
        <v>1010</v>
      </c>
      <c r="C1" s="91"/>
      <c r="M1" s="91"/>
      <c r="AD1" s="91"/>
      <c r="AE1" s="91"/>
      <c r="AF1" s="91"/>
      <c r="AK1" s="91"/>
      <c r="AL1" s="91"/>
      <c r="AM1" s="91"/>
      <c r="AN1" s="91"/>
      <c r="AO1" s="91"/>
      <c r="AQ1" s="91"/>
      <c r="AR1" s="91"/>
      <c r="AS1" s="91"/>
      <c r="AT1" s="91"/>
      <c r="AV1" s="91"/>
      <c r="AW1" s="91"/>
      <c r="AY1" s="91"/>
      <c r="AZ1" s="91"/>
      <c r="BA1" s="91"/>
      <c r="BB1" s="91"/>
      <c r="BC1" s="91"/>
      <c r="BD1" s="91"/>
      <c r="BE1" s="91"/>
      <c r="BH1" s="91"/>
      <c r="BI1" s="91"/>
      <c r="BJ1" s="91"/>
      <c r="BK1" s="91"/>
      <c r="BL1" s="91"/>
      <c r="BM1" s="91"/>
      <c r="BN1" s="91"/>
      <c r="BO1" s="91"/>
      <c r="BQ1" s="91"/>
    </row>
    <row r="2" spans="1:70" ht="14.25" x14ac:dyDescent="0.2">
      <c r="A2" s="91" t="s">
        <v>274</v>
      </c>
      <c r="C2" s="91"/>
      <c r="J2" s="342"/>
      <c r="K2" s="819"/>
      <c r="L2" s="819"/>
      <c r="M2" s="342"/>
      <c r="N2" s="342"/>
      <c r="O2" s="342"/>
      <c r="P2" s="342"/>
      <c r="Q2" s="342"/>
      <c r="R2" s="342"/>
      <c r="S2" s="342"/>
      <c r="T2" s="342"/>
      <c r="U2" s="819"/>
      <c r="V2" s="819"/>
      <c r="W2" s="342"/>
      <c r="X2" s="342"/>
      <c r="Y2" s="342"/>
      <c r="Z2" s="342"/>
      <c r="AA2" s="342"/>
      <c r="AB2" s="342"/>
      <c r="AC2" s="342"/>
      <c r="AD2" s="820"/>
      <c r="AE2" s="820"/>
      <c r="AF2" s="820"/>
      <c r="AG2" s="342"/>
      <c r="AH2" s="342"/>
      <c r="AI2" s="342"/>
      <c r="AJ2" s="819"/>
      <c r="AK2" s="819"/>
      <c r="AL2" s="342"/>
      <c r="AM2" s="342"/>
      <c r="AN2" s="342"/>
      <c r="AO2" s="820"/>
      <c r="AP2" s="820"/>
      <c r="AQ2" s="820"/>
      <c r="AR2" s="820"/>
      <c r="AS2" s="820"/>
      <c r="AT2" s="819"/>
      <c r="AU2" s="819"/>
      <c r="AV2" s="342"/>
      <c r="AW2" s="342"/>
      <c r="AX2" s="342"/>
      <c r="AY2" s="342"/>
      <c r="AZ2" s="820"/>
      <c r="BA2" s="820"/>
      <c r="BB2" s="820"/>
      <c r="BC2" s="820"/>
      <c r="BD2" s="819"/>
      <c r="BE2" s="819"/>
      <c r="BF2" s="342"/>
      <c r="BG2" s="342"/>
      <c r="BH2" s="342"/>
      <c r="BI2" s="342"/>
      <c r="BJ2" s="820"/>
      <c r="BK2" s="820"/>
      <c r="BL2" s="820"/>
      <c r="BM2" s="820"/>
      <c r="BN2" s="820"/>
      <c r="BO2" s="820"/>
      <c r="BP2" s="819"/>
      <c r="BQ2" s="819"/>
      <c r="BR2" s="342"/>
    </row>
    <row r="3" spans="1:70" x14ac:dyDescent="0.2">
      <c r="A3" s="91" t="s">
        <v>275</v>
      </c>
      <c r="C3" s="91"/>
    </row>
    <row r="4" spans="1:70" x14ac:dyDescent="0.2">
      <c r="A4" s="91" t="str">
        <f>CASE_E</f>
        <v>2019 GENERAL RATE CASE</v>
      </c>
      <c r="C4" s="91"/>
      <c r="BD4" s="97"/>
    </row>
    <row r="5" spans="1:70" x14ac:dyDescent="0.2">
      <c r="A5" s="91" t="str">
        <f>TESTYEAR_E</f>
        <v>12 MONTHS ENDED DECEMBER 31, 2018</v>
      </c>
      <c r="C5" s="91"/>
      <c r="F5" s="742" t="s">
        <v>810</v>
      </c>
      <c r="T5" s="289"/>
      <c r="AC5" s="742" t="s">
        <v>810</v>
      </c>
      <c r="AD5" s="872" t="s">
        <v>979</v>
      </c>
      <c r="AE5" s="872" t="s">
        <v>979</v>
      </c>
      <c r="AF5" s="872" t="s">
        <v>979</v>
      </c>
      <c r="AJ5" s="91"/>
      <c r="AK5" s="872" t="s">
        <v>979</v>
      </c>
      <c r="AL5" s="872" t="s">
        <v>979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872" t="s">
        <v>979</v>
      </c>
      <c r="AY5" s="91"/>
      <c r="BA5" s="872" t="s">
        <v>979</v>
      </c>
      <c r="BB5" s="91"/>
      <c r="BC5" s="872" t="s">
        <v>979</v>
      </c>
      <c r="BD5" s="872" t="s">
        <v>979</v>
      </c>
      <c r="BE5" s="872" t="s">
        <v>979</v>
      </c>
      <c r="BF5" s="91"/>
      <c r="BG5" s="91"/>
      <c r="BH5" s="91"/>
      <c r="BI5" s="872" t="s">
        <v>979</v>
      </c>
      <c r="BJ5" s="872" t="s">
        <v>979</v>
      </c>
      <c r="BK5" s="91"/>
      <c r="BL5" s="872" t="s">
        <v>979</v>
      </c>
      <c r="BM5" s="91"/>
      <c r="BN5" s="91"/>
      <c r="BO5" s="91"/>
    </row>
    <row r="6" spans="1:70" x14ac:dyDescent="0.2">
      <c r="D6" s="293" t="s">
        <v>205</v>
      </c>
      <c r="E6" s="293" t="s">
        <v>205</v>
      </c>
      <c r="F6" s="293" t="s">
        <v>205</v>
      </c>
      <c r="G6" s="293" t="s">
        <v>205</v>
      </c>
      <c r="H6" s="293" t="s">
        <v>205</v>
      </c>
      <c r="I6" s="293" t="s">
        <v>205</v>
      </c>
      <c r="J6" s="293" t="s">
        <v>205</v>
      </c>
      <c r="K6" s="293" t="s">
        <v>205</v>
      </c>
      <c r="L6" s="293" t="s">
        <v>205</v>
      </c>
      <c r="M6" s="293" t="s">
        <v>205</v>
      </c>
      <c r="N6" s="293" t="s">
        <v>205</v>
      </c>
      <c r="O6" s="293" t="s">
        <v>205</v>
      </c>
      <c r="P6" s="293" t="s">
        <v>205</v>
      </c>
      <c r="Q6" s="293" t="s">
        <v>205</v>
      </c>
      <c r="R6" s="293" t="s">
        <v>205</v>
      </c>
      <c r="S6" s="293" t="s">
        <v>205</v>
      </c>
      <c r="T6" s="294" t="s">
        <v>205</v>
      </c>
      <c r="U6" s="293" t="s">
        <v>205</v>
      </c>
      <c r="V6" s="293" t="s">
        <v>205</v>
      </c>
      <c r="W6" s="293" t="s">
        <v>205</v>
      </c>
      <c r="X6" s="295" t="s">
        <v>206</v>
      </c>
      <c r="Y6" s="295" t="s">
        <v>206</v>
      </c>
      <c r="Z6" s="295" t="s">
        <v>206</v>
      </c>
      <c r="AA6" s="295" t="s">
        <v>206</v>
      </c>
      <c r="AB6" s="295" t="s">
        <v>206</v>
      </c>
      <c r="AC6" s="295" t="s">
        <v>206</v>
      </c>
      <c r="AD6" s="295" t="s">
        <v>206</v>
      </c>
      <c r="AE6" s="295" t="s">
        <v>206</v>
      </c>
      <c r="AF6" s="295" t="s">
        <v>206</v>
      </c>
      <c r="AG6" s="295" t="s">
        <v>206</v>
      </c>
      <c r="AH6" s="295" t="s">
        <v>206</v>
      </c>
      <c r="AK6" s="293" t="s">
        <v>205</v>
      </c>
      <c r="AL6" s="293" t="s">
        <v>205</v>
      </c>
      <c r="AM6" s="293" t="s">
        <v>205</v>
      </c>
      <c r="AN6" s="293" t="s">
        <v>205</v>
      </c>
      <c r="AO6" s="293" t="s">
        <v>205</v>
      </c>
      <c r="AP6" s="293" t="s">
        <v>205</v>
      </c>
      <c r="AQ6" s="293" t="s">
        <v>205</v>
      </c>
      <c r="AR6" s="293" t="s">
        <v>205</v>
      </c>
      <c r="AS6" s="293" t="s">
        <v>205</v>
      </c>
      <c r="AT6" s="293" t="s">
        <v>205</v>
      </c>
      <c r="AU6" s="293" t="s">
        <v>205</v>
      </c>
      <c r="AV6" s="293" t="s">
        <v>205</v>
      </c>
      <c r="AW6" s="293" t="s">
        <v>205</v>
      </c>
      <c r="AX6" s="293" t="s">
        <v>205</v>
      </c>
      <c r="AY6" s="293" t="s">
        <v>205</v>
      </c>
      <c r="AZ6" s="293" t="s">
        <v>205</v>
      </c>
      <c r="BA6" s="293" t="s">
        <v>205</v>
      </c>
      <c r="BB6" s="293" t="s">
        <v>205</v>
      </c>
      <c r="BC6" s="293" t="s">
        <v>205</v>
      </c>
      <c r="BD6" s="295" t="s">
        <v>206</v>
      </c>
      <c r="BE6" s="295" t="s">
        <v>206</v>
      </c>
      <c r="BF6" s="295" t="s">
        <v>206</v>
      </c>
      <c r="BG6" s="295" t="s">
        <v>206</v>
      </c>
      <c r="BH6" s="295" t="s">
        <v>206</v>
      </c>
      <c r="BI6" s="295" t="s">
        <v>206</v>
      </c>
      <c r="BJ6" s="295" t="s">
        <v>206</v>
      </c>
      <c r="BK6" s="295" t="s">
        <v>206</v>
      </c>
      <c r="BL6" s="295" t="s">
        <v>206</v>
      </c>
      <c r="BM6" s="295" t="s">
        <v>206</v>
      </c>
      <c r="BN6" s="295" t="s">
        <v>206</v>
      </c>
      <c r="BO6" s="295" t="s">
        <v>206</v>
      </c>
    </row>
    <row r="7" spans="1:70" x14ac:dyDescent="0.2">
      <c r="D7" s="296" t="s">
        <v>253</v>
      </c>
      <c r="E7" s="296" t="s">
        <v>253</v>
      </c>
      <c r="F7" s="296" t="s">
        <v>253</v>
      </c>
      <c r="G7" s="296" t="s">
        <v>253</v>
      </c>
      <c r="H7" s="296" t="s">
        <v>253</v>
      </c>
      <c r="I7" s="296" t="s">
        <v>253</v>
      </c>
      <c r="J7" s="296" t="s">
        <v>253</v>
      </c>
      <c r="K7" s="296" t="s">
        <v>253</v>
      </c>
      <c r="L7" s="296" t="s">
        <v>253</v>
      </c>
      <c r="M7" s="296" t="s">
        <v>253</v>
      </c>
      <c r="N7" s="296" t="s">
        <v>253</v>
      </c>
      <c r="O7" s="296" t="s">
        <v>253</v>
      </c>
      <c r="P7" s="296" t="s">
        <v>253</v>
      </c>
      <c r="Q7" s="296" t="s">
        <v>253</v>
      </c>
      <c r="R7" s="296" t="s">
        <v>253</v>
      </c>
      <c r="S7" s="296" t="s">
        <v>253</v>
      </c>
      <c r="T7" s="297" t="s">
        <v>253</v>
      </c>
      <c r="U7" s="296" t="s">
        <v>253</v>
      </c>
      <c r="V7" s="296" t="s">
        <v>253</v>
      </c>
      <c r="W7" s="296" t="s">
        <v>253</v>
      </c>
      <c r="X7" s="296" t="s">
        <v>253</v>
      </c>
      <c r="Y7" s="296" t="s">
        <v>253</v>
      </c>
      <c r="Z7" s="296" t="s">
        <v>253</v>
      </c>
      <c r="AA7" s="296" t="s">
        <v>253</v>
      </c>
      <c r="AB7" s="296" t="s">
        <v>253</v>
      </c>
      <c r="AC7" s="296" t="s">
        <v>253</v>
      </c>
      <c r="AD7" s="297" t="s">
        <v>93</v>
      </c>
      <c r="AE7" s="297" t="s">
        <v>93</v>
      </c>
      <c r="AF7" s="297" t="s">
        <v>93</v>
      </c>
      <c r="AG7" s="296" t="s">
        <v>253</v>
      </c>
      <c r="AH7" s="296" t="s">
        <v>253</v>
      </c>
      <c r="AI7" s="126"/>
      <c r="AJ7" s="126"/>
      <c r="AK7" s="297" t="s">
        <v>93</v>
      </c>
      <c r="AL7" s="297" t="s">
        <v>93</v>
      </c>
      <c r="AM7" s="297" t="s">
        <v>93</v>
      </c>
      <c r="AN7" s="297" t="s">
        <v>93</v>
      </c>
      <c r="AO7" s="297" t="s">
        <v>93</v>
      </c>
      <c r="AP7" s="297" t="s">
        <v>93</v>
      </c>
      <c r="AQ7" s="297" t="s">
        <v>93</v>
      </c>
      <c r="AR7" s="297" t="s">
        <v>93</v>
      </c>
      <c r="AS7" s="297" t="s">
        <v>93</v>
      </c>
      <c r="AT7" s="297" t="s">
        <v>93</v>
      </c>
      <c r="AU7" s="297" t="s">
        <v>93</v>
      </c>
      <c r="AV7" s="297" t="s">
        <v>93</v>
      </c>
      <c r="AW7" s="297" t="s">
        <v>93</v>
      </c>
      <c r="AX7" s="297" t="s">
        <v>93</v>
      </c>
      <c r="AY7" s="297" t="s">
        <v>93</v>
      </c>
      <c r="AZ7" s="297" t="s">
        <v>93</v>
      </c>
      <c r="BA7" s="297" t="s">
        <v>93</v>
      </c>
      <c r="BB7" s="297" t="s">
        <v>93</v>
      </c>
      <c r="BC7" s="297" t="s">
        <v>93</v>
      </c>
      <c r="BD7" s="297" t="s">
        <v>93</v>
      </c>
      <c r="BE7" s="297" t="s">
        <v>93</v>
      </c>
      <c r="BF7" s="297" t="s">
        <v>93</v>
      </c>
      <c r="BG7" s="297" t="s">
        <v>93</v>
      </c>
      <c r="BH7" s="297" t="s">
        <v>93</v>
      </c>
      <c r="BI7" s="297" t="s">
        <v>93</v>
      </c>
      <c r="BJ7" s="297" t="s">
        <v>93</v>
      </c>
      <c r="BK7" s="297" t="s">
        <v>93</v>
      </c>
      <c r="BL7" s="297" t="s">
        <v>93</v>
      </c>
      <c r="BM7" s="297" t="s">
        <v>93</v>
      </c>
      <c r="BN7" s="297" t="s">
        <v>93</v>
      </c>
      <c r="BO7" s="297" t="s">
        <v>93</v>
      </c>
    </row>
    <row r="8" spans="1:70" x14ac:dyDescent="0.2">
      <c r="T8" s="289"/>
      <c r="U8" s="3"/>
      <c r="AN8" s="83" t="s">
        <v>364</v>
      </c>
      <c r="AO8" s="83" t="s">
        <v>364</v>
      </c>
    </row>
    <row r="9" spans="1:70" x14ac:dyDescent="0.2">
      <c r="C9" s="3" t="s">
        <v>40</v>
      </c>
      <c r="D9" s="298">
        <v>6.01</v>
      </c>
      <c r="E9" s="298">
        <f t="shared" ref="E9:P9" si="0">+D9+0.01</f>
        <v>6.02</v>
      </c>
      <c r="F9" s="298">
        <f t="shared" si="0"/>
        <v>6.0299999999999994</v>
      </c>
      <c r="G9" s="298">
        <f t="shared" si="0"/>
        <v>6.0399999999999991</v>
      </c>
      <c r="H9" s="298">
        <f t="shared" si="0"/>
        <v>6.0499999999999989</v>
      </c>
      <c r="I9" s="298">
        <f t="shared" si="0"/>
        <v>6.0599999999999987</v>
      </c>
      <c r="J9" s="298">
        <f t="shared" si="0"/>
        <v>6.0699999999999985</v>
      </c>
      <c r="K9" s="298">
        <f t="shared" si="0"/>
        <v>6.0799999999999983</v>
      </c>
      <c r="L9" s="298">
        <f t="shared" si="0"/>
        <v>6.0899999999999981</v>
      </c>
      <c r="M9" s="298">
        <f t="shared" si="0"/>
        <v>6.0999999999999979</v>
      </c>
      <c r="N9" s="298">
        <f t="shared" si="0"/>
        <v>6.1099999999999977</v>
      </c>
      <c r="O9" s="298">
        <f t="shared" si="0"/>
        <v>6.1199999999999974</v>
      </c>
      <c r="P9" s="298">
        <f t="shared" si="0"/>
        <v>6.1299999999999972</v>
      </c>
      <c r="Q9" s="298">
        <v>6.14</v>
      </c>
      <c r="R9" s="298">
        <v>6.15</v>
      </c>
      <c r="S9" s="298">
        <v>6.16</v>
      </c>
      <c r="T9" s="298">
        <v>6.17</v>
      </c>
      <c r="U9" s="298">
        <v>6.18</v>
      </c>
      <c r="V9" s="298">
        <f>+U9+0.01</f>
        <v>6.1899999999999995</v>
      </c>
      <c r="W9" s="298">
        <v>6.23</v>
      </c>
      <c r="X9" s="298">
        <v>7.01</v>
      </c>
      <c r="Y9" s="298">
        <f>+X9+0.01</f>
        <v>7.02</v>
      </c>
      <c r="Z9" s="298">
        <f>+Y9+0.01</f>
        <v>7.0299999999999994</v>
      </c>
      <c r="AA9" s="298">
        <f>+Z9+0.01</f>
        <v>7.0399999999999991</v>
      </c>
      <c r="AB9" s="298">
        <f>+AA9+0.01</f>
        <v>7.0499999999999989</v>
      </c>
      <c r="AC9" s="298">
        <f>AB9+0.02</f>
        <v>7.0699999999999985</v>
      </c>
      <c r="AD9" s="300" t="s">
        <v>967</v>
      </c>
      <c r="AE9" s="300" t="s">
        <v>968</v>
      </c>
      <c r="AF9" s="300" t="s">
        <v>969</v>
      </c>
      <c r="AG9" s="298">
        <f>AC9+0.01</f>
        <v>7.0799999999999983</v>
      </c>
      <c r="AH9" s="298">
        <f>+AG9+0.01</f>
        <v>7.0899999999999981</v>
      </c>
      <c r="AI9" s="299" t="s">
        <v>66</v>
      </c>
      <c r="AJ9" s="299" t="s">
        <v>105</v>
      </c>
      <c r="AK9" s="300">
        <f>+D9</f>
        <v>6.01</v>
      </c>
      <c r="AL9" s="300">
        <f>+E9</f>
        <v>6.02</v>
      </c>
      <c r="AM9" s="300">
        <f>+G9</f>
        <v>6.0399999999999991</v>
      </c>
      <c r="AN9" s="300">
        <f>+L9</f>
        <v>6.0899999999999981</v>
      </c>
      <c r="AO9" s="300">
        <f>+M9</f>
        <v>6.0999999999999979</v>
      </c>
      <c r="AP9" s="300">
        <v>6.14</v>
      </c>
      <c r="AQ9" s="300">
        <v>6.15</v>
      </c>
      <c r="AR9" s="300">
        <f>+AQ9+0.01</f>
        <v>6.16</v>
      </c>
      <c r="AS9" s="300">
        <f>+AR9+0.01</f>
        <v>6.17</v>
      </c>
      <c r="AT9" s="300">
        <v>6.2</v>
      </c>
      <c r="AU9" s="300">
        <v>6.21</v>
      </c>
      <c r="AV9" s="300">
        <f t="shared" ref="AV9:BC9" si="1">+AU9+0.01</f>
        <v>6.22</v>
      </c>
      <c r="AW9" s="300">
        <f t="shared" si="1"/>
        <v>6.2299999999999995</v>
      </c>
      <c r="AX9" s="300">
        <f t="shared" si="1"/>
        <v>6.2399999999999993</v>
      </c>
      <c r="AY9" s="300">
        <f t="shared" si="1"/>
        <v>6.2499999999999991</v>
      </c>
      <c r="AZ9" s="300">
        <f t="shared" si="1"/>
        <v>6.2599999999999989</v>
      </c>
      <c r="BA9" s="300">
        <f t="shared" si="1"/>
        <v>6.2699999999999987</v>
      </c>
      <c r="BB9" s="300">
        <f t="shared" si="1"/>
        <v>6.2799999999999985</v>
      </c>
      <c r="BC9" s="300">
        <f t="shared" si="1"/>
        <v>6.2899999999999983</v>
      </c>
      <c r="BD9" s="300">
        <f>+'BGM-9 (2) Detailed Summary'!X9</f>
        <v>7.01</v>
      </c>
      <c r="BE9" s="300">
        <f>+'BGM-9 (2) Detailed Summary'!Y9</f>
        <v>7.02</v>
      </c>
      <c r="BF9" s="300">
        <f>+AB9</f>
        <v>7.0499999999999989</v>
      </c>
      <c r="BG9" s="300">
        <f>+BF9+0.01</f>
        <v>7.0599999999999987</v>
      </c>
      <c r="BH9" s="300">
        <v>7.08</v>
      </c>
      <c r="BI9" s="300">
        <v>7.09</v>
      </c>
      <c r="BJ9" s="300">
        <v>7.1</v>
      </c>
      <c r="BK9" s="300" t="s">
        <v>941</v>
      </c>
      <c r="BL9" s="300" t="s">
        <v>992</v>
      </c>
      <c r="BM9" s="300">
        <v>7.12</v>
      </c>
      <c r="BN9" s="300">
        <v>7.12</v>
      </c>
      <c r="BO9" s="300">
        <v>7.12</v>
      </c>
      <c r="BP9" s="301" t="s">
        <v>66</v>
      </c>
      <c r="BQ9" s="301" t="s">
        <v>93</v>
      </c>
    </row>
    <row r="10" spans="1:70" ht="13.5" customHeight="1" x14ac:dyDescent="0.2">
      <c r="A10" s="3" t="s">
        <v>43</v>
      </c>
      <c r="B10" s="3" t="s">
        <v>73</v>
      </c>
      <c r="C10" s="3" t="s">
        <v>41</v>
      </c>
      <c r="D10" s="3" t="s">
        <v>50</v>
      </c>
      <c r="E10" s="3" t="s">
        <v>313</v>
      </c>
      <c r="F10" s="3" t="s">
        <v>51</v>
      </c>
      <c r="G10" s="3" t="s">
        <v>314</v>
      </c>
      <c r="H10" s="3" t="s">
        <v>315</v>
      </c>
      <c r="I10" s="3" t="s">
        <v>316</v>
      </c>
      <c r="J10" s="69" t="s">
        <v>317</v>
      </c>
      <c r="K10" s="3" t="s">
        <v>318</v>
      </c>
      <c r="L10" s="3" t="s">
        <v>319</v>
      </c>
      <c r="M10" s="3" t="s">
        <v>55</v>
      </c>
      <c r="N10" s="3" t="s">
        <v>358</v>
      </c>
      <c r="O10" s="3" t="s">
        <v>320</v>
      </c>
      <c r="P10" s="3" t="s">
        <v>321</v>
      </c>
      <c r="Q10" s="3" t="s">
        <v>397</v>
      </c>
      <c r="R10" s="3" t="s">
        <v>410</v>
      </c>
      <c r="S10" s="3" t="s">
        <v>59</v>
      </c>
      <c r="T10" s="3" t="s">
        <v>60</v>
      </c>
      <c r="U10" s="3" t="s">
        <v>322</v>
      </c>
      <c r="V10" s="3" t="s">
        <v>322</v>
      </c>
      <c r="W10" s="3" t="s">
        <v>323</v>
      </c>
      <c r="X10" s="3" t="s">
        <v>46</v>
      </c>
      <c r="Y10" s="3" t="s">
        <v>324</v>
      </c>
      <c r="Z10" s="3" t="s">
        <v>325</v>
      </c>
      <c r="AA10" s="3" t="s">
        <v>49</v>
      </c>
      <c r="AB10" s="3" t="s">
        <v>326</v>
      </c>
      <c r="AC10" s="3" t="s">
        <v>499</v>
      </c>
      <c r="AD10" s="3" t="s">
        <v>970</v>
      </c>
      <c r="AE10" s="3" t="s">
        <v>972</v>
      </c>
      <c r="AF10" s="3" t="s">
        <v>974</v>
      </c>
      <c r="AG10" s="3" t="s">
        <v>257</v>
      </c>
      <c r="AH10" s="3" t="s">
        <v>257</v>
      </c>
      <c r="AI10" s="302" t="s">
        <v>253</v>
      </c>
      <c r="AJ10" s="302" t="s">
        <v>41</v>
      </c>
      <c r="AK10" s="3" t="s">
        <v>50</v>
      </c>
      <c r="AL10" s="3" t="s">
        <v>313</v>
      </c>
      <c r="AM10" s="3" t="s">
        <v>314</v>
      </c>
      <c r="AN10" s="3" t="s">
        <v>319</v>
      </c>
      <c r="AO10" s="3" t="s">
        <v>55</v>
      </c>
      <c r="AP10" s="3" t="s">
        <v>57</v>
      </c>
      <c r="AQ10" s="3" t="s">
        <v>58</v>
      </c>
      <c r="AR10" s="3" t="s">
        <v>59</v>
      </c>
      <c r="AS10" s="3" t="s">
        <v>60</v>
      </c>
      <c r="AT10" s="3" t="s">
        <v>56</v>
      </c>
      <c r="AU10" s="3" t="s">
        <v>345</v>
      </c>
      <c r="AV10" s="3" t="s">
        <v>259</v>
      </c>
      <c r="AW10" s="3" t="s">
        <v>323</v>
      </c>
      <c r="AX10" s="3" t="s">
        <v>482</v>
      </c>
      <c r="AY10" s="3" t="s">
        <v>327</v>
      </c>
      <c r="AZ10" s="3" t="s">
        <v>423</v>
      </c>
      <c r="BA10" s="3" t="s">
        <v>425</v>
      </c>
      <c r="BB10" s="3" t="s">
        <v>455</v>
      </c>
      <c r="BC10" s="3"/>
      <c r="BD10" s="3" t="s">
        <v>46</v>
      </c>
      <c r="BE10" s="3" t="s">
        <v>324</v>
      </c>
      <c r="BF10" s="3" t="s">
        <v>326</v>
      </c>
      <c r="BG10" s="3" t="s">
        <v>328</v>
      </c>
      <c r="BH10" s="3" t="s">
        <v>471</v>
      </c>
      <c r="BI10" s="3" t="s">
        <v>427</v>
      </c>
      <c r="BJ10" s="3" t="s">
        <v>464</v>
      </c>
      <c r="BK10" s="3" t="s">
        <v>954</v>
      </c>
      <c r="BL10" s="3" t="s">
        <v>471</v>
      </c>
      <c r="BM10" s="3"/>
      <c r="BN10" s="3"/>
      <c r="BO10" s="3"/>
      <c r="BP10" s="302" t="s">
        <v>254</v>
      </c>
      <c r="BQ10" s="302" t="s">
        <v>41</v>
      </c>
    </row>
    <row r="11" spans="1:70" x14ac:dyDescent="0.2">
      <c r="A11" s="3" t="s">
        <v>44</v>
      </c>
      <c r="C11" s="3" t="s">
        <v>42</v>
      </c>
      <c r="D11" s="3" t="s">
        <v>53</v>
      </c>
      <c r="E11" s="3" t="s">
        <v>329</v>
      </c>
      <c r="F11" s="303" t="s">
        <v>54</v>
      </c>
      <c r="G11" s="303" t="s">
        <v>346</v>
      </c>
      <c r="H11" s="3" t="s">
        <v>330</v>
      </c>
      <c r="I11" s="3" t="s">
        <v>331</v>
      </c>
      <c r="J11" s="69" t="s">
        <v>332</v>
      </c>
      <c r="K11" s="3" t="s">
        <v>333</v>
      </c>
      <c r="L11" s="303" t="s">
        <v>334</v>
      </c>
      <c r="M11" s="303" t="s">
        <v>61</v>
      </c>
      <c r="N11" s="303" t="s">
        <v>335</v>
      </c>
      <c r="O11" s="3" t="s">
        <v>336</v>
      </c>
      <c r="P11" s="3" t="s">
        <v>64</v>
      </c>
      <c r="Q11" s="3" t="s">
        <v>398</v>
      </c>
      <c r="R11" s="3" t="s">
        <v>409</v>
      </c>
      <c r="S11" s="3" t="s">
        <v>64</v>
      </c>
      <c r="T11" s="3" t="s">
        <v>405</v>
      </c>
      <c r="U11" s="3" t="s">
        <v>74</v>
      </c>
      <c r="V11" s="3" t="s">
        <v>20</v>
      </c>
      <c r="W11" s="3" t="s">
        <v>337</v>
      </c>
      <c r="X11" s="3" t="s">
        <v>47</v>
      </c>
      <c r="Y11" s="3" t="s">
        <v>48</v>
      </c>
      <c r="Z11" s="3" t="s">
        <v>338</v>
      </c>
      <c r="AA11" s="3" t="s">
        <v>339</v>
      </c>
      <c r="AB11" s="3" t="s">
        <v>340</v>
      </c>
      <c r="AC11" s="304" t="s">
        <v>20</v>
      </c>
      <c r="AD11" s="3" t="s">
        <v>971</v>
      </c>
      <c r="AE11" s="3" t="s">
        <v>973</v>
      </c>
      <c r="AF11" s="3" t="s">
        <v>975</v>
      </c>
      <c r="AG11" s="3" t="s">
        <v>341</v>
      </c>
      <c r="AH11" s="3" t="s">
        <v>341</v>
      </c>
      <c r="AI11" s="302" t="s">
        <v>69</v>
      </c>
      <c r="AJ11" s="302" t="s">
        <v>71</v>
      </c>
      <c r="AK11" s="3" t="s">
        <v>53</v>
      </c>
      <c r="AL11" s="3" t="s">
        <v>329</v>
      </c>
      <c r="AM11" s="303" t="s">
        <v>346</v>
      </c>
      <c r="AN11" s="303" t="s">
        <v>334</v>
      </c>
      <c r="AO11" s="303" t="s">
        <v>61</v>
      </c>
      <c r="AP11" s="304" t="s">
        <v>63</v>
      </c>
      <c r="AQ11" s="3" t="s">
        <v>65</v>
      </c>
      <c r="AR11" s="3" t="s">
        <v>64</v>
      </c>
      <c r="AS11" s="3" t="s">
        <v>61</v>
      </c>
      <c r="AT11" s="3" t="s">
        <v>62</v>
      </c>
      <c r="AU11" s="3" t="s">
        <v>207</v>
      </c>
      <c r="AV11" s="3" t="s">
        <v>341</v>
      </c>
      <c r="AW11" s="3" t="s">
        <v>337</v>
      </c>
      <c r="AX11" s="3" t="s">
        <v>483</v>
      </c>
      <c r="AY11" s="3" t="s">
        <v>342</v>
      </c>
      <c r="AZ11" s="3" t="s">
        <v>424</v>
      </c>
      <c r="BA11" s="3" t="s">
        <v>426</v>
      </c>
      <c r="BB11" s="3" t="s">
        <v>456</v>
      </c>
      <c r="BC11" s="3" t="s">
        <v>488</v>
      </c>
      <c r="BD11" s="3" t="s">
        <v>343</v>
      </c>
      <c r="BE11" s="3" t="s">
        <v>48</v>
      </c>
      <c r="BF11" s="3" t="s">
        <v>340</v>
      </c>
      <c r="BG11" s="3" t="s">
        <v>344</v>
      </c>
      <c r="BH11" s="3" t="s">
        <v>412</v>
      </c>
      <c r="BI11" s="3" t="s">
        <v>428</v>
      </c>
      <c r="BJ11" s="3" t="s">
        <v>465</v>
      </c>
      <c r="BK11" s="3" t="s">
        <v>944</v>
      </c>
      <c r="BL11" s="3" t="s">
        <v>993</v>
      </c>
      <c r="BM11" s="3" t="s">
        <v>257</v>
      </c>
      <c r="BN11" s="3" t="s">
        <v>257</v>
      </c>
      <c r="BO11" s="3" t="s">
        <v>257</v>
      </c>
      <c r="BP11" s="302" t="s">
        <v>69</v>
      </c>
      <c r="BQ11" s="302" t="s">
        <v>71</v>
      </c>
    </row>
    <row r="12" spans="1:70" x14ac:dyDescent="0.2">
      <c r="C12" s="282" t="s">
        <v>276</v>
      </c>
      <c r="D12" s="83" t="s">
        <v>277</v>
      </c>
      <c r="E12" s="83" t="s">
        <v>570</v>
      </c>
      <c r="F12" s="83" t="s">
        <v>278</v>
      </c>
      <c r="G12" s="83" t="s">
        <v>279</v>
      </c>
      <c r="H12" s="83" t="s">
        <v>280</v>
      </c>
      <c r="I12" s="83" t="s">
        <v>281</v>
      </c>
      <c r="J12" s="83" t="s">
        <v>282</v>
      </c>
      <c r="K12" s="83" t="s">
        <v>283</v>
      </c>
      <c r="L12" s="83" t="s">
        <v>284</v>
      </c>
      <c r="M12" s="83" t="s">
        <v>285</v>
      </c>
      <c r="N12" s="83" t="s">
        <v>286</v>
      </c>
      <c r="O12" s="83" t="s">
        <v>287</v>
      </c>
      <c r="P12" s="83" t="s">
        <v>288</v>
      </c>
      <c r="Q12" s="83" t="s">
        <v>406</v>
      </c>
      <c r="R12" s="83" t="s">
        <v>430</v>
      </c>
      <c r="S12" s="83" t="s">
        <v>431</v>
      </c>
      <c r="T12" s="83" t="s">
        <v>432</v>
      </c>
      <c r="U12" s="83" t="s">
        <v>433</v>
      </c>
      <c r="V12" s="305" t="s">
        <v>434</v>
      </c>
      <c r="W12" s="83" t="s">
        <v>289</v>
      </c>
      <c r="X12" s="83" t="s">
        <v>290</v>
      </c>
      <c r="Y12" s="83" t="s">
        <v>435</v>
      </c>
      <c r="Z12" s="83" t="s">
        <v>436</v>
      </c>
      <c r="AA12" s="83" t="s">
        <v>437</v>
      </c>
      <c r="AB12" s="83" t="s">
        <v>438</v>
      </c>
      <c r="AC12" s="83" t="s">
        <v>571</v>
      </c>
      <c r="AD12" s="83" t="s">
        <v>311</v>
      </c>
      <c r="AE12" s="83" t="s">
        <v>311</v>
      </c>
      <c r="AF12" s="83" t="s">
        <v>311</v>
      </c>
      <c r="AG12" s="83" t="s">
        <v>291</v>
      </c>
      <c r="AH12" s="83" t="s">
        <v>292</v>
      </c>
      <c r="AI12" s="306" t="s">
        <v>586</v>
      </c>
      <c r="AJ12" s="306" t="s">
        <v>587</v>
      </c>
      <c r="AK12" s="83" t="s">
        <v>588</v>
      </c>
      <c r="AL12" s="83" t="s">
        <v>440</v>
      </c>
      <c r="AM12" s="83" t="s">
        <v>589</v>
      </c>
      <c r="AN12" s="83" t="s">
        <v>293</v>
      </c>
      <c r="AO12" s="83" t="s">
        <v>294</v>
      </c>
      <c r="AP12" s="83" t="s">
        <v>295</v>
      </c>
      <c r="AQ12" s="83" t="s">
        <v>441</v>
      </c>
      <c r="AR12" s="83" t="s">
        <v>442</v>
      </c>
      <c r="AS12" s="83" t="s">
        <v>296</v>
      </c>
      <c r="AT12" s="83" t="s">
        <v>297</v>
      </c>
      <c r="AU12" s="83" t="s">
        <v>298</v>
      </c>
      <c r="AV12" s="83" t="s">
        <v>299</v>
      </c>
      <c r="AW12" s="83" t="s">
        <v>507</v>
      </c>
      <c r="AX12" s="83" t="s">
        <v>300</v>
      </c>
      <c r="AY12" s="83" t="s">
        <v>301</v>
      </c>
      <c r="AZ12" s="83" t="s">
        <v>302</v>
      </c>
      <c r="BA12" s="83" t="s">
        <v>303</v>
      </c>
      <c r="BB12" s="83" t="s">
        <v>305</v>
      </c>
      <c r="BC12" s="83" t="s">
        <v>304</v>
      </c>
      <c r="BD12" s="83" t="s">
        <v>508</v>
      </c>
      <c r="BE12" s="83" t="s">
        <v>306</v>
      </c>
      <c r="BF12" s="83" t="s">
        <v>307</v>
      </c>
      <c r="BG12" s="83" t="s">
        <v>308</v>
      </c>
      <c r="BH12" s="83" t="s">
        <v>439</v>
      </c>
      <c r="BI12" s="83" t="s">
        <v>309</v>
      </c>
      <c r="BJ12" s="83" t="s">
        <v>310</v>
      </c>
      <c r="BK12" s="83" t="s">
        <v>311</v>
      </c>
      <c r="BL12" s="83" t="s">
        <v>311</v>
      </c>
      <c r="BM12" s="83" t="s">
        <v>312</v>
      </c>
      <c r="BN12" s="83" t="s">
        <v>312</v>
      </c>
      <c r="BO12" s="83" t="s">
        <v>312</v>
      </c>
      <c r="BP12" s="306" t="s">
        <v>945</v>
      </c>
      <c r="BQ12" s="306" t="s">
        <v>722</v>
      </c>
    </row>
    <row r="13" spans="1:70" x14ac:dyDescent="0.2">
      <c r="A13" s="282">
        <v>1</v>
      </c>
      <c r="B13" s="246" t="s">
        <v>0</v>
      </c>
      <c r="T13" s="289"/>
      <c r="X13" s="289"/>
      <c r="AI13" s="307"/>
      <c r="AJ13" s="307"/>
      <c r="BP13" s="307"/>
      <c r="BQ13" s="307"/>
    </row>
    <row r="14" spans="1:70" x14ac:dyDescent="0.2">
      <c r="A14" s="282">
        <f t="shared" ref="A14:A45" si="2">A13+1</f>
        <v>2</v>
      </c>
      <c r="B14" s="246" t="s">
        <v>1</v>
      </c>
      <c r="C14" s="30">
        <f>+'[10]Allocated (CBR)'!B9</f>
        <v>2165233766.8899999</v>
      </c>
      <c r="D14" s="30">
        <f>'BGM-9 (3) Common Adj'!F23-'BGM-9 (2) Detailed Summary'!D15</f>
        <v>41299982.399803981</v>
      </c>
      <c r="E14" s="30">
        <f>'BGM-9 (3) Common Adj'!N31</f>
        <v>5274141</v>
      </c>
      <c r="F14" s="30"/>
      <c r="G14" s="30"/>
      <c r="H14" s="30">
        <f>SUM('BGM-9 (3) Common Adj'!AL15:AL21,'BGM-9 (3) Common Adj'!AL23,'BGM-9 (3) Common Adj'!AL25,'BGM-9 (3) Common Adj'!AL27,-'BGM-9 (3) Common Adj'!AL18)</f>
        <v>-206435594.02857196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8">
        <f>SUM(D14:AH14)</f>
        <v>-159861470.62876797</v>
      </c>
      <c r="AJ14" s="308">
        <f>+AI14+C14</f>
        <v>2005372296.2612319</v>
      </c>
      <c r="AK14" s="30">
        <f>'BGM-9 (3) Common Adj'!H23-'BGM-9 (2) Detailed Summary'!AK15</f>
        <v>-17794394.48</v>
      </c>
      <c r="AL14" s="30">
        <f>'BGM-9 (3) Common Adj'!P31</f>
        <v>9108946</v>
      </c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8">
        <f>SUM(AK14:BO14)</f>
        <v>-8685448.4800000004</v>
      </c>
      <c r="BQ14" s="308">
        <f>+BP14+AJ14</f>
        <v>1996686847.7812319</v>
      </c>
    </row>
    <row r="15" spans="1:70" x14ac:dyDescent="0.2">
      <c r="A15" s="282">
        <f t="shared" si="2"/>
        <v>3</v>
      </c>
      <c r="B15" s="246" t="s">
        <v>2</v>
      </c>
      <c r="C15" s="57">
        <f>+'[10]Allocated (CBR)'!B10</f>
        <v>340431.51999999897</v>
      </c>
      <c r="D15" s="57">
        <f>'BGM-9 (3) Common Adj'!F21</f>
        <v>114.23000000000138</v>
      </c>
      <c r="E15" s="57">
        <f>'BGM-9 (3) Common Adj'!N30</f>
        <v>3019</v>
      </c>
      <c r="F15" s="57"/>
      <c r="G15" s="57"/>
      <c r="H15" s="57">
        <f>'BGM-9 (3) Common Adj'!AL18</f>
        <v>-16204.59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309">
        <f>SUM(D15:AH15)</f>
        <v>-13071.359999999999</v>
      </c>
      <c r="AJ15" s="309">
        <f>+AI15+C15</f>
        <v>327360.15999999898</v>
      </c>
      <c r="AK15" s="57"/>
      <c r="AL15" s="57">
        <f>'BGM-9 (3) Common Adj'!P30</f>
        <v>0</v>
      </c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309">
        <f>SUM(AK15:BO15)</f>
        <v>0</v>
      </c>
      <c r="BQ15" s="309">
        <f>+BP15+AJ15</f>
        <v>327360.15999999898</v>
      </c>
    </row>
    <row r="16" spans="1:70" x14ac:dyDescent="0.2">
      <c r="A16" s="282">
        <f t="shared" si="2"/>
        <v>4</v>
      </c>
      <c r="B16" s="246" t="s">
        <v>3</v>
      </c>
      <c r="C16" s="57">
        <f>+'[10]Allocated (CBR)'!B11</f>
        <v>155333122.24000001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309">
        <f>SUM(D16:AH16)</f>
        <v>0</v>
      </c>
      <c r="AJ16" s="309">
        <f>+AI16+C16</f>
        <v>155333122.24000001</v>
      </c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>
        <f>-'BGM-9 (4) Electric Adj'!H22</f>
        <v>-149863634.21735081</v>
      </c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309">
        <f>SUM(AK16:BO16)</f>
        <v>-149863634.21735081</v>
      </c>
      <c r="BQ16" s="309">
        <f>+BP16+AJ16</f>
        <v>5469488.0226491988</v>
      </c>
    </row>
    <row r="17" spans="1:77" x14ac:dyDescent="0.2">
      <c r="A17" s="282">
        <f t="shared" si="2"/>
        <v>5</v>
      </c>
      <c r="B17" s="246" t="s">
        <v>4</v>
      </c>
      <c r="C17" s="57">
        <f>+'[10]Allocated (CBR)'!B12</f>
        <v>122175867.17999999</v>
      </c>
      <c r="D17" s="57">
        <f>'BGM-9 (3) Common Adj'!F31</f>
        <v>2744403.99</v>
      </c>
      <c r="E17" s="57"/>
      <c r="F17" s="57"/>
      <c r="G17" s="57"/>
      <c r="H17" s="57">
        <f>+'BGM-9 (3) Common Adj'!AL22+'BGM-9 (3) Common Adj'!AL24+'BGM-9 (3) Common Adj'!AL26</f>
        <v>15741473.960000001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>
        <f>-'BGM-9 (3) Common Adj'!FZ17-'BGM-9 (3) Common Adj'!FZ22</f>
        <v>-858566.13</v>
      </c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309">
        <f>SUM(D17:AH17)</f>
        <v>17627311.820000004</v>
      </c>
      <c r="AJ17" s="309">
        <f>+AI17+C17</f>
        <v>139803179</v>
      </c>
      <c r="AK17" s="57">
        <f>'BGM-9 (3) Common Adj'!H31</f>
        <v>-16381468.550000004</v>
      </c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>
        <f>-SUM('BGM-9 (4) Electric Adj'!H23+'BGM-9 (4) Electric Adj'!H29)</f>
        <v>-46590531.466836587</v>
      </c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309">
        <f>SUM(AK17:BO17)</f>
        <v>-62972000.016836591</v>
      </c>
      <c r="BQ17" s="309">
        <f>+BP17+AJ17</f>
        <v>76831178.983163416</v>
      </c>
    </row>
    <row r="18" spans="1:77" x14ac:dyDescent="0.2">
      <c r="A18" s="282">
        <f t="shared" si="2"/>
        <v>6</v>
      </c>
      <c r="B18" s="246" t="s">
        <v>5</v>
      </c>
      <c r="C18" s="390">
        <f t="shared" ref="C18:AK18" si="3">SUM(C14:C17)</f>
        <v>2443083187.8299994</v>
      </c>
      <c r="D18" s="390">
        <f t="shared" si="3"/>
        <v>44044500.61980398</v>
      </c>
      <c r="E18" s="390">
        <f t="shared" si="3"/>
        <v>5277160</v>
      </c>
      <c r="F18" s="390">
        <f t="shared" si="3"/>
        <v>0</v>
      </c>
      <c r="G18" s="390">
        <f t="shared" si="3"/>
        <v>0</v>
      </c>
      <c r="H18" s="390">
        <f t="shared" si="3"/>
        <v>-190710324.65857196</v>
      </c>
      <c r="I18" s="390">
        <f t="shared" si="3"/>
        <v>0</v>
      </c>
      <c r="J18" s="390">
        <f t="shared" si="3"/>
        <v>0</v>
      </c>
      <c r="K18" s="390">
        <f t="shared" si="3"/>
        <v>0</v>
      </c>
      <c r="L18" s="390">
        <f t="shared" si="3"/>
        <v>0</v>
      </c>
      <c r="M18" s="390">
        <f t="shared" si="3"/>
        <v>0</v>
      </c>
      <c r="N18" s="390">
        <f t="shared" si="3"/>
        <v>0</v>
      </c>
      <c r="O18" s="390">
        <f t="shared" si="3"/>
        <v>0</v>
      </c>
      <c r="P18" s="390">
        <f t="shared" si="3"/>
        <v>0</v>
      </c>
      <c r="Q18" s="390">
        <f t="shared" si="3"/>
        <v>0</v>
      </c>
      <c r="R18" s="390">
        <f t="shared" si="3"/>
        <v>0</v>
      </c>
      <c r="S18" s="390">
        <f t="shared" si="3"/>
        <v>0</v>
      </c>
      <c r="T18" s="390">
        <f t="shared" si="3"/>
        <v>0</v>
      </c>
      <c r="U18" s="390">
        <f t="shared" si="3"/>
        <v>0</v>
      </c>
      <c r="V18" s="390">
        <f t="shared" si="3"/>
        <v>0</v>
      </c>
      <c r="W18" s="390">
        <f t="shared" si="3"/>
        <v>-858566.13</v>
      </c>
      <c r="X18" s="390">
        <f t="shared" si="3"/>
        <v>0</v>
      </c>
      <c r="Y18" s="390">
        <f t="shared" si="3"/>
        <v>0</v>
      </c>
      <c r="Z18" s="390">
        <f t="shared" si="3"/>
        <v>0</v>
      </c>
      <c r="AA18" s="390">
        <f t="shared" si="3"/>
        <v>0</v>
      </c>
      <c r="AB18" s="390">
        <f t="shared" si="3"/>
        <v>0</v>
      </c>
      <c r="AC18" s="390">
        <f t="shared" si="3"/>
        <v>0</v>
      </c>
      <c r="AD18" s="390">
        <f t="shared" si="3"/>
        <v>0</v>
      </c>
      <c r="AE18" s="390">
        <f t="shared" si="3"/>
        <v>0</v>
      </c>
      <c r="AF18" s="390">
        <f t="shared" si="3"/>
        <v>0</v>
      </c>
      <c r="AG18" s="390">
        <f t="shared" si="3"/>
        <v>0</v>
      </c>
      <c r="AH18" s="390">
        <f t="shared" si="3"/>
        <v>0</v>
      </c>
      <c r="AI18" s="310">
        <f t="shared" si="3"/>
        <v>-142247230.16876799</v>
      </c>
      <c r="AJ18" s="310">
        <f t="shared" si="3"/>
        <v>2300835957.661232</v>
      </c>
      <c r="AK18" s="390">
        <f t="shared" si="3"/>
        <v>-34175863.030000001</v>
      </c>
      <c r="AL18" s="390">
        <f t="shared" ref="AL18:BQ18" si="4">SUM(AL14:AL17)</f>
        <v>9108946</v>
      </c>
      <c r="AM18" s="390">
        <f t="shared" si="4"/>
        <v>0</v>
      </c>
      <c r="AN18" s="390">
        <f t="shared" si="4"/>
        <v>0</v>
      </c>
      <c r="AO18" s="390">
        <f t="shared" si="4"/>
        <v>0</v>
      </c>
      <c r="AP18" s="390">
        <f t="shared" si="4"/>
        <v>0</v>
      </c>
      <c r="AQ18" s="390">
        <f t="shared" si="4"/>
        <v>0</v>
      </c>
      <c r="AR18" s="390">
        <f t="shared" si="4"/>
        <v>0</v>
      </c>
      <c r="AS18" s="390">
        <f t="shared" si="4"/>
        <v>0</v>
      </c>
      <c r="AT18" s="390">
        <f t="shared" si="4"/>
        <v>0</v>
      </c>
      <c r="AU18" s="390">
        <f t="shared" si="4"/>
        <v>0</v>
      </c>
      <c r="AV18" s="390">
        <f t="shared" si="4"/>
        <v>0</v>
      </c>
      <c r="AW18" s="390">
        <f t="shared" si="4"/>
        <v>0</v>
      </c>
      <c r="AX18" s="390">
        <f t="shared" si="4"/>
        <v>0</v>
      </c>
      <c r="AY18" s="390">
        <f t="shared" si="4"/>
        <v>0</v>
      </c>
      <c r="AZ18" s="390">
        <f t="shared" si="4"/>
        <v>0</v>
      </c>
      <c r="BA18" s="390">
        <f t="shared" si="4"/>
        <v>0</v>
      </c>
      <c r="BB18" s="390">
        <f t="shared" si="4"/>
        <v>0</v>
      </c>
      <c r="BC18" s="390">
        <f t="shared" si="4"/>
        <v>0</v>
      </c>
      <c r="BD18" s="390">
        <f t="shared" si="4"/>
        <v>-196454165.68418741</v>
      </c>
      <c r="BE18" s="390">
        <f t="shared" si="4"/>
        <v>0</v>
      </c>
      <c r="BF18" s="390">
        <f t="shared" si="4"/>
        <v>0</v>
      </c>
      <c r="BG18" s="390">
        <f t="shared" si="4"/>
        <v>0</v>
      </c>
      <c r="BH18" s="390">
        <f t="shared" si="4"/>
        <v>0</v>
      </c>
      <c r="BI18" s="390">
        <f t="shared" si="4"/>
        <v>0</v>
      </c>
      <c r="BJ18" s="390">
        <f t="shared" si="4"/>
        <v>0</v>
      </c>
      <c r="BK18" s="390">
        <f t="shared" si="4"/>
        <v>0</v>
      </c>
      <c r="BL18" s="390">
        <f t="shared" ref="BL18:BN18" si="5">SUM(BL14:BL17)</f>
        <v>0</v>
      </c>
      <c r="BM18" s="390">
        <f t="shared" si="5"/>
        <v>0</v>
      </c>
      <c r="BN18" s="390">
        <f t="shared" si="5"/>
        <v>0</v>
      </c>
      <c r="BO18" s="390">
        <f t="shared" si="4"/>
        <v>0</v>
      </c>
      <c r="BP18" s="310">
        <f t="shared" si="4"/>
        <v>-221521082.71418738</v>
      </c>
      <c r="BQ18" s="310">
        <f t="shared" si="4"/>
        <v>2079314874.9470446</v>
      </c>
    </row>
    <row r="19" spans="1:77" s="312" customFormat="1" x14ac:dyDescent="0.2">
      <c r="A19" s="282">
        <f t="shared" si="2"/>
        <v>7</v>
      </c>
      <c r="B19" s="311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309"/>
      <c r="AJ19" s="309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309"/>
      <c r="BQ19" s="309"/>
    </row>
    <row r="20" spans="1:77" x14ac:dyDescent="0.2">
      <c r="A20" s="282">
        <f t="shared" si="2"/>
        <v>8</v>
      </c>
      <c r="B20" s="246" t="s">
        <v>6</v>
      </c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307"/>
      <c r="AJ20" s="307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307"/>
      <c r="BQ20" s="307"/>
    </row>
    <row r="21" spans="1:77" x14ac:dyDescent="0.2">
      <c r="A21" s="282">
        <f t="shared" si="2"/>
        <v>9</v>
      </c>
      <c r="B21" s="155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307"/>
      <c r="AJ21" s="307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307"/>
      <c r="BQ21" s="307"/>
    </row>
    <row r="22" spans="1:77" x14ac:dyDescent="0.2">
      <c r="A22" s="282">
        <f t="shared" si="2"/>
        <v>10</v>
      </c>
      <c r="B22" s="246" t="s">
        <v>7</v>
      </c>
      <c r="C22" s="30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307"/>
      <c r="AJ22" s="307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89"/>
      <c r="BD22" s="289"/>
      <c r="BE22" s="289"/>
      <c r="BF22" s="289"/>
      <c r="BG22" s="289"/>
      <c r="BH22" s="289"/>
      <c r="BI22" s="289"/>
      <c r="BJ22" s="289"/>
      <c r="BK22" s="289"/>
      <c r="BL22" s="289"/>
      <c r="BM22" s="289"/>
      <c r="BN22" s="289"/>
      <c r="BO22" s="289"/>
      <c r="BP22" s="307"/>
      <c r="BQ22" s="307"/>
    </row>
    <row r="23" spans="1:77" x14ac:dyDescent="0.2">
      <c r="A23" s="282">
        <f t="shared" si="2"/>
        <v>11</v>
      </c>
      <c r="B23" s="246" t="s">
        <v>8</v>
      </c>
      <c r="C23" s="313">
        <f>+'[10]Allocated (CBR)'!B18</f>
        <v>204174130.28999999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>
        <f>SUM('BGM-9 (4) Electric Adj'!F16:F17)</f>
        <v>1063362.3599999994</v>
      </c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4">
        <f>SUM(D23:AH23)</f>
        <v>1063362.3599999994</v>
      </c>
      <c r="AJ23" s="314">
        <f>+AI23+C23</f>
        <v>205237492.64999998</v>
      </c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>
        <f>SUM('BGM-9 (4) Electric Adj'!H16:H17)</f>
        <v>-23911080.237536922</v>
      </c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  <c r="BO23" s="313"/>
      <c r="BP23" s="314">
        <f>SUM(AK23:BO23)</f>
        <v>-23911080.237536922</v>
      </c>
      <c r="BQ23" s="314">
        <f>+BP23+AJ23</f>
        <v>181326412.41246307</v>
      </c>
    </row>
    <row r="24" spans="1:77" x14ac:dyDescent="0.2">
      <c r="A24" s="282">
        <f t="shared" si="2"/>
        <v>12</v>
      </c>
      <c r="B24" s="246" t="s">
        <v>9</v>
      </c>
      <c r="C24" s="57">
        <f>+'[10]Allocated (CBR)'!B19</f>
        <v>591842797.56999886</v>
      </c>
      <c r="D24" s="57"/>
      <c r="E24" s="57"/>
      <c r="F24" s="57"/>
      <c r="G24" s="57"/>
      <c r="H24" s="57">
        <f>+'BGM-9 (3) Common Adj'!AL43</f>
        <v>0</v>
      </c>
      <c r="I24" s="57"/>
      <c r="J24" s="57"/>
      <c r="K24" s="57">
        <f>'BGM-9 (3) Common Adj'!BJ15</f>
        <v>-12929.322150284017</v>
      </c>
      <c r="L24" s="57"/>
      <c r="M24" s="57"/>
      <c r="N24" s="57"/>
      <c r="O24" s="57"/>
      <c r="P24" s="57"/>
      <c r="Q24" s="57"/>
      <c r="R24" s="57">
        <f>+'BGM-9 (3) Common Adj'!DN15</f>
        <v>6341.1377968182787</v>
      </c>
      <c r="S24" s="57"/>
      <c r="T24" s="57"/>
      <c r="U24" s="57"/>
      <c r="V24" s="57"/>
      <c r="W24" s="57"/>
      <c r="X24" s="57">
        <f>SUM('BGM-9 (4) Electric Adj'!F18:F19,'BGM-9 (4) Electric Adj'!F30)</f>
        <v>8543675.8544626534</v>
      </c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309">
        <f>SUM(D24:AH24)</f>
        <v>8537087.6701091882</v>
      </c>
      <c r="AJ24" s="309">
        <f>+AI24+C24</f>
        <v>600379885.24010801</v>
      </c>
      <c r="AK24" s="57"/>
      <c r="AL24" s="57"/>
      <c r="AM24" s="57"/>
      <c r="AN24" s="57"/>
      <c r="AO24" s="57"/>
      <c r="AP24" s="57"/>
      <c r="AQ24" s="57">
        <f>+'BGM-9 (3) Common Adj'!DP15</f>
        <v>245950.53762489464</v>
      </c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>
        <f>SUM('BGM-9 (4) Electric Adj'!H18:H20,'BGM-9 (4) Electric Adj'!H30)</f>
        <v>-153946276.86486346</v>
      </c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309">
        <f>SUM(AK24:BO24)</f>
        <v>-153700326.32723856</v>
      </c>
      <c r="BQ24" s="309">
        <f>+BP24+AJ24</f>
        <v>446679558.91286945</v>
      </c>
    </row>
    <row r="25" spans="1:77" x14ac:dyDescent="0.2">
      <c r="A25" s="282">
        <f t="shared" si="2"/>
        <v>13</v>
      </c>
      <c r="B25" s="246" t="s">
        <v>10</v>
      </c>
      <c r="C25" s="57">
        <f>+'[10]Allocated (CBR)'!B20</f>
        <v>115807777.5999999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309">
        <f>SUM(D25:AH25)</f>
        <v>0</v>
      </c>
      <c r="AJ25" s="309">
        <f>+AI25+C25</f>
        <v>115807777.5999999</v>
      </c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>
        <f>+'BGM-9 (4) Electric Adj'!H21</f>
        <v>-3473456.2753740251</v>
      </c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309">
        <f>SUM(AK25:BO25)</f>
        <v>-3473456.2753740251</v>
      </c>
      <c r="BQ25" s="309">
        <f>+BP25+AJ25</f>
        <v>112334321.32462588</v>
      </c>
    </row>
    <row r="26" spans="1:77" x14ac:dyDescent="0.2">
      <c r="A26" s="282">
        <f t="shared" si="2"/>
        <v>14</v>
      </c>
      <c r="B26" s="155" t="s">
        <v>11</v>
      </c>
      <c r="C26" s="57">
        <f>+'[10]Allocated (CBR)'!B21</f>
        <v>-77453659.509999901</v>
      </c>
      <c r="D26" s="57"/>
      <c r="E26" s="57"/>
      <c r="F26" s="57"/>
      <c r="G26" s="57"/>
      <c r="H26" s="57">
        <f>+'BGM-9 (3) Common Adj'!AL41</f>
        <v>77453659.510000005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309">
        <f>SUM(D26:AH26)</f>
        <v>77453659.510000005</v>
      </c>
      <c r="AJ26" s="309">
        <f>+AI26+C26</f>
        <v>0</v>
      </c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309">
        <f>SUM(AK26:BO26)</f>
        <v>0</v>
      </c>
      <c r="BQ26" s="309">
        <f>+BP26+AJ26</f>
        <v>0</v>
      </c>
    </row>
    <row r="27" spans="1:77" x14ac:dyDescent="0.2">
      <c r="A27" s="282">
        <f t="shared" si="2"/>
        <v>15</v>
      </c>
      <c r="B27" s="246" t="s">
        <v>12</v>
      </c>
      <c r="C27" s="422">
        <f t="shared" ref="C27:AK27" si="6">SUM(C22:C26)</f>
        <v>834371045.94999886</v>
      </c>
      <c r="D27" s="422">
        <f t="shared" si="6"/>
        <v>0</v>
      </c>
      <c r="E27" s="422">
        <f t="shared" si="6"/>
        <v>0</v>
      </c>
      <c r="F27" s="422">
        <f t="shared" si="6"/>
        <v>0</v>
      </c>
      <c r="G27" s="422">
        <f t="shared" si="6"/>
        <v>0</v>
      </c>
      <c r="H27" s="422">
        <f t="shared" si="6"/>
        <v>77453659.510000005</v>
      </c>
      <c r="I27" s="422">
        <f t="shared" si="6"/>
        <v>0</v>
      </c>
      <c r="J27" s="422">
        <f t="shared" si="6"/>
        <v>0</v>
      </c>
      <c r="K27" s="422">
        <f t="shared" si="6"/>
        <v>-12929.322150284017</v>
      </c>
      <c r="L27" s="422">
        <f t="shared" si="6"/>
        <v>0</v>
      </c>
      <c r="M27" s="422">
        <f t="shared" si="6"/>
        <v>0</v>
      </c>
      <c r="N27" s="422">
        <f t="shared" si="6"/>
        <v>0</v>
      </c>
      <c r="O27" s="422">
        <f t="shared" si="6"/>
        <v>0</v>
      </c>
      <c r="P27" s="422">
        <f t="shared" si="6"/>
        <v>0</v>
      </c>
      <c r="Q27" s="422">
        <f t="shared" si="6"/>
        <v>0</v>
      </c>
      <c r="R27" s="422">
        <f t="shared" si="6"/>
        <v>6341.1377968182787</v>
      </c>
      <c r="S27" s="422">
        <f t="shared" si="6"/>
        <v>0</v>
      </c>
      <c r="T27" s="422">
        <f t="shared" si="6"/>
        <v>0</v>
      </c>
      <c r="U27" s="422">
        <f t="shared" si="6"/>
        <v>0</v>
      </c>
      <c r="V27" s="422">
        <f t="shared" si="6"/>
        <v>0</v>
      </c>
      <c r="W27" s="422">
        <f t="shared" si="6"/>
        <v>0</v>
      </c>
      <c r="X27" s="422">
        <f t="shared" si="6"/>
        <v>9607038.2144626528</v>
      </c>
      <c r="Y27" s="422">
        <f t="shared" si="6"/>
        <v>0</v>
      </c>
      <c r="Z27" s="422">
        <f t="shared" si="6"/>
        <v>0</v>
      </c>
      <c r="AA27" s="422">
        <f t="shared" si="6"/>
        <v>0</v>
      </c>
      <c r="AB27" s="422">
        <f t="shared" si="6"/>
        <v>0</v>
      </c>
      <c r="AC27" s="422">
        <f t="shared" si="6"/>
        <v>0</v>
      </c>
      <c r="AD27" s="422">
        <f t="shared" si="6"/>
        <v>0</v>
      </c>
      <c r="AE27" s="422">
        <f t="shared" si="6"/>
        <v>0</v>
      </c>
      <c r="AF27" s="422">
        <f t="shared" si="6"/>
        <v>0</v>
      </c>
      <c r="AG27" s="422">
        <f t="shared" si="6"/>
        <v>0</v>
      </c>
      <c r="AH27" s="422">
        <f t="shared" si="6"/>
        <v>0</v>
      </c>
      <c r="AI27" s="315">
        <f t="shared" si="6"/>
        <v>87054109.540109187</v>
      </c>
      <c r="AJ27" s="315">
        <f t="shared" si="6"/>
        <v>921425155.49010789</v>
      </c>
      <c r="AK27" s="422">
        <f t="shared" si="6"/>
        <v>0</v>
      </c>
      <c r="AL27" s="422">
        <f t="shared" ref="AL27:BQ27" si="7">SUM(AL22:AL26)</f>
        <v>0</v>
      </c>
      <c r="AM27" s="422">
        <f t="shared" si="7"/>
        <v>0</v>
      </c>
      <c r="AN27" s="422">
        <f t="shared" si="7"/>
        <v>0</v>
      </c>
      <c r="AO27" s="422">
        <f t="shared" si="7"/>
        <v>0</v>
      </c>
      <c r="AP27" s="422">
        <f t="shared" si="7"/>
        <v>0</v>
      </c>
      <c r="AQ27" s="422">
        <f t="shared" si="7"/>
        <v>245950.53762489464</v>
      </c>
      <c r="AR27" s="422">
        <f t="shared" si="7"/>
        <v>0</v>
      </c>
      <c r="AS27" s="422">
        <f t="shared" si="7"/>
        <v>0</v>
      </c>
      <c r="AT27" s="422">
        <f t="shared" si="7"/>
        <v>0</v>
      </c>
      <c r="AU27" s="422">
        <f t="shared" si="7"/>
        <v>0</v>
      </c>
      <c r="AV27" s="422">
        <f t="shared" si="7"/>
        <v>0</v>
      </c>
      <c r="AW27" s="422">
        <f t="shared" si="7"/>
        <v>0</v>
      </c>
      <c r="AX27" s="422">
        <f t="shared" si="7"/>
        <v>0</v>
      </c>
      <c r="AY27" s="422">
        <f t="shared" si="7"/>
        <v>0</v>
      </c>
      <c r="AZ27" s="422">
        <f t="shared" si="7"/>
        <v>0</v>
      </c>
      <c r="BA27" s="422">
        <f t="shared" si="7"/>
        <v>0</v>
      </c>
      <c r="BB27" s="422">
        <f t="shared" si="7"/>
        <v>0</v>
      </c>
      <c r="BC27" s="422">
        <f t="shared" si="7"/>
        <v>0</v>
      </c>
      <c r="BD27" s="422">
        <f t="shared" si="7"/>
        <v>-181330813.37777439</v>
      </c>
      <c r="BE27" s="422">
        <f t="shared" si="7"/>
        <v>0</v>
      </c>
      <c r="BF27" s="422">
        <f t="shared" si="7"/>
        <v>0</v>
      </c>
      <c r="BG27" s="422">
        <f t="shared" si="7"/>
        <v>0</v>
      </c>
      <c r="BH27" s="422">
        <f t="shared" si="7"/>
        <v>0</v>
      </c>
      <c r="BI27" s="422">
        <f t="shared" si="7"/>
        <v>0</v>
      </c>
      <c r="BJ27" s="422">
        <f t="shared" si="7"/>
        <v>0</v>
      </c>
      <c r="BK27" s="422">
        <f t="shared" si="7"/>
        <v>0</v>
      </c>
      <c r="BL27" s="422">
        <f t="shared" ref="BL27:BN27" si="8">SUM(BL22:BL26)</f>
        <v>0</v>
      </c>
      <c r="BM27" s="422">
        <f t="shared" si="8"/>
        <v>0</v>
      </c>
      <c r="BN27" s="422">
        <f t="shared" si="8"/>
        <v>0</v>
      </c>
      <c r="BO27" s="422">
        <f t="shared" si="7"/>
        <v>0</v>
      </c>
      <c r="BP27" s="315">
        <f t="shared" si="7"/>
        <v>-181084862.84014949</v>
      </c>
      <c r="BQ27" s="315">
        <f t="shared" si="7"/>
        <v>740340292.64995837</v>
      </c>
    </row>
    <row r="28" spans="1:77" x14ac:dyDescent="0.2">
      <c r="A28" s="282">
        <f t="shared" si="2"/>
        <v>16</v>
      </c>
      <c r="B28" s="246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4"/>
      <c r="AJ28" s="314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4"/>
      <c r="BQ28" s="314"/>
    </row>
    <row r="29" spans="1:77" x14ac:dyDescent="0.2">
      <c r="A29" s="282">
        <f t="shared" si="2"/>
        <v>17</v>
      </c>
      <c r="B29" s="2" t="s">
        <v>13</v>
      </c>
      <c r="C29" s="313">
        <f>+'[10]Allocated (CBR)'!B24</f>
        <v>127167992.89</v>
      </c>
      <c r="D29" s="313"/>
      <c r="E29" s="313"/>
      <c r="F29" s="313"/>
      <c r="G29" s="313"/>
      <c r="H29" s="313"/>
      <c r="I29" s="313"/>
      <c r="J29" s="313"/>
      <c r="K29" s="57">
        <f>'BGM-9 (3) Common Adj'!BJ16</f>
        <v>-43337.161375397118</v>
      </c>
      <c r="L29" s="313"/>
      <c r="M29" s="313"/>
      <c r="N29" s="313"/>
      <c r="O29" s="313"/>
      <c r="P29" s="313"/>
      <c r="Q29" s="313"/>
      <c r="R29" s="57">
        <f>'BGM-9 (3) Common Adj'!DN16</f>
        <v>7381.9615589678288</v>
      </c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09">
        <f t="shared" ref="AI29:AI43" si="9">SUM(D29:AH29)</f>
        <v>-35955.199816429289</v>
      </c>
      <c r="AJ29" s="314">
        <f t="shared" ref="AJ29:AJ43" si="10">+AI29+C29</f>
        <v>127132037.69018357</v>
      </c>
      <c r="AK29" s="313"/>
      <c r="AL29" s="313"/>
      <c r="AM29" s="313"/>
      <c r="AN29" s="313"/>
      <c r="AO29" s="313"/>
      <c r="AP29" s="313"/>
      <c r="AQ29" s="57">
        <f>+'BGM-9 (3) Common Adj'!DP16</f>
        <v>691614.88958714157</v>
      </c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>
        <f>+'BGM-9 (4) Electric Adj'!H27</f>
        <v>-18647860.411643222</v>
      </c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  <c r="BO29" s="313"/>
      <c r="BP29" s="309">
        <f t="shared" ref="BP29:BP43" si="11">SUM(AK29:BO29)</f>
        <v>-17956245.52205608</v>
      </c>
      <c r="BQ29" s="314">
        <f t="shared" ref="BQ29:BQ43" si="12">+BP29+AJ29</f>
        <v>109175792.16812748</v>
      </c>
    </row>
    <row r="30" spans="1:77" x14ac:dyDescent="0.2">
      <c r="A30" s="282">
        <f t="shared" si="2"/>
        <v>18</v>
      </c>
      <c r="B30" s="246" t="s">
        <v>14</v>
      </c>
      <c r="C30" s="316">
        <f>+'[10]Allocated (CBR)'!B25</f>
        <v>24439502.479999997</v>
      </c>
      <c r="D30" s="57"/>
      <c r="E30" s="57"/>
      <c r="F30" s="57"/>
      <c r="G30" s="57"/>
      <c r="H30" s="57"/>
      <c r="I30" s="57"/>
      <c r="J30" s="57"/>
      <c r="K30" s="57">
        <f>'BGM-9 (3) Common Adj'!BJ17</f>
        <v>-18706.718945487402</v>
      </c>
      <c r="L30" s="57"/>
      <c r="M30" s="57"/>
      <c r="N30" s="57"/>
      <c r="O30" s="57"/>
      <c r="P30" s="57"/>
      <c r="Q30" s="57"/>
      <c r="R30" s="57">
        <f>+'BGM-9 (3) Common Adj'!DN17</f>
        <v>6417.9413588624448</v>
      </c>
      <c r="S30" s="57"/>
      <c r="T30" s="57"/>
      <c r="U30" s="57"/>
      <c r="V30" s="57"/>
      <c r="W30" s="57"/>
      <c r="X30" s="57"/>
      <c r="Y30" s="57"/>
      <c r="Z30" s="57"/>
      <c r="AA30" s="57"/>
      <c r="AB30" s="57">
        <f>+'BGM-9 (4) Electric Adj'!AL17</f>
        <v>-107344.6766666667</v>
      </c>
      <c r="AC30" s="57"/>
      <c r="AD30" s="57"/>
      <c r="AE30" s="57"/>
      <c r="AF30" s="57"/>
      <c r="AG30" s="57"/>
      <c r="AH30" s="57"/>
      <c r="AI30" s="309">
        <f t="shared" si="9"/>
        <v>-119633.45425329165</v>
      </c>
      <c r="AJ30" s="309">
        <f t="shared" si="10"/>
        <v>24319869.025746707</v>
      </c>
      <c r="AK30" s="57"/>
      <c r="AL30" s="57"/>
      <c r="AM30" s="57"/>
      <c r="AN30" s="57"/>
      <c r="AO30" s="57"/>
      <c r="AP30" s="57"/>
      <c r="AQ30" s="57">
        <f>+'BGM-9 (3) Common Adj'!DP17</f>
        <v>329177.9771651458</v>
      </c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>
        <f>'BGM-9 (3) Common Adj'!HP14</f>
        <v>159208.47999999952</v>
      </c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309">
        <f t="shared" si="11"/>
        <v>488386.45716514532</v>
      </c>
      <c r="BQ30" s="309">
        <f t="shared" si="12"/>
        <v>24808255.482911851</v>
      </c>
    </row>
    <row r="31" spans="1:77" x14ac:dyDescent="0.2">
      <c r="A31" s="282">
        <f t="shared" si="2"/>
        <v>19</v>
      </c>
      <c r="B31" s="246" t="s">
        <v>15</v>
      </c>
      <c r="C31" s="316">
        <f>+'[10]Allocated (CBR)'!B26</f>
        <v>83251239.00999999</v>
      </c>
      <c r="D31" s="57"/>
      <c r="E31" s="57"/>
      <c r="F31" s="57"/>
      <c r="G31" s="57"/>
      <c r="H31" s="57"/>
      <c r="I31" s="57"/>
      <c r="J31" s="57"/>
      <c r="K31" s="57">
        <f>'BGM-9 (3) Common Adj'!BJ18</f>
        <v>-56877.492170206737</v>
      </c>
      <c r="L31" s="57"/>
      <c r="M31" s="57"/>
      <c r="N31" s="57"/>
      <c r="O31" s="57"/>
      <c r="P31" s="57"/>
      <c r="Q31" s="57"/>
      <c r="R31" s="57">
        <f>+'BGM-9 (3) Common Adj'!DN18</f>
        <v>5812.8265940360725</v>
      </c>
      <c r="S31" s="57"/>
      <c r="T31" s="57"/>
      <c r="U31" s="57"/>
      <c r="V31" s="57"/>
      <c r="W31" s="57"/>
      <c r="X31" s="57"/>
      <c r="Y31" s="57"/>
      <c r="Z31" s="57"/>
      <c r="AA31" s="57"/>
      <c r="AB31" s="57">
        <f>+'BGM-9 (4) Electric Adj'!AL15</f>
        <v>121269.80000000075</v>
      </c>
      <c r="AC31" s="57"/>
      <c r="AD31" s="57"/>
      <c r="AE31" s="57"/>
      <c r="AF31" s="57"/>
      <c r="AG31" s="57"/>
      <c r="AH31" s="57"/>
      <c r="AI31" s="309">
        <f t="shared" si="9"/>
        <v>70205.134423830081</v>
      </c>
      <c r="AJ31" s="309">
        <f t="shared" si="10"/>
        <v>83321444.144423828</v>
      </c>
      <c r="AK31" s="57"/>
      <c r="AL31" s="57"/>
      <c r="AM31" s="57"/>
      <c r="AN31" s="57"/>
      <c r="AO31" s="57"/>
      <c r="AP31" s="57"/>
      <c r="AQ31" s="57">
        <f>+'BGM-9 (3) Common Adj'!DP18</f>
        <v>869408.50621556863</v>
      </c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>
        <f>'BGM-9 (3) Common Adj'!HP15</f>
        <v>1377954.2199999988</v>
      </c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309">
        <f t="shared" si="11"/>
        <v>2247362.7262155674</v>
      </c>
      <c r="BQ31" s="309">
        <f t="shared" si="12"/>
        <v>85568806.870639399</v>
      </c>
    </row>
    <row r="32" spans="1:77" x14ac:dyDescent="0.2">
      <c r="A32" s="282">
        <f t="shared" si="2"/>
        <v>20</v>
      </c>
      <c r="B32" s="246" t="s">
        <v>16</v>
      </c>
      <c r="C32" s="316">
        <f>+'[10]Allocated (CBR)'!B27</f>
        <v>53199861.179999992</v>
      </c>
      <c r="D32" s="57">
        <f>'BGM-9 (3) Common Adj'!F42</f>
        <v>373453.32075531798</v>
      </c>
      <c r="E32" s="57">
        <f>'BGM-9 (3) Common Adj'!N20</f>
        <v>44745.039640000003</v>
      </c>
      <c r="F32" s="57"/>
      <c r="G32" s="57"/>
      <c r="H32" s="57">
        <f>+'BGM-9 (3) Common Adj'!AL31</f>
        <v>-1605619.9023454485</v>
      </c>
      <c r="I32" s="57"/>
      <c r="J32" s="57">
        <f>+'BGM-9 (3) Common Adj'!BB15</f>
        <v>-383738.93548899889</v>
      </c>
      <c r="K32" s="57">
        <f>'BGM-9 (3) Common Adj'!BJ19</f>
        <v>-22040.633999859798</v>
      </c>
      <c r="L32" s="57"/>
      <c r="M32" s="57"/>
      <c r="N32" s="57">
        <f>+'BGM-9 (3) Common Adj'!CH14</f>
        <v>803909.33835699933</v>
      </c>
      <c r="O32" s="57"/>
      <c r="P32" s="57"/>
      <c r="Q32" s="57"/>
      <c r="R32" s="57">
        <f>+'BGM-9 (3) Common Adj'!DN19</f>
        <v>3681.0816675275564</v>
      </c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309">
        <f t="shared" si="9"/>
        <v>-785610.69141446229</v>
      </c>
      <c r="AJ32" s="309">
        <f t="shared" si="10"/>
        <v>52414250.488585532</v>
      </c>
      <c r="AK32" s="57">
        <f>'BGM-9 (3) Common Adj'!H42</f>
        <v>-289777.14263137005</v>
      </c>
      <c r="AL32" s="57">
        <f>'BGM-9 (3) Common Adj'!P20</f>
        <v>77234.753134000115</v>
      </c>
      <c r="AM32" s="57"/>
      <c r="AN32" s="57"/>
      <c r="AO32" s="57"/>
      <c r="AP32" s="57"/>
      <c r="AQ32" s="57">
        <f>+'BGM-9 (3) Common Adj'!DP19</f>
        <v>344111.48429154046</v>
      </c>
      <c r="AR32" s="57"/>
      <c r="AS32" s="57"/>
      <c r="AT32" s="57"/>
      <c r="AU32" s="57"/>
      <c r="AV32" s="57"/>
      <c r="AW32" s="57"/>
      <c r="AX32" s="57"/>
      <c r="AY32" s="57">
        <f>'BGM-9 (3) Common Adj'!GR15</f>
        <v>-604216.168725</v>
      </c>
      <c r="AZ32" s="57"/>
      <c r="BA32" s="57"/>
      <c r="BB32" s="57">
        <f>'BGM-9 (3) Common Adj'!HP16</f>
        <v>146042.08000000007</v>
      </c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309">
        <f t="shared" si="11"/>
        <v>-326604.9939308294</v>
      </c>
      <c r="BQ32" s="309">
        <f t="shared" si="12"/>
        <v>52087645.4946547</v>
      </c>
      <c r="BY32" s="262"/>
    </row>
    <row r="33" spans="1:77" x14ac:dyDescent="0.2">
      <c r="A33" s="282">
        <f t="shared" si="2"/>
        <v>21</v>
      </c>
      <c r="B33" s="246" t="s">
        <v>17</v>
      </c>
      <c r="C33" s="316">
        <f>+'[10]Allocated (CBR)'!B28</f>
        <v>22140921.049999997</v>
      </c>
      <c r="D33" s="57"/>
      <c r="E33" s="57"/>
      <c r="F33" s="57"/>
      <c r="G33" s="57"/>
      <c r="H33" s="57">
        <f>+'BGM-9 (3) Common Adj'!AL40+'BGM-9 (3) Common Adj'!AL44</f>
        <v>-18123263</v>
      </c>
      <c r="I33" s="57"/>
      <c r="J33" s="57"/>
      <c r="K33" s="57">
        <f>'BGM-9 (3) Common Adj'!BJ20+'BGM-9 (3) Common Adj'!BJ21</f>
        <v>-3608.3649412231462</v>
      </c>
      <c r="L33" s="57"/>
      <c r="M33" s="57"/>
      <c r="N33" s="57"/>
      <c r="O33" s="57"/>
      <c r="P33" s="57"/>
      <c r="Q33" s="57"/>
      <c r="R33" s="57">
        <f>+'BGM-9 (3) Common Adj'!DN20+'BGM-9 (3) Common Adj'!DN21</f>
        <v>1631.5225314904237</v>
      </c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309">
        <f t="shared" si="9"/>
        <v>-18125239.842409734</v>
      </c>
      <c r="AJ33" s="309">
        <f t="shared" si="10"/>
        <v>4015681.2075902633</v>
      </c>
      <c r="AK33" s="57"/>
      <c r="AL33" s="57"/>
      <c r="AM33" s="57"/>
      <c r="AN33" s="57"/>
      <c r="AO33" s="57"/>
      <c r="AP33" s="57"/>
      <c r="AQ33" s="57">
        <f>+'BGM-9 (3) Common Adj'!DP20+'BGM-9 (3) Common Adj'!DP21</f>
        <v>67858.879361970816</v>
      </c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309">
        <f t="shared" si="11"/>
        <v>67858.879361970816</v>
      </c>
      <c r="BQ33" s="309">
        <f t="shared" si="12"/>
        <v>4083540.0869522342</v>
      </c>
      <c r="BY33" s="262"/>
    </row>
    <row r="34" spans="1:77" x14ac:dyDescent="0.2">
      <c r="A34" s="282">
        <f t="shared" si="2"/>
        <v>22</v>
      </c>
      <c r="B34" s="246" t="s">
        <v>18</v>
      </c>
      <c r="C34" s="316">
        <f>+'[10]Allocated (CBR)'!B29</f>
        <v>97087902.950000003</v>
      </c>
      <c r="D34" s="57"/>
      <c r="E34" s="57"/>
      <c r="F34" s="57"/>
      <c r="G34" s="57"/>
      <c r="H34" s="57">
        <f>+'BGM-9 (3) Common Adj'!AL37</f>
        <v>-97087902.950000003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309">
        <f t="shared" si="9"/>
        <v>-97087902.950000003</v>
      </c>
      <c r="AJ34" s="309">
        <f t="shared" si="10"/>
        <v>0</v>
      </c>
      <c r="AK34" s="57"/>
      <c r="AL34" s="57"/>
      <c r="AM34" s="57"/>
      <c r="AN34" s="57"/>
      <c r="AO34" s="57"/>
      <c r="AP34" s="57"/>
      <c r="AQ34" s="313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309">
        <f t="shared" si="11"/>
        <v>0</v>
      </c>
      <c r="BQ34" s="309">
        <f t="shared" si="12"/>
        <v>0</v>
      </c>
      <c r="BY34" s="262"/>
    </row>
    <row r="35" spans="1:77" x14ac:dyDescent="0.2">
      <c r="A35" s="282">
        <f t="shared" si="2"/>
        <v>23</v>
      </c>
      <c r="B35" s="246" t="s">
        <v>19</v>
      </c>
      <c r="C35" s="316">
        <f>+'[10]Allocated (CBR)'!B30</f>
        <v>124825410.95999999</v>
      </c>
      <c r="D35" s="57">
        <f>'BGM-9 (3) Common Adj'!F43</f>
        <v>88089.001239607955</v>
      </c>
      <c r="E35" s="57">
        <f>'BGM-9 (3) Common Adj'!N21</f>
        <v>10554.32</v>
      </c>
      <c r="F35" s="57"/>
      <c r="G35" s="57"/>
      <c r="H35" s="57">
        <f>+'BGM-9 (3) Common Adj'!AL32+'BGM-9 (3) Common Adj'!AL45</f>
        <v>-408082.83062400005</v>
      </c>
      <c r="I35" s="57">
        <f>+'BGM-9 (3) Common Adj'!AT16</f>
        <v>-84300.474512874614</v>
      </c>
      <c r="J35" s="57"/>
      <c r="K35" s="57">
        <f>+'BGM-9 (3) Common Adj'!BJ22</f>
        <v>-56643.756348991301</v>
      </c>
      <c r="L35" s="57">
        <f>+'BGM-9 (3) Common Adj'!BR14</f>
        <v>14061.997781991959</v>
      </c>
      <c r="M35" s="57">
        <f>+'BGM-9 (3) Common Adj'!BZ16</f>
        <v>-6710.549906840708</v>
      </c>
      <c r="N35" s="57"/>
      <c r="O35" s="57">
        <f>+'BGM-9 (3) Common Adj'!CP20</f>
        <v>628553.90760300006</v>
      </c>
      <c r="P35" s="57">
        <f>'BGM-9 (3) Common Adj'!CX15</f>
        <v>2184999.0024255933</v>
      </c>
      <c r="Q35" s="57">
        <f>'BGM-9 (3) Common Adj'!DF16</f>
        <v>-405001.75899837748</v>
      </c>
      <c r="R35" s="57">
        <f>+'BGM-9 (3) Common Adj'!DN22</f>
        <v>27562.31451934576</v>
      </c>
      <c r="S35" s="57">
        <f>+'BGM-9 (3) Common Adj'!DV28</f>
        <v>16653.918911919929</v>
      </c>
      <c r="T35" s="57">
        <f>'BGM-9 (3) Common Adj'!ED21</f>
        <v>30190.192556923255</v>
      </c>
      <c r="U35" s="57"/>
      <c r="V35" s="57"/>
      <c r="W35" s="57">
        <f>+'BGM-9 (3) Common Adj'!FZ29-'BGM-9 (3) Common Adj'!FZ22-'BGM-9 (3) Common Adj'!FZ17</f>
        <v>-1290076.1837477004</v>
      </c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309">
        <f t="shared" si="9"/>
        <v>749849.10089959786</v>
      </c>
      <c r="AJ35" s="309">
        <f t="shared" si="10"/>
        <v>125575260.06089959</v>
      </c>
      <c r="AK35" s="57">
        <f>'BGM-9 (3) Common Adj'!H43</f>
        <v>-68351.726060000001</v>
      </c>
      <c r="AL35" s="57">
        <f>'BGM-9 (3) Common Adj'!P21</f>
        <v>18217.891999999993</v>
      </c>
      <c r="AM35" s="57"/>
      <c r="AN35" s="57">
        <f>+'BGM-9 (3) Common Adj'!BT14</f>
        <v>-14061.997781991959</v>
      </c>
      <c r="AO35" s="57">
        <f>+'BGM-9 (3) Common Adj'!CB18</f>
        <v>6710.549906840708</v>
      </c>
      <c r="AP35" s="57">
        <f>'BGM-9 (3) Common Adj'!DH16</f>
        <v>560237.97633404168</v>
      </c>
      <c r="AQ35" s="57">
        <f>+'BGM-9 (3) Common Adj'!DP22</f>
        <v>1071660.7177337781</v>
      </c>
      <c r="AR35" s="57">
        <f>+'BGM-9 (3) Common Adj'!DX28</f>
        <v>263515.60003291816</v>
      </c>
      <c r="AS35" s="57">
        <f>'BGM-9 (3) Common Adj'!EF21</f>
        <v>874996.06141313724</v>
      </c>
      <c r="AT35" s="57"/>
      <c r="AU35" s="57"/>
      <c r="AV35" s="57"/>
      <c r="AW35" s="57">
        <f>+'BGM-9 (3) Common Adj'!GB29</f>
        <v>-499429.07517434994</v>
      </c>
      <c r="AX35" s="57"/>
      <c r="AY35" s="57"/>
      <c r="AZ35" s="57"/>
      <c r="BA35" s="57"/>
      <c r="BB35" s="57">
        <f>'BGM-9 (3) Common Adj'!HP17</f>
        <v>1258.4533669999946</v>
      </c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309">
        <f t="shared" si="11"/>
        <v>2214754.4517713739</v>
      </c>
      <c r="BQ35" s="309">
        <f t="shared" si="12"/>
        <v>127790014.51267096</v>
      </c>
    </row>
    <row r="36" spans="1:77" x14ac:dyDescent="0.2">
      <c r="A36" s="282">
        <f t="shared" si="2"/>
        <v>24</v>
      </c>
      <c r="B36" s="246" t="s">
        <v>20</v>
      </c>
      <c r="C36" s="316">
        <f>+'[10]Allocated (CBR)'!B31</f>
        <v>341625259.95999998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>
        <f>+'BGM-9 (3) Common Adj'!ET14+'BGM-9 (3) Common Adj'!ET15+'BGM-9 (3) Common Adj'!ET19</f>
        <v>5699417.5924432306</v>
      </c>
      <c r="W36" s="57"/>
      <c r="X36" s="57"/>
      <c r="Y36" s="57"/>
      <c r="Z36" s="57">
        <f>'BGM-9 (4) Electric Adj'!V24</f>
        <v>-212064</v>
      </c>
      <c r="AA36" s="57"/>
      <c r="AB36" s="57"/>
      <c r="AC36" s="851">
        <f>'BGM-9 (4) Electric Adj'!BB33+'BGM-9 (4) Electric Adj'!BB18+'BGM-9 (4) Electric Adj'!BB34</f>
        <v>-29088809.659936626</v>
      </c>
      <c r="AD36" s="871">
        <v>-557156</v>
      </c>
      <c r="AE36" s="57"/>
      <c r="AF36" s="57"/>
      <c r="AG36" s="57"/>
      <c r="AH36" s="57"/>
      <c r="AI36" s="309">
        <f t="shared" si="9"/>
        <v>-24158612.067493394</v>
      </c>
      <c r="AJ36" s="309">
        <f t="shared" si="10"/>
        <v>317466647.8925066</v>
      </c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>
        <f>SUM('BGM-9 (3) Common Adj'!FS29:FS30)</f>
        <v>1288993.5097277348</v>
      </c>
      <c r="AW36" s="57">
        <f>+'BGM-9 (3) Common Adj'!GB22</f>
        <v>0</v>
      </c>
      <c r="AY36" s="57"/>
      <c r="AZ36" s="57"/>
      <c r="BA36" s="57">
        <v>0</v>
      </c>
      <c r="BB36" s="57"/>
      <c r="BD36" s="57"/>
      <c r="BE36" s="57"/>
      <c r="BF36" s="57"/>
      <c r="BG36" s="57"/>
      <c r="BH36" s="57"/>
      <c r="BI36" s="871">
        <v>0</v>
      </c>
      <c r="BK36" s="57"/>
      <c r="BL36" s="871">
        <v>-57000</v>
      </c>
      <c r="BM36" s="57"/>
      <c r="BN36" s="57"/>
      <c r="BO36" s="57"/>
      <c r="BP36" s="309">
        <f t="shared" si="11"/>
        <v>1231993.5097277348</v>
      </c>
      <c r="BQ36" s="309">
        <f t="shared" si="12"/>
        <v>318698641.40223432</v>
      </c>
    </row>
    <row r="37" spans="1:77" x14ac:dyDescent="0.2">
      <c r="A37" s="282">
        <f t="shared" si="2"/>
        <v>25</v>
      </c>
      <c r="B37" s="246" t="s">
        <v>21</v>
      </c>
      <c r="C37" s="316">
        <f>+'[10]Allocated (CBR)'!B32</f>
        <v>75292958.060000002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>
        <f>+'BGM-9 (3) Common Adj'!ET16+'BGM-9 (3) Common Adj'!ET17+'BGM-9 (3) Common Adj'!ET20</f>
        <v>15699257.697837964</v>
      </c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309">
        <f t="shared" si="9"/>
        <v>15699257.697837964</v>
      </c>
      <c r="AJ37" s="309">
        <f t="shared" si="10"/>
        <v>90992215.757837966</v>
      </c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>
        <f>'BGM-9 (3) Common Adj'!GJ30</f>
        <v>2876916.4773086668</v>
      </c>
      <c r="AY37" s="57"/>
      <c r="AZ37" s="57"/>
      <c r="BA37" s="57"/>
      <c r="BB37" s="57"/>
      <c r="BC37" s="57">
        <v>0</v>
      </c>
      <c r="BD37" s="57"/>
      <c r="BE37" s="57"/>
      <c r="BF37" s="57"/>
      <c r="BG37" s="57"/>
      <c r="BH37" s="57">
        <f>'BGM-9 (4) Electric Adj'!BL25</f>
        <v>-5669283.3340000007</v>
      </c>
      <c r="BI37" s="57"/>
      <c r="BJ37" s="57">
        <f>'BGM-9 (4) Electric Adj'!CB24</f>
        <v>3090056.355</v>
      </c>
      <c r="BK37" s="57"/>
      <c r="BL37" s="57"/>
      <c r="BM37" s="57"/>
      <c r="BN37" s="57"/>
      <c r="BO37" s="57"/>
      <c r="BP37" s="309">
        <f t="shared" si="11"/>
        <v>297689.49830866605</v>
      </c>
      <c r="BQ37" s="309">
        <f t="shared" si="12"/>
        <v>91289905.25614664</v>
      </c>
    </row>
    <row r="38" spans="1:77" x14ac:dyDescent="0.2">
      <c r="A38" s="282">
        <f t="shared" si="2"/>
        <v>26</v>
      </c>
      <c r="B38" s="2" t="s">
        <v>22</v>
      </c>
      <c r="C38" s="316">
        <f>+'[10]Allocated (CBR)'!B33</f>
        <v>35645161.039999902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309">
        <f t="shared" si="9"/>
        <v>0</v>
      </c>
      <c r="AJ38" s="309">
        <f t="shared" si="10"/>
        <v>35645161.039999902</v>
      </c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702">
        <f>+'BGM-9 (4) Electric Adj'!AN21</f>
        <v>13521271.800000004</v>
      </c>
      <c r="BG38" s="702">
        <f>'BGM-9 (4) Electric Adj'!AV48+'BGM-9 (4) Electric Adj'!AV47</f>
        <v>-6016033.5165937655</v>
      </c>
      <c r="BH38" s="57"/>
      <c r="BI38" s="57"/>
      <c r="BJ38" s="57"/>
      <c r="BK38" s="57"/>
      <c r="BL38" s="57"/>
      <c r="BM38" s="57"/>
      <c r="BN38" s="57"/>
      <c r="BO38" s="57"/>
      <c r="BP38" s="309">
        <f t="shared" si="11"/>
        <v>7505238.283406239</v>
      </c>
      <c r="BQ38" s="309">
        <f t="shared" si="12"/>
        <v>43150399.323406145</v>
      </c>
    </row>
    <row r="39" spans="1:77" x14ac:dyDescent="0.2">
      <c r="A39" s="282">
        <f t="shared" si="2"/>
        <v>27</v>
      </c>
      <c r="B39" s="246" t="s">
        <v>23</v>
      </c>
      <c r="C39" s="316">
        <f>+'[10]Allocated (CBR)'!B34</f>
        <v>-21632953.829999994</v>
      </c>
      <c r="D39" s="57">
        <f>'BGM-9 (3) Common Adj'!F39</f>
        <v>31349866.02</v>
      </c>
      <c r="E39" s="57"/>
      <c r="F39" s="57"/>
      <c r="G39" s="57"/>
      <c r="H39" s="57">
        <f>+'BGM-9 (3) Common Adj'!AL42</f>
        <v>83311.960000000006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309">
        <f t="shared" si="9"/>
        <v>31433177.98</v>
      </c>
      <c r="AJ39" s="309">
        <f t="shared" si="10"/>
        <v>9800224.150000006</v>
      </c>
      <c r="AK39" s="57"/>
      <c r="AL39" s="57"/>
      <c r="AM39" s="57"/>
      <c r="AN39" s="57"/>
      <c r="AO39" s="57"/>
      <c r="AP39" s="57"/>
      <c r="AQ39" s="57"/>
      <c r="AR39" s="57"/>
      <c r="AS39" s="57"/>
      <c r="AT39" s="702">
        <f>+'BGM-9 (3) Common Adj'!FD17</f>
        <v>-3533963.9933333327</v>
      </c>
      <c r="AU39" s="702">
        <f>'BGM-9 (3) Common Adj'!FL15</f>
        <v>152047.66032121028</v>
      </c>
      <c r="AV39" s="57">
        <f>SUM('BGM-9 (3) Common Adj'!FS31:FS32)</f>
        <v>4868445.0880221995</v>
      </c>
      <c r="AW39" s="57"/>
      <c r="AX39" s="57">
        <f>'BGM-9 (3) Common Adj'!GJ31+'BGM-9 (3) Common Adj'!GJ32</f>
        <v>3681830.6018343112</v>
      </c>
      <c r="AY39" s="57"/>
      <c r="AZ39" s="57"/>
      <c r="BA39" s="57"/>
      <c r="BB39" s="57"/>
      <c r="BC39" s="57"/>
      <c r="BD39" s="57"/>
      <c r="BE39" s="57"/>
      <c r="BF39" s="57"/>
      <c r="BG39" s="702">
        <f>'BGM-9 (4) Electric Adj'!AV51-BG38</f>
        <v>-5503100.002442643</v>
      </c>
      <c r="BH39" s="57"/>
      <c r="BI39" s="57"/>
      <c r="BJ39" s="57"/>
      <c r="BK39" s="57"/>
      <c r="BL39" s="57"/>
      <c r="BM39" s="57"/>
      <c r="BN39" s="57"/>
      <c r="BO39" s="57"/>
      <c r="BP39" s="309">
        <f t="shared" si="11"/>
        <v>-334740.6455982551</v>
      </c>
      <c r="BQ39" s="309">
        <f t="shared" si="12"/>
        <v>9465483.5044017509</v>
      </c>
    </row>
    <row r="40" spans="1:77" x14ac:dyDescent="0.2">
      <c r="A40" s="282">
        <f t="shared" si="2"/>
        <v>28</v>
      </c>
      <c r="B40" s="155" t="s">
        <v>24</v>
      </c>
      <c r="C40" s="316">
        <f>+'[10]Allocated (CBR)'!B35</f>
        <v>-41661500.859999999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>
        <f>+'BGM-9 (4) Electric Adj'!AD15</f>
        <v>41661500.859999999</v>
      </c>
      <c r="AB40" s="57"/>
      <c r="AC40" s="57"/>
      <c r="AD40" s="57"/>
      <c r="AE40" s="57"/>
      <c r="AF40" s="57"/>
      <c r="AG40" s="57"/>
      <c r="AH40" s="57"/>
      <c r="AI40" s="309">
        <f t="shared" si="9"/>
        <v>41661500.859999999</v>
      </c>
      <c r="AJ40" s="309">
        <f t="shared" si="10"/>
        <v>0</v>
      </c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309">
        <f t="shared" si="11"/>
        <v>0</v>
      </c>
      <c r="BQ40" s="309">
        <f t="shared" si="12"/>
        <v>0</v>
      </c>
    </row>
    <row r="41" spans="1:77" x14ac:dyDescent="0.2">
      <c r="A41" s="282">
        <f t="shared" si="2"/>
        <v>29</v>
      </c>
      <c r="B41" s="246" t="s">
        <v>25</v>
      </c>
      <c r="C41" s="316">
        <f>+'[10]Allocated (CBR)'!B36</f>
        <v>234440433.30000001</v>
      </c>
      <c r="D41" s="57">
        <f>'BGM-9 (3) Common Adj'!F44</f>
        <v>1691573.0908041918</v>
      </c>
      <c r="E41" s="57">
        <f>'BGM-9 (3) Common Adj'!N22</f>
        <v>202674.60696</v>
      </c>
      <c r="F41" s="57"/>
      <c r="G41" s="57"/>
      <c r="H41" s="57">
        <f>+'BGM-9 (3) Common Adj'!AL33+'BGM-9 (3) Common Adj'!AL38+'BGM-9 (3) Common Adj'!AL39+'BGM-9 (3) Common Adj'!AL46</f>
        <v>-148546495.51061568</v>
      </c>
      <c r="I41" s="57"/>
      <c r="J41" s="57"/>
      <c r="K41" s="57">
        <f>+'BGM-9 (3) Common Adj'!BJ25</f>
        <v>-18951.694391689729</v>
      </c>
      <c r="L41" s="57">
        <f>+'BGM-9 (3) Common Adj'!BR15</f>
        <v>-104992.07986000087</v>
      </c>
      <c r="M41" s="57"/>
      <c r="N41" s="57"/>
      <c r="O41" s="57"/>
      <c r="P41" s="57"/>
      <c r="Q41" s="57"/>
      <c r="R41" s="57">
        <f>+'BGM-9 (3) Common Adj'!DN25</f>
        <v>19412.258474519269</v>
      </c>
      <c r="S41" s="57"/>
      <c r="T41" s="57"/>
      <c r="U41" s="57"/>
      <c r="V41" s="57"/>
      <c r="W41" s="57"/>
      <c r="X41" s="57">
        <f>+'BGM-9 (4) Electric Adj'!F33</f>
        <v>0</v>
      </c>
      <c r="Y41" s="57">
        <f>+'BGM-9 (4) Electric Adj'!N19</f>
        <v>86860.814999999944</v>
      </c>
      <c r="Z41" s="57"/>
      <c r="AA41" s="57"/>
      <c r="AB41" s="57"/>
      <c r="AC41" s="57"/>
      <c r="AD41" s="57"/>
      <c r="AE41" s="57"/>
      <c r="AF41" s="57"/>
      <c r="AG41" s="57"/>
      <c r="AH41" s="57"/>
      <c r="AI41" s="309">
        <f t="shared" si="9"/>
        <v>-146669918.51362866</v>
      </c>
      <c r="AJ41" s="309">
        <f t="shared" si="10"/>
        <v>87770514.78637135</v>
      </c>
      <c r="AK41" s="57">
        <f>'BGM-9 (3) Common Adj'!H44</f>
        <v>-1312558.1955301801</v>
      </c>
      <c r="AL41" s="57">
        <f>'BGM-9 (3) Common Adj'!P22</f>
        <v>349838.18007599935</v>
      </c>
      <c r="AM41" s="57"/>
      <c r="AN41" s="57">
        <f>+'BGM-9 (3) Common Adj'!BT15</f>
        <v>104992.07986000087</v>
      </c>
      <c r="AO41" s="57"/>
      <c r="AP41" s="57"/>
      <c r="AQ41" s="57">
        <f>+'BGM-9 (3) Common Adj'!DP25</f>
        <v>182188.09454757578</v>
      </c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>
        <f>+'BGM-9 (4) Electric Adj'!H33</f>
        <v>56751.381884112845</v>
      </c>
      <c r="BE41" s="57">
        <f>+'BGM-9 (4) Electric Adj'!P19</f>
        <v>-695900.58093892643</v>
      </c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309">
        <f t="shared" si="11"/>
        <v>-1314689.0401014178</v>
      </c>
      <c r="BQ41" s="309">
        <f t="shared" si="12"/>
        <v>86455825.746269926</v>
      </c>
    </row>
    <row r="42" spans="1:77" x14ac:dyDescent="0.2">
      <c r="A42" s="282">
        <f t="shared" si="2"/>
        <v>30</v>
      </c>
      <c r="B42" s="246" t="s">
        <v>26</v>
      </c>
      <c r="C42" s="316">
        <f>+'[10]Allocated (CBR)'!B37</f>
        <v>22841555.030000001</v>
      </c>
      <c r="D42" s="57">
        <f>'BGM-9 (3) Common Adj'!F49</f>
        <v>2213719.029271021</v>
      </c>
      <c r="E42" s="57">
        <f>'BGM-9 (3) Common Adj'!N27</f>
        <v>1054029.0670139999</v>
      </c>
      <c r="F42" s="57">
        <f>+'BGM-9 (3) Common Adj'!V14</f>
        <v>96903246.731522843</v>
      </c>
      <c r="G42" s="57">
        <f>+'BGM-9 (3) Common Adj'!AD21</f>
        <v>-32607563.054273214</v>
      </c>
      <c r="H42" s="57">
        <f>+'BGM-9 (3) Common Adj'!AL50</f>
        <v>-519945.70634724048</v>
      </c>
      <c r="I42" s="57">
        <f>+'BGM-9 (3) Common Adj'!AT19</f>
        <v>17703.099647703668</v>
      </c>
      <c r="J42" s="57">
        <f>+'BGM-9 (3) Common Adj'!BB18</f>
        <v>80585.176452689804</v>
      </c>
      <c r="K42" s="57">
        <f>+'BGM-9 (3) Common Adj'!BJ28</f>
        <v>48949.980307859136</v>
      </c>
      <c r="L42" s="57">
        <f>+'BGM-9 (3) Common Adj'!BR19</f>
        <v>19095.317236382514</v>
      </c>
      <c r="M42" s="57">
        <f>+'BGM-9 (3) Common Adj'!BZ20</f>
        <v>1409.2154804365487</v>
      </c>
      <c r="N42" s="57"/>
      <c r="O42" s="57">
        <f>+'BGM-9 (3) Common Adj'!CP22</f>
        <v>-131996.32059662999</v>
      </c>
      <c r="P42" s="57">
        <f>+'BGM-9 (3) Common Adj'!CX17</f>
        <v>-458849.79050937446</v>
      </c>
      <c r="Q42" s="57">
        <f>'BGM-9 (3) Common Adj'!DF18</f>
        <v>85050.369389659259</v>
      </c>
      <c r="R42" s="57">
        <f>+'BGM-9 (3) Common Adj'!DN29</f>
        <v>-16430.619345331426</v>
      </c>
      <c r="S42" s="57">
        <f>+'BGM-9 (3) Common Adj'!DV32</f>
        <v>-3497.3229715031848</v>
      </c>
      <c r="T42" s="57">
        <f>'BGM-9 (3) Common Adj'!ED23</f>
        <v>-6339.9404369538834</v>
      </c>
      <c r="U42" s="57"/>
      <c r="V42" s="57">
        <f>'BGM-9 (3) Common Adj'!ET25</f>
        <v>-4493721.8109590504</v>
      </c>
      <c r="W42" s="57">
        <f>+'BGM-9 (3) Common Adj'!FZ31</f>
        <v>90617.111287017076</v>
      </c>
      <c r="X42" s="57">
        <f>'BGM-9 (4) Electric Adj'!F36</f>
        <v>-2017478.0250371571</v>
      </c>
      <c r="Y42" s="57">
        <f>+'BGM-9 (4) Electric Adj'!N21</f>
        <v>-18240.771149999986</v>
      </c>
      <c r="Z42" s="57">
        <f>'BGM-9 (4) Electric Adj'!V26</f>
        <v>44533.439999999995</v>
      </c>
      <c r="AA42" s="57"/>
      <c r="AB42" s="57">
        <f>'BGM-9 (4) Electric Adj'!AL25</f>
        <v>-2924.2759000001502</v>
      </c>
      <c r="AC42" s="97">
        <f>'BGM-9 (4) Electric Adj'!BB35+'BGM-9 (4) Electric Adj'!BB36+'BGM-9 (4) Electric Adj'!BB19+'BGM-9 (4) Electric Adj'!BB20</f>
        <v>9504613.4442606475</v>
      </c>
      <c r="AD42" s="871">
        <v>125331.31936176808</v>
      </c>
      <c r="AE42" s="57"/>
      <c r="AF42" s="57"/>
      <c r="AG42" s="57"/>
      <c r="AH42" s="57"/>
      <c r="AI42" s="309">
        <f t="shared" si="9"/>
        <v>69911895.663705572</v>
      </c>
      <c r="AJ42" s="309">
        <f t="shared" si="10"/>
        <v>92753450.693705574</v>
      </c>
      <c r="AK42" s="57">
        <f>'BGM-9 (3) Common Adj'!H49</f>
        <v>-6826086.9528134745</v>
      </c>
      <c r="AL42" s="57">
        <f>'BGM-9 (3) Common Adj'!P27</f>
        <v>1819367.5867059231</v>
      </c>
      <c r="AM42" s="57">
        <f>+'BGM-9 (3) Common Adj'!AF21</f>
        <v>963208.3167736521</v>
      </c>
      <c r="AN42" s="57">
        <f>+'BGM-9 (3) Common Adj'!BT19</f>
        <v>-19095.31723638187</v>
      </c>
      <c r="AO42" s="57">
        <f>+'BGM-9 (3) Common Adj'!CB20</f>
        <v>-1409.2154804365487</v>
      </c>
      <c r="AP42" s="57">
        <f>'BGM-9 (3) Common Adj'!DH18</f>
        <v>-117649.97503014863</v>
      </c>
      <c r="AQ42" s="57">
        <f>+'BGM-9 (3) Common Adj'!DP29</f>
        <v>-798413.9281708037</v>
      </c>
      <c r="AR42" s="57">
        <f>+'BGM-9 (3) Common Adj'!DX32</f>
        <v>-55338.276006912813</v>
      </c>
      <c r="AS42" s="57">
        <f>'BGM-9 (3) Common Adj'!EF23</f>
        <v>-183749.17289675883</v>
      </c>
      <c r="AT42" s="57">
        <f>+'BGM-9 (3) Common Adj'!FD19</f>
        <v>742132.43859999988</v>
      </c>
      <c r="AU42" s="57">
        <f>'BGM-9 (3) Common Adj'!FL18</f>
        <v>-31930.008667454156</v>
      </c>
      <c r="AV42" s="57">
        <f>+'BGM-9 (3) Common Adj'!FS37</f>
        <v>-1293062.105527486</v>
      </c>
      <c r="AW42" s="57">
        <f>+'BGM-9 (3) Common Adj'!GB31</f>
        <v>104880.10578661348</v>
      </c>
      <c r="AX42" s="57">
        <f>'BGM-9 (3) Common Adj'!GJ37</f>
        <v>-1377336.8866200254</v>
      </c>
      <c r="AY42" s="57">
        <f>'BGM-9 (3) Common Adj'!GR19</f>
        <v>126885.39543224999</v>
      </c>
      <c r="AZ42" s="57"/>
      <c r="BA42" s="57">
        <v>0</v>
      </c>
      <c r="BB42" s="57">
        <f>'BGM-9 (3) Common Adj'!HP20</f>
        <v>-353737.27900707163</v>
      </c>
      <c r="BC42" s="57">
        <v>0</v>
      </c>
      <c r="BD42" s="57">
        <f>+'BGM-9 (4) Electric Adj'!H36</f>
        <v>728228.91190268379</v>
      </c>
      <c r="BE42" s="57">
        <f>+'BGM-9 (4) Electric Adj'!P21</f>
        <v>146139.12199717454</v>
      </c>
      <c r="BF42" s="57">
        <f>+'BGM-9 (4) Electric Adj'!AN25</f>
        <v>-2839467.0780000007</v>
      </c>
      <c r="BG42" s="57">
        <f>'BGM-9 (4) Electric Adj'!AV53</f>
        <v>2419018.0389976455</v>
      </c>
      <c r="BH42" s="57">
        <f>'BGM-9 (4) Electric Adj'!BI27</f>
        <v>1190549.5001400001</v>
      </c>
      <c r="BI42" s="57">
        <f>'BGM-9 (4) Electric Adj'!BT28</f>
        <v>0</v>
      </c>
      <c r="BJ42" s="57">
        <f>'BGM-9 (4) Electric Adj'!CB28</f>
        <v>-648911.83455000003</v>
      </c>
      <c r="BK42" s="57"/>
      <c r="BL42" s="871">
        <v>11970</v>
      </c>
      <c r="BM42" s="57"/>
      <c r="BN42" s="57"/>
      <c r="BO42" s="57"/>
      <c r="BP42" s="309">
        <f t="shared" si="11"/>
        <v>-6293808.6136710122</v>
      </c>
      <c r="BQ42" s="309">
        <f t="shared" si="12"/>
        <v>86459642.080034554</v>
      </c>
    </row>
    <row r="43" spans="1:77" x14ac:dyDescent="0.2">
      <c r="A43" s="282">
        <f t="shared" si="2"/>
        <v>31</v>
      </c>
      <c r="B43" s="155" t="s">
        <v>27</v>
      </c>
      <c r="C43" s="316">
        <f>+'[10]Allocated (CBR)'!B38</f>
        <v>38907707.560000002</v>
      </c>
      <c r="D43" s="57"/>
      <c r="E43" s="57"/>
      <c r="F43" s="57">
        <f>+'BGM-9 (3) Common Adj'!V15+'BGM-9 (3) Common Adj'!U16</f>
        <v>-88726243.506035015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>
        <f>+'BGM-9 (4) Electric Adj'!AD21</f>
        <v>-8748915.1805999987</v>
      </c>
      <c r="AB43" s="57"/>
      <c r="AC43" s="57"/>
      <c r="AD43" s="57"/>
      <c r="AE43" s="57"/>
      <c r="AF43" s="57"/>
      <c r="AG43" s="57"/>
      <c r="AH43" s="57"/>
      <c r="AI43" s="309">
        <f t="shared" si="9"/>
        <v>-97475158.686635017</v>
      </c>
      <c r="AJ43" s="309">
        <f t="shared" si="10"/>
        <v>-58567451.126635015</v>
      </c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702">
        <f>'BGM-9 (3) Common Adj'!GY19</f>
        <v>-9006372.2399999984</v>
      </c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309">
        <f t="shared" si="11"/>
        <v>-9006372.2399999984</v>
      </c>
      <c r="BQ43" s="309">
        <f t="shared" si="12"/>
        <v>-67573823.36663501</v>
      </c>
    </row>
    <row r="44" spans="1:77" x14ac:dyDescent="0.2">
      <c r="A44" s="282">
        <f t="shared" si="2"/>
        <v>32</v>
      </c>
      <c r="B44" s="246" t="s">
        <v>28</v>
      </c>
      <c r="C44" s="422">
        <f t="shared" ref="C44:AK44" si="13">SUM(C27:C43)</f>
        <v>2051942496.7299988</v>
      </c>
      <c r="D44" s="422">
        <f t="shared" si="13"/>
        <v>35716700.462070137</v>
      </c>
      <c r="E44" s="422">
        <f t="shared" si="13"/>
        <v>1312003.0336139998</v>
      </c>
      <c r="F44" s="422">
        <f t="shared" si="13"/>
        <v>8177003.2254878283</v>
      </c>
      <c r="G44" s="422">
        <f t="shared" si="13"/>
        <v>-32607563.054273214</v>
      </c>
      <c r="H44" s="422">
        <f t="shared" si="13"/>
        <v>-188754338.42993236</v>
      </c>
      <c r="I44" s="422">
        <f t="shared" si="13"/>
        <v>-66597.374865170947</v>
      </c>
      <c r="J44" s="422">
        <f t="shared" si="13"/>
        <v>-303153.75903630909</v>
      </c>
      <c r="K44" s="422">
        <f t="shared" si="13"/>
        <v>-184145.16401528011</v>
      </c>
      <c r="L44" s="422">
        <f t="shared" si="13"/>
        <v>-71834.764841626398</v>
      </c>
      <c r="M44" s="422">
        <f t="shared" si="13"/>
        <v>-5301.3344264041589</v>
      </c>
      <c r="N44" s="422">
        <f t="shared" si="13"/>
        <v>803909.33835699933</v>
      </c>
      <c r="O44" s="422">
        <f t="shared" si="13"/>
        <v>496557.58700637007</v>
      </c>
      <c r="P44" s="422">
        <f t="shared" si="13"/>
        <v>1726149.211916219</v>
      </c>
      <c r="Q44" s="422">
        <f t="shared" si="13"/>
        <v>-319951.38960871822</v>
      </c>
      <c r="R44" s="422">
        <f t="shared" si="13"/>
        <v>61810.425156236211</v>
      </c>
      <c r="S44" s="422">
        <f t="shared" si="13"/>
        <v>13156.595940416744</v>
      </c>
      <c r="T44" s="422">
        <f t="shared" si="13"/>
        <v>23850.252119969373</v>
      </c>
      <c r="U44" s="422">
        <f t="shared" si="13"/>
        <v>0</v>
      </c>
      <c r="V44" s="422">
        <f t="shared" si="13"/>
        <v>16904953.479322143</v>
      </c>
      <c r="W44" s="422">
        <f t="shared" si="13"/>
        <v>-1199459.0724606833</v>
      </c>
      <c r="X44" s="422">
        <f t="shared" si="13"/>
        <v>7589560.1894254955</v>
      </c>
      <c r="Y44" s="422">
        <f t="shared" si="13"/>
        <v>68620.043849999958</v>
      </c>
      <c r="Z44" s="422">
        <f t="shared" si="13"/>
        <v>-167530.56</v>
      </c>
      <c r="AA44" s="422">
        <f t="shared" si="13"/>
        <v>32912585.679400001</v>
      </c>
      <c r="AB44" s="422">
        <f t="shared" si="13"/>
        <v>11000.8474333339</v>
      </c>
      <c r="AC44" s="422">
        <f t="shared" si="13"/>
        <v>-19584196.21567598</v>
      </c>
      <c r="AD44" s="422">
        <f t="shared" ref="AD44:AF44" si="14">SUM(AD27:AD43)</f>
        <v>-431824.68063823192</v>
      </c>
      <c r="AE44" s="422">
        <f t="shared" si="14"/>
        <v>0</v>
      </c>
      <c r="AF44" s="422">
        <f t="shared" si="14"/>
        <v>0</v>
      </c>
      <c r="AG44" s="422">
        <f t="shared" si="13"/>
        <v>0</v>
      </c>
      <c r="AH44" s="422">
        <f t="shared" si="13"/>
        <v>0</v>
      </c>
      <c r="AI44" s="315">
        <f t="shared" si="13"/>
        <v>-137878035.42867482</v>
      </c>
      <c r="AJ44" s="315">
        <f t="shared" si="13"/>
        <v>1914064461.3013239</v>
      </c>
      <c r="AK44" s="422">
        <f t="shared" si="13"/>
        <v>-8496774.0170350242</v>
      </c>
      <c r="AL44" s="422">
        <f t="shared" ref="AL44:BQ44" si="15">SUM(AL27:AL43)</f>
        <v>2264658.4119159225</v>
      </c>
      <c r="AM44" s="422">
        <f t="shared" si="15"/>
        <v>963208.3167736521</v>
      </c>
      <c r="AN44" s="422">
        <f t="shared" si="15"/>
        <v>71834.764841627039</v>
      </c>
      <c r="AO44" s="422">
        <f t="shared" si="15"/>
        <v>5301.3344264041589</v>
      </c>
      <c r="AP44" s="422">
        <f t="shared" si="15"/>
        <v>442588.00130389305</v>
      </c>
      <c r="AQ44" s="422">
        <f t="shared" si="15"/>
        <v>3003557.1583568119</v>
      </c>
      <c r="AR44" s="422">
        <f t="shared" si="15"/>
        <v>208177.32402600534</v>
      </c>
      <c r="AS44" s="422">
        <f t="shared" si="15"/>
        <v>691246.88851637836</v>
      </c>
      <c r="AT44" s="422">
        <f t="shared" si="15"/>
        <v>-2791831.5547333327</v>
      </c>
      <c r="AU44" s="422">
        <f t="shared" si="15"/>
        <v>120117.65165375613</v>
      </c>
      <c r="AV44" s="422">
        <f t="shared" si="15"/>
        <v>4864376.4922224488</v>
      </c>
      <c r="AW44" s="422">
        <f t="shared" si="15"/>
        <v>-394548.96938773646</v>
      </c>
      <c r="AX44" s="422">
        <f t="shared" si="15"/>
        <v>5181410.1925229533</v>
      </c>
      <c r="AY44" s="422">
        <f t="shared" si="15"/>
        <v>-477330.77329275</v>
      </c>
      <c r="AZ44" s="422">
        <f t="shared" si="15"/>
        <v>-9006372.2399999984</v>
      </c>
      <c r="BA44" s="422">
        <f t="shared" si="15"/>
        <v>0</v>
      </c>
      <c r="BB44" s="422">
        <f t="shared" si="15"/>
        <v>1330725.9543599267</v>
      </c>
      <c r="BC44" s="422">
        <f t="shared" si="15"/>
        <v>0</v>
      </c>
      <c r="BD44" s="422">
        <f t="shared" si="15"/>
        <v>-199193693.49563083</v>
      </c>
      <c r="BE44" s="422">
        <f t="shared" si="15"/>
        <v>-549761.45894175186</v>
      </c>
      <c r="BF44" s="422">
        <f t="shared" si="15"/>
        <v>10681804.722000003</v>
      </c>
      <c r="BG44" s="422">
        <f t="shared" si="15"/>
        <v>-9100115.4800387621</v>
      </c>
      <c r="BH44" s="422">
        <f t="shared" si="15"/>
        <v>-4478733.8338600006</v>
      </c>
      <c r="BI44" s="422">
        <f t="shared" si="15"/>
        <v>0</v>
      </c>
      <c r="BJ44" s="422">
        <f t="shared" si="15"/>
        <v>2441144.5204499997</v>
      </c>
      <c r="BK44" s="422">
        <f t="shared" si="15"/>
        <v>0</v>
      </c>
      <c r="BL44" s="422">
        <f t="shared" ref="BL44:BN44" si="16">SUM(BL27:BL43)</f>
        <v>-45030</v>
      </c>
      <c r="BM44" s="422">
        <f t="shared" si="16"/>
        <v>0</v>
      </c>
      <c r="BN44" s="422">
        <f t="shared" si="16"/>
        <v>0</v>
      </c>
      <c r="BO44" s="422">
        <f t="shared" si="15"/>
        <v>0</v>
      </c>
      <c r="BP44" s="315">
        <f t="shared" si="15"/>
        <v>-202264040.08955038</v>
      </c>
      <c r="BQ44" s="315">
        <f t="shared" si="15"/>
        <v>1711800421.2117732</v>
      </c>
    </row>
    <row r="45" spans="1:77" x14ac:dyDescent="0.2">
      <c r="A45" s="282">
        <f t="shared" si="2"/>
        <v>33</v>
      </c>
      <c r="B45" s="155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8"/>
      <c r="AJ45" s="318"/>
      <c r="AK45" s="317"/>
      <c r="AL45" s="317"/>
      <c r="AM45" s="317"/>
      <c r="AN45" s="317">
        <f>+L45</f>
        <v>0</v>
      </c>
      <c r="AO45" s="317">
        <f>+M45</f>
        <v>0</v>
      </c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7"/>
      <c r="BC45" s="317"/>
      <c r="BD45" s="317"/>
      <c r="BE45" s="317"/>
      <c r="BF45" s="317"/>
      <c r="BG45" s="317"/>
      <c r="BH45" s="317"/>
      <c r="BI45" s="317"/>
      <c r="BJ45" s="317"/>
      <c r="BK45" s="317"/>
      <c r="BL45" s="317"/>
      <c r="BM45" s="317"/>
      <c r="BN45" s="317"/>
      <c r="BO45" s="317"/>
      <c r="BP45" s="318"/>
      <c r="BQ45" s="318"/>
    </row>
    <row r="46" spans="1:77" ht="13.5" thickBot="1" x14ac:dyDescent="0.25">
      <c r="A46" s="282">
        <f t="shared" ref="A46:A64" si="17">A45+1</f>
        <v>34</v>
      </c>
      <c r="B46" s="155" t="s">
        <v>29</v>
      </c>
      <c r="C46" s="319">
        <f t="shared" ref="C46:AK46" si="18">+C18-C44</f>
        <v>391140691.10000062</v>
      </c>
      <c r="D46" s="319">
        <f t="shared" si="18"/>
        <v>8327800.1577338427</v>
      </c>
      <c r="E46" s="319">
        <f t="shared" si="18"/>
        <v>3965156.9663860002</v>
      </c>
      <c r="F46" s="319">
        <f t="shared" si="18"/>
        <v>-8177003.2254878283</v>
      </c>
      <c r="G46" s="319">
        <f t="shared" si="18"/>
        <v>32607563.054273214</v>
      </c>
      <c r="H46" s="319">
        <f t="shared" si="18"/>
        <v>-1955986.2286396027</v>
      </c>
      <c r="I46" s="319">
        <f t="shared" si="18"/>
        <v>66597.374865170947</v>
      </c>
      <c r="J46" s="319">
        <f t="shared" si="18"/>
        <v>303153.75903630909</v>
      </c>
      <c r="K46" s="319">
        <f t="shared" si="18"/>
        <v>184145.16401528011</v>
      </c>
      <c r="L46" s="319">
        <f t="shared" si="18"/>
        <v>71834.764841626398</v>
      </c>
      <c r="M46" s="319">
        <f t="shared" si="18"/>
        <v>5301.3344264041589</v>
      </c>
      <c r="N46" s="319">
        <f t="shared" si="18"/>
        <v>-803909.33835699933</v>
      </c>
      <c r="O46" s="319">
        <f t="shared" si="18"/>
        <v>-496557.58700637007</v>
      </c>
      <c r="P46" s="319">
        <f t="shared" si="18"/>
        <v>-1726149.211916219</v>
      </c>
      <c r="Q46" s="319">
        <f t="shared" si="18"/>
        <v>319951.38960871822</v>
      </c>
      <c r="R46" s="319">
        <f t="shared" si="18"/>
        <v>-61810.425156236211</v>
      </c>
      <c r="S46" s="319">
        <f t="shared" si="18"/>
        <v>-13156.595940416744</v>
      </c>
      <c r="T46" s="319">
        <f t="shared" si="18"/>
        <v>-23850.252119969373</v>
      </c>
      <c r="U46" s="319">
        <f t="shared" si="18"/>
        <v>0</v>
      </c>
      <c r="V46" s="319">
        <f t="shared" si="18"/>
        <v>-16904953.479322143</v>
      </c>
      <c r="W46" s="319">
        <f t="shared" si="18"/>
        <v>340892.94246068329</v>
      </c>
      <c r="X46" s="319">
        <f t="shared" si="18"/>
        <v>-7589560.1894254955</v>
      </c>
      <c r="Y46" s="319">
        <f t="shared" si="18"/>
        <v>-68620.043849999958</v>
      </c>
      <c r="Z46" s="319">
        <f t="shared" si="18"/>
        <v>167530.56</v>
      </c>
      <c r="AA46" s="319">
        <f t="shared" si="18"/>
        <v>-32912585.679400001</v>
      </c>
      <c r="AB46" s="319">
        <f t="shared" si="18"/>
        <v>-11000.8474333339</v>
      </c>
      <c r="AC46" s="319">
        <f t="shared" si="18"/>
        <v>19584196.21567598</v>
      </c>
      <c r="AD46" s="319">
        <f t="shared" si="18"/>
        <v>431824.68063823192</v>
      </c>
      <c r="AE46" s="319">
        <f t="shared" si="18"/>
        <v>0</v>
      </c>
      <c r="AF46" s="319">
        <f t="shared" si="18"/>
        <v>0</v>
      </c>
      <c r="AG46" s="319">
        <f t="shared" si="18"/>
        <v>0</v>
      </c>
      <c r="AH46" s="319">
        <f t="shared" si="18"/>
        <v>0</v>
      </c>
      <c r="AI46" s="320">
        <f t="shared" si="18"/>
        <v>-4369194.7400931716</v>
      </c>
      <c r="AJ46" s="320">
        <f t="shared" si="18"/>
        <v>386771496.3599081</v>
      </c>
      <c r="AK46" s="319">
        <f t="shared" si="18"/>
        <v>-25679089.012964979</v>
      </c>
      <c r="AL46" s="319">
        <f t="shared" ref="AL46:BQ46" si="19">+AL18-AL44</f>
        <v>6844287.5880840775</v>
      </c>
      <c r="AM46" s="319">
        <f t="shared" si="19"/>
        <v>-963208.3167736521</v>
      </c>
      <c r="AN46" s="319">
        <f t="shared" si="19"/>
        <v>-71834.764841627039</v>
      </c>
      <c r="AO46" s="319">
        <f t="shared" si="19"/>
        <v>-5301.3344264041589</v>
      </c>
      <c r="AP46" s="319">
        <f t="shared" si="19"/>
        <v>-442588.00130389305</v>
      </c>
      <c r="AQ46" s="319">
        <f t="shared" si="19"/>
        <v>-3003557.1583568119</v>
      </c>
      <c r="AR46" s="319">
        <f t="shared" si="19"/>
        <v>-208177.32402600534</v>
      </c>
      <c r="AS46" s="319">
        <f t="shared" si="19"/>
        <v>-691246.88851637836</v>
      </c>
      <c r="AT46" s="319">
        <f t="shared" si="19"/>
        <v>2791831.5547333327</v>
      </c>
      <c r="AU46" s="319">
        <f t="shared" si="19"/>
        <v>-120117.65165375613</v>
      </c>
      <c r="AV46" s="319">
        <f t="shared" si="19"/>
        <v>-4864376.4922224488</v>
      </c>
      <c r="AW46" s="319">
        <f t="shared" si="19"/>
        <v>394548.96938773646</v>
      </c>
      <c r="AX46" s="319">
        <f t="shared" si="19"/>
        <v>-5181410.1925229533</v>
      </c>
      <c r="AY46" s="319">
        <f t="shared" si="19"/>
        <v>477330.77329275</v>
      </c>
      <c r="AZ46" s="319">
        <f t="shared" si="19"/>
        <v>9006372.2399999984</v>
      </c>
      <c r="BA46" s="319">
        <f t="shared" si="19"/>
        <v>0</v>
      </c>
      <c r="BB46" s="319">
        <f t="shared" si="19"/>
        <v>-1330725.9543599267</v>
      </c>
      <c r="BC46" s="319">
        <f t="shared" si="19"/>
        <v>0</v>
      </c>
      <c r="BD46" s="319">
        <f t="shared" si="19"/>
        <v>2739527.8114434183</v>
      </c>
      <c r="BE46" s="319">
        <f t="shared" si="19"/>
        <v>549761.45894175186</v>
      </c>
      <c r="BF46" s="319">
        <f t="shared" si="19"/>
        <v>-10681804.722000003</v>
      </c>
      <c r="BG46" s="319">
        <f t="shared" si="19"/>
        <v>9100115.4800387621</v>
      </c>
      <c r="BH46" s="319">
        <f t="shared" si="19"/>
        <v>4478733.8338600006</v>
      </c>
      <c r="BI46" s="319">
        <f t="shared" si="19"/>
        <v>0</v>
      </c>
      <c r="BJ46" s="319">
        <f t="shared" si="19"/>
        <v>-2441144.5204499997</v>
      </c>
      <c r="BK46" s="319">
        <f t="shared" si="19"/>
        <v>0</v>
      </c>
      <c r="BL46" s="319">
        <f t="shared" ref="BL46:BN46" si="20">+BL18-BL44</f>
        <v>45030</v>
      </c>
      <c r="BM46" s="319">
        <f t="shared" si="20"/>
        <v>0</v>
      </c>
      <c r="BN46" s="319">
        <f t="shared" si="20"/>
        <v>0</v>
      </c>
      <c r="BO46" s="319">
        <f t="shared" si="19"/>
        <v>0</v>
      </c>
      <c r="BP46" s="320">
        <f t="shared" si="19"/>
        <v>-19257042.624637008</v>
      </c>
      <c r="BQ46" s="320">
        <f t="shared" si="19"/>
        <v>367514453.73527145</v>
      </c>
    </row>
    <row r="47" spans="1:77" ht="15.75" thickTop="1" x14ac:dyDescent="0.25">
      <c r="A47" s="282">
        <f t="shared" si="17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289"/>
      <c r="AE47" s="289"/>
      <c r="AF47" s="289"/>
      <c r="AG47" s="145">
        <f>AG46</f>
        <v>0</v>
      </c>
      <c r="AH47" s="145">
        <f>AH46</f>
        <v>0</v>
      </c>
      <c r="AI47" s="307"/>
      <c r="AJ47" s="307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307"/>
      <c r="BQ47" s="307"/>
    </row>
    <row r="48" spans="1:77" s="262" customFormat="1" x14ac:dyDescent="0.2">
      <c r="A48" s="282">
        <f t="shared" si="17"/>
        <v>36</v>
      </c>
      <c r="B48" s="246" t="s">
        <v>30</v>
      </c>
      <c r="C48" s="313">
        <f t="shared" ref="C48:AG48" si="21">C59</f>
        <v>5208778506.3049917</v>
      </c>
      <c r="D48" s="313">
        <f t="shared" si="21"/>
        <v>0</v>
      </c>
      <c r="E48" s="313">
        <f t="shared" si="21"/>
        <v>0</v>
      </c>
      <c r="F48" s="313">
        <f t="shared" si="21"/>
        <v>32585069.952498022</v>
      </c>
      <c r="G48" s="313">
        <f t="shared" si="21"/>
        <v>0</v>
      </c>
      <c r="H48" s="313">
        <f t="shared" si="21"/>
        <v>0</v>
      </c>
      <c r="I48" s="313">
        <f t="shared" si="21"/>
        <v>0</v>
      </c>
      <c r="J48" s="313">
        <f t="shared" si="21"/>
        <v>0</v>
      </c>
      <c r="K48" s="313">
        <f t="shared" si="21"/>
        <v>0</v>
      </c>
      <c r="L48" s="313">
        <f t="shared" si="21"/>
        <v>0</v>
      </c>
      <c r="M48" s="313">
        <f t="shared" si="21"/>
        <v>0</v>
      </c>
      <c r="N48" s="313">
        <f t="shared" si="21"/>
        <v>0</v>
      </c>
      <c r="O48" s="313">
        <f t="shared" si="21"/>
        <v>0</v>
      </c>
      <c r="P48" s="313">
        <f t="shared" si="21"/>
        <v>0</v>
      </c>
      <c r="Q48" s="313">
        <f t="shared" si="21"/>
        <v>0</v>
      </c>
      <c r="R48" s="313">
        <f t="shared" si="21"/>
        <v>0</v>
      </c>
      <c r="S48" s="313">
        <f t="shared" si="21"/>
        <v>0</v>
      </c>
      <c r="T48" s="313">
        <f t="shared" si="21"/>
        <v>0</v>
      </c>
      <c r="U48" s="313">
        <f t="shared" si="21"/>
        <v>182606837.72800946</v>
      </c>
      <c r="V48" s="313">
        <f t="shared" si="21"/>
        <v>-16904953.479322143</v>
      </c>
      <c r="W48" s="313">
        <f t="shared" si="21"/>
        <v>0</v>
      </c>
      <c r="X48" s="313">
        <f t="shared" si="21"/>
        <v>0</v>
      </c>
      <c r="Y48" s="313">
        <f t="shared" si="21"/>
        <v>0</v>
      </c>
      <c r="Z48" s="313">
        <f t="shared" si="21"/>
        <v>-1615371.4300000002</v>
      </c>
      <c r="AA48" s="313">
        <f t="shared" si="21"/>
        <v>0</v>
      </c>
      <c r="AB48" s="313">
        <f t="shared" si="21"/>
        <v>0</v>
      </c>
      <c r="AC48" s="313">
        <f t="shared" si="21"/>
        <v>-118419108.82745513</v>
      </c>
      <c r="AD48" s="313">
        <f t="shared" si="21"/>
        <v>-5272400.7298989873</v>
      </c>
      <c r="AE48" s="313">
        <f t="shared" si="21"/>
        <v>-326274</v>
      </c>
      <c r="AF48" s="313">
        <f t="shared" si="21"/>
        <v>0</v>
      </c>
      <c r="AG48" s="313">
        <f t="shared" si="21"/>
        <v>0</v>
      </c>
      <c r="AH48" s="313">
        <f>'BGM-9 (4) Electric Adj'!DF84+'BGM-9 (4) Electric Adj'!DF104</f>
        <v>0</v>
      </c>
      <c r="AI48" s="314">
        <f t="shared" ref="AI48:BQ48" si="22">AI59</f>
        <v>72653799.213831171</v>
      </c>
      <c r="AJ48" s="314">
        <f t="shared" si="22"/>
        <v>5281432305.5188236</v>
      </c>
      <c r="AK48" s="313">
        <f t="shared" si="22"/>
        <v>0</v>
      </c>
      <c r="AL48" s="313">
        <f t="shared" si="22"/>
        <v>0</v>
      </c>
      <c r="AM48" s="313">
        <f t="shared" si="22"/>
        <v>0</v>
      </c>
      <c r="AN48" s="313">
        <f t="shared" si="22"/>
        <v>0</v>
      </c>
      <c r="AO48" s="313">
        <f t="shared" si="22"/>
        <v>0</v>
      </c>
      <c r="AP48" s="313">
        <f t="shared" si="22"/>
        <v>0</v>
      </c>
      <c r="AQ48" s="313">
        <f t="shared" si="22"/>
        <v>0</v>
      </c>
      <c r="AR48" s="313">
        <f t="shared" si="22"/>
        <v>0</v>
      </c>
      <c r="AS48" s="313">
        <f t="shared" si="22"/>
        <v>0</v>
      </c>
      <c r="AT48" s="313">
        <f t="shared" si="22"/>
        <v>0</v>
      </c>
      <c r="AU48" s="313">
        <f t="shared" si="22"/>
        <v>0</v>
      </c>
      <c r="AV48" s="313">
        <f t="shared" si="22"/>
        <v>28244978.592898086</v>
      </c>
      <c r="AW48" s="313">
        <f t="shared" si="22"/>
        <v>0</v>
      </c>
      <c r="AX48" s="313">
        <f t="shared" si="22"/>
        <v>11359234.266798822</v>
      </c>
      <c r="AY48" s="313">
        <f t="shared" si="22"/>
        <v>0</v>
      </c>
      <c r="AZ48" s="313">
        <f t="shared" si="22"/>
        <v>4503186.1200000085</v>
      </c>
      <c r="BA48" s="313">
        <f t="shared" si="22"/>
        <v>0</v>
      </c>
      <c r="BB48" s="313">
        <f t="shared" si="22"/>
        <v>0</v>
      </c>
      <c r="BC48" s="313">
        <f t="shared" si="22"/>
        <v>0</v>
      </c>
      <c r="BD48" s="313">
        <f t="shared" si="22"/>
        <v>0</v>
      </c>
      <c r="BE48" s="313">
        <f t="shared" si="22"/>
        <v>0</v>
      </c>
      <c r="BF48" s="313">
        <f t="shared" si="22"/>
        <v>0</v>
      </c>
      <c r="BG48" s="313">
        <f t="shared" si="22"/>
        <v>-23391891.903797138</v>
      </c>
      <c r="BH48" s="313">
        <f t="shared" si="22"/>
        <v>-3321469.9169705859</v>
      </c>
      <c r="BI48" s="313">
        <f t="shared" si="22"/>
        <v>0</v>
      </c>
      <c r="BJ48" s="313">
        <f t="shared" si="22"/>
        <v>4644660.6473233327</v>
      </c>
      <c r="BK48" s="313">
        <f t="shared" si="22"/>
        <v>-52488670</v>
      </c>
      <c r="BL48" s="313">
        <f t="shared" ref="BL48:BN48" si="23">BL59</f>
        <v>-550155.21</v>
      </c>
      <c r="BM48" s="313">
        <f t="shared" si="23"/>
        <v>0</v>
      </c>
      <c r="BN48" s="313">
        <f t="shared" si="23"/>
        <v>0</v>
      </c>
      <c r="BO48" s="313">
        <f t="shared" si="22"/>
        <v>0</v>
      </c>
      <c r="BP48" s="314">
        <f t="shared" si="22"/>
        <v>-31000127.40374748</v>
      </c>
      <c r="BQ48" s="314">
        <f t="shared" si="22"/>
        <v>5250432178.1150761</v>
      </c>
    </row>
    <row r="49" spans="1:69" ht="15" x14ac:dyDescent="0.25">
      <c r="A49" s="282">
        <f t="shared" si="17"/>
        <v>37</v>
      </c>
      <c r="B49" s="155"/>
      <c r="C49" s="289"/>
      <c r="D49" s="289"/>
      <c r="E49" s="289"/>
      <c r="F49"/>
      <c r="G49"/>
      <c r="H4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307"/>
      <c r="AJ49" s="307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725" t="s">
        <v>804</v>
      </c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307"/>
      <c r="BQ49" s="307"/>
    </row>
    <row r="50" spans="1:69" ht="15" x14ac:dyDescent="0.25">
      <c r="A50" s="282">
        <f t="shared" si="17"/>
        <v>38</v>
      </c>
      <c r="B50" s="246" t="s">
        <v>31</v>
      </c>
      <c r="C50" s="321">
        <f>+C46/C48</f>
        <v>7.5092594286077327E-2</v>
      </c>
      <c r="D50" s="57"/>
      <c r="E50" s="57"/>
      <c r="F50"/>
      <c r="G50"/>
      <c r="H50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309"/>
      <c r="AJ50" s="322">
        <f>+AJ46/AJ48</f>
        <v>7.3232311612846365E-2</v>
      </c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725" t="s">
        <v>805</v>
      </c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309"/>
      <c r="BQ50" s="322">
        <f>+BQ46/BQ48</f>
        <v>6.9996990965267639E-2</v>
      </c>
    </row>
    <row r="51" spans="1:69" ht="15" x14ac:dyDescent="0.25">
      <c r="A51" s="282">
        <f t="shared" si="17"/>
        <v>39</v>
      </c>
      <c r="B51" s="155"/>
      <c r="C51" s="57"/>
      <c r="D51" s="57"/>
      <c r="E51" s="57"/>
      <c r="F51"/>
      <c r="G51"/>
      <c r="H51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309"/>
      <c r="AJ51" s="309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726" t="s">
        <v>806</v>
      </c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309"/>
      <c r="BQ51" s="309"/>
    </row>
    <row r="52" spans="1:69" ht="15" x14ac:dyDescent="0.25">
      <c r="A52" s="282">
        <f t="shared" si="17"/>
        <v>40</v>
      </c>
      <c r="B52" s="155" t="s">
        <v>32</v>
      </c>
      <c r="C52" s="57"/>
      <c r="D52" s="57"/>
      <c r="E52" s="57"/>
      <c r="F52"/>
      <c r="G52"/>
      <c r="H52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309"/>
      <c r="AJ52" s="309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309"/>
      <c r="BQ52" s="309"/>
    </row>
    <row r="53" spans="1:69" x14ac:dyDescent="0.2">
      <c r="A53" s="282">
        <f t="shared" si="17"/>
        <v>41</v>
      </c>
      <c r="B53" s="93" t="s">
        <v>33</v>
      </c>
      <c r="C53" s="313">
        <f>+'[11]ERB AMA'!D92</f>
        <v>10572466950.394854</v>
      </c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>
        <f>'BGM-9 (3) Common Adj'!EL14</f>
        <v>325851561.93667603</v>
      </c>
      <c r="X53" s="313"/>
      <c r="Y53" s="313"/>
      <c r="Z53" s="313">
        <f>'BGM-9 (4) Electric Adj'!V16</f>
        <v>-4539000</v>
      </c>
      <c r="AA53" s="313"/>
      <c r="AB53" s="313"/>
      <c r="AC53" s="851">
        <f>+'BGM-9 (4) Electric Adj'!BB25</f>
        <v>-111946494.45999984</v>
      </c>
      <c r="AD53" s="313">
        <v>-7248346</v>
      </c>
      <c r="AE53" s="313">
        <v>-334385</v>
      </c>
      <c r="AF53" s="313">
        <v>0</v>
      </c>
      <c r="AG53" s="313"/>
      <c r="AH53" s="313"/>
      <c r="AI53" s="314">
        <f t="shared" ref="AI53:AI58" si="24">SUM(D53:AH53)</f>
        <v>201783336.47667617</v>
      </c>
      <c r="AJ53" s="314">
        <f t="shared" ref="AJ53:AJ58" si="25">+AI53+C53</f>
        <v>10774250286.871531</v>
      </c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>
        <f>+'BGM-9 (3) Common Adj'!FS16</f>
        <v>24644867.610000003</v>
      </c>
      <c r="AW53" s="313">
        <f>+'BGM-9 (3) Common Adj'!GB37</f>
        <v>0</v>
      </c>
      <c r="AX53" s="313">
        <f>'BGM-9 (3) Common Adj'!GJ16</f>
        <v>8630749.431925999</v>
      </c>
      <c r="AY53" s="313"/>
      <c r="AZ53" s="313"/>
      <c r="BA53" s="313">
        <v>0</v>
      </c>
      <c r="BB53" s="313"/>
      <c r="BC53" s="313">
        <v>0</v>
      </c>
      <c r="BD53" s="313"/>
      <c r="BE53" s="313"/>
      <c r="BF53" s="313"/>
      <c r="BG53" s="313"/>
      <c r="BH53" s="313">
        <f>'BGM-9 (4) Electric Adj'!BL17</f>
        <v>-16990239.199999999</v>
      </c>
      <c r="BI53" s="851">
        <v>0</v>
      </c>
      <c r="BJ53" s="313">
        <f>'BGM-9 (4) Electric Adj'!CB17</f>
        <v>9659116.8499999996</v>
      </c>
      <c r="BK53" s="313">
        <f>+'BGM-9 (3) Common Adj'!IF18</f>
        <v>-52488670</v>
      </c>
      <c r="BL53" s="313">
        <v>-550155.21</v>
      </c>
      <c r="BM53" s="313"/>
      <c r="BN53" s="313"/>
      <c r="BO53" s="313"/>
      <c r="BP53" s="314">
        <f t="shared" ref="BP53:BP58" si="26">SUM(AK53:BO53)</f>
        <v>-27094330.518073998</v>
      </c>
      <c r="BQ53" s="314">
        <f t="shared" ref="BQ53:BQ58" si="27">+BP53+AJ53</f>
        <v>10747155956.353456</v>
      </c>
    </row>
    <row r="54" spans="1:69" x14ac:dyDescent="0.2">
      <c r="A54" s="282">
        <f t="shared" si="17"/>
        <v>42</v>
      </c>
      <c r="B54" s="93" t="s">
        <v>34</v>
      </c>
      <c r="C54" s="316">
        <f>+'[11]ERB AMA'!D93</f>
        <v>-4244925258.0010071</v>
      </c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>
        <f>'BGM-9 (3) Common Adj'!EL15</f>
        <v>-143742277.5314436</v>
      </c>
      <c r="V54" s="316">
        <f>'BGM-9 (3) Common Adj'!ET30</f>
        <v>-21398675.290281195</v>
      </c>
      <c r="W54" s="316"/>
      <c r="X54" s="316"/>
      <c r="Y54" s="316"/>
      <c r="Z54" s="313">
        <f>'BGM-9 (4) Electric Adj'!V17</f>
        <v>2120000</v>
      </c>
      <c r="AA54" s="316"/>
      <c r="AB54" s="316"/>
      <c r="AC54" s="316">
        <f>+'BGM-9 (4) Electric Adj'!BB40</f>
        <v>-3075405.7018519044</v>
      </c>
      <c r="AD54" s="57">
        <v>674903</v>
      </c>
      <c r="AE54" s="316">
        <v>6934</v>
      </c>
      <c r="AF54" s="316"/>
      <c r="AG54" s="316"/>
      <c r="AH54" s="316"/>
      <c r="AI54" s="309">
        <f t="shared" si="24"/>
        <v>-165414521.52357671</v>
      </c>
      <c r="AJ54" s="309">
        <f t="shared" si="25"/>
        <v>-4410339779.5245838</v>
      </c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>
        <f>+'BGM-9 (3) Common Adj'!FS17</f>
        <v>-2140347.6892875</v>
      </c>
      <c r="AW54" s="57">
        <f>+'BGM-9 (3) Common Adj'!GB38</f>
        <v>0</v>
      </c>
      <c r="AX54" s="57">
        <f>'BGM-9 (3) Common Adj'!GJ17</f>
        <v>-4794860.7955144448</v>
      </c>
      <c r="AY54" s="57"/>
      <c r="AZ54" s="57"/>
      <c r="BA54" s="313">
        <v>0</v>
      </c>
      <c r="BB54" s="57"/>
      <c r="BC54" s="57">
        <v>0</v>
      </c>
      <c r="BD54" s="57"/>
      <c r="BE54" s="57"/>
      <c r="BF54" s="57"/>
      <c r="BG54" s="57"/>
      <c r="BH54" s="57">
        <f>'BGM-9 (4) Electric Adj'!BL18</f>
        <v>12688074.934416663</v>
      </c>
      <c r="BI54" s="871">
        <v>0</v>
      </c>
      <c r="BJ54" s="57">
        <f>'BGM-9 (4) Electric Adj'!CB18</f>
        <v>-5277574.0231666667</v>
      </c>
      <c r="BK54" s="57"/>
      <c r="BL54" s="57"/>
      <c r="BM54" s="57"/>
      <c r="BN54" s="57"/>
      <c r="BO54" s="57"/>
      <c r="BP54" s="309">
        <f t="shared" si="26"/>
        <v>475292.42644805182</v>
      </c>
      <c r="BQ54" s="309">
        <f t="shared" si="27"/>
        <v>-4409864487.0981359</v>
      </c>
    </row>
    <row r="55" spans="1:69" x14ac:dyDescent="0.2">
      <c r="A55" s="282">
        <f t="shared" si="17"/>
        <v>43</v>
      </c>
      <c r="B55" s="155" t="s">
        <v>35</v>
      </c>
      <c r="C55" s="316">
        <f>+'[11]ERB AMA'!D94</f>
        <v>285841342.02833331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>
        <f>'BGM-9 (3) Common Adj'!EL16</f>
        <v>-12697238.698333323</v>
      </c>
      <c r="V55" s="316"/>
      <c r="W55" s="316"/>
      <c r="X55" s="316"/>
      <c r="Y55" s="316"/>
      <c r="Z55" s="313"/>
      <c r="AA55" s="316"/>
      <c r="AB55" s="316"/>
      <c r="AC55" s="865">
        <f>+'BGM-9 (4) Electric Adj'!BB26+'BGM-9 (4) Electric Adj'!BB27</f>
        <v>0</v>
      </c>
      <c r="AD55" s="57"/>
      <c r="AE55" s="316"/>
      <c r="AF55" s="316"/>
      <c r="AG55" s="316"/>
      <c r="AH55" s="316"/>
      <c r="AI55" s="309">
        <f t="shared" si="24"/>
        <v>-12697238.698333323</v>
      </c>
      <c r="AJ55" s="309">
        <f t="shared" si="25"/>
        <v>273144103.32999998</v>
      </c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725">
        <f>+'BGM-9 (3) Common Adj'!FS21+'BGM-9 (3) Common Adj'!FS22</f>
        <v>9420126.0023907125</v>
      </c>
      <c r="AW55" s="57"/>
      <c r="AX55" s="57">
        <f>'BGM-9 (3) Common Adj'!GJ22+'BGM-9 (3) Common Adj'!GI23</f>
        <v>9204576.5045857728</v>
      </c>
      <c r="AY55" s="57"/>
      <c r="AZ55" s="57"/>
      <c r="BA55" s="313"/>
      <c r="BB55" s="57"/>
      <c r="BC55" s="57">
        <v>0</v>
      </c>
      <c r="BD55" s="57"/>
      <c r="BE55" s="57"/>
      <c r="BF55" s="57"/>
      <c r="BG55" s="57">
        <f>'BGM-9 (4) Electric Adj'!AR61</f>
        <v>-31039847.298310034</v>
      </c>
      <c r="BH55" s="57"/>
      <c r="BI55" s="57"/>
      <c r="BJ55" s="57"/>
      <c r="BK55" s="57"/>
      <c r="BL55" s="57"/>
      <c r="BM55" s="57"/>
      <c r="BN55" s="57"/>
      <c r="BO55" s="57"/>
      <c r="BP55" s="309">
        <f t="shared" si="26"/>
        <v>-12415144.791333549</v>
      </c>
      <c r="BQ55" s="309">
        <f t="shared" si="27"/>
        <v>260728958.53866643</v>
      </c>
    </row>
    <row r="56" spans="1:69" x14ac:dyDescent="0.2">
      <c r="A56" s="282">
        <f t="shared" si="17"/>
        <v>44</v>
      </c>
      <c r="B56" s="155" t="s">
        <v>36</v>
      </c>
      <c r="C56" s="316">
        <f>+'[11]ERB AMA'!D95</f>
        <v>-1443684469.5857882</v>
      </c>
      <c r="D56" s="316"/>
      <c r="E56" s="316"/>
      <c r="F56" s="316">
        <f>+'BGM-9 (3) Common Adj'!V23</f>
        <v>32585069.952498022</v>
      </c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>
        <f>'BGM-9 (3) Common Adj'!EL17</f>
        <v>22990297.035022974</v>
      </c>
      <c r="V56" s="316">
        <f>'BGM-9 (3) Common Adj'!ET31</f>
        <v>4493721.8109590504</v>
      </c>
      <c r="W56" s="316"/>
      <c r="X56" s="316"/>
      <c r="Y56" s="316"/>
      <c r="Z56" s="313">
        <f>'BGM-9 (4) Electric Adj'!V18</f>
        <v>803628.57</v>
      </c>
      <c r="AA56" s="316"/>
      <c r="AB56" s="316"/>
      <c r="AC56" s="401">
        <f>SUM('BGM-9 (4) Electric Adj'!BB41:'BGM-9 (4) Electric Adj'!BB42)</f>
        <v>-3397208.6656033769</v>
      </c>
      <c r="AD56" s="57">
        <v>1301042.2701010129</v>
      </c>
      <c r="AE56" s="316">
        <v>1177</v>
      </c>
      <c r="AF56" s="316">
        <v>0</v>
      </c>
      <c r="AG56" s="316"/>
      <c r="AH56" s="316"/>
      <c r="AI56" s="309">
        <f t="shared" si="24"/>
        <v>58777727.972977675</v>
      </c>
      <c r="AJ56" s="309">
        <f t="shared" si="25"/>
        <v>-1384906741.6128106</v>
      </c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725">
        <f>+'BGM-9 (3) Common Adj'!FS18+'BGM-9 (3) Common Adj'!FS23</f>
        <v>-3679667.3302051304</v>
      </c>
      <c r="AW56" s="57">
        <f>+'BGM-9 (3) Common Adj'!GB39</f>
        <v>0</v>
      </c>
      <c r="AX56" s="57">
        <f>'BGM-9 (3) Common Adj'!GJ18+'BGM-9 (3) Common Adj'!GJ24</f>
        <v>-1681230.8741985054</v>
      </c>
      <c r="AY56" s="57"/>
      <c r="AZ56" s="57">
        <f>'BGM-9 (3) Common Adj'!GZ16</f>
        <v>4503186.1200000085</v>
      </c>
      <c r="BA56" s="313">
        <v>0</v>
      </c>
      <c r="BB56" s="57"/>
      <c r="BC56" s="57"/>
      <c r="BD56" s="57"/>
      <c r="BE56" s="57"/>
      <c r="BF56" s="57"/>
      <c r="BG56" s="57">
        <f>'BGM-9 (4) Electric Adj'!AR62</f>
        <v>7647955.3945128955</v>
      </c>
      <c r="BH56" s="57">
        <f>'BGM-9 (4) Electric Adj'!BL19</f>
        <v>980694.34861275041</v>
      </c>
      <c r="BI56" s="871">
        <v>0</v>
      </c>
      <c r="BJ56" s="871">
        <f>+'BGM-9 (4) Electric Adj'!CB19</f>
        <v>263117.82048999966</v>
      </c>
      <c r="BK56" s="57"/>
      <c r="BL56" s="57"/>
      <c r="BM56" s="57"/>
      <c r="BN56" s="57"/>
      <c r="BO56" s="57"/>
      <c r="BP56" s="309">
        <f t="shared" si="26"/>
        <v>8034055.4792120187</v>
      </c>
      <c r="BQ56" s="309">
        <f t="shared" si="27"/>
        <v>-1376872686.1335986</v>
      </c>
    </row>
    <row r="57" spans="1:69" x14ac:dyDescent="0.2">
      <c r="A57" s="282">
        <f t="shared" si="17"/>
        <v>45</v>
      </c>
      <c r="B57" s="155" t="s">
        <v>37</v>
      </c>
      <c r="C57" s="316">
        <f>+'[11]ERB AMA'!D96</f>
        <v>145303204.9988502</v>
      </c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>
        <f>'BGM-9 (3) Common Adj'!EL18</f>
        <v>-7927989.0496875346</v>
      </c>
      <c r="V57" s="316"/>
      <c r="W57" s="316"/>
      <c r="X57" s="316"/>
      <c r="Y57" s="316"/>
      <c r="Z57" s="316"/>
      <c r="AA57" s="316"/>
      <c r="AB57" s="316"/>
      <c r="AC57" s="316"/>
      <c r="AD57" s="57"/>
      <c r="AE57" s="57"/>
      <c r="AF57" s="57"/>
      <c r="AG57" s="316"/>
      <c r="AH57" s="316"/>
      <c r="AI57" s="309">
        <f t="shared" si="24"/>
        <v>-7927989.0496875346</v>
      </c>
      <c r="AJ57" s="309">
        <f t="shared" si="25"/>
        <v>137375215.94916266</v>
      </c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309">
        <f t="shared" si="26"/>
        <v>0</v>
      </c>
      <c r="BQ57" s="309">
        <f t="shared" si="27"/>
        <v>137375215.94916266</v>
      </c>
    </row>
    <row r="58" spans="1:69" x14ac:dyDescent="0.2">
      <c r="A58" s="282">
        <f t="shared" si="17"/>
        <v>46</v>
      </c>
      <c r="B58" s="155" t="s">
        <v>38</v>
      </c>
      <c r="C58" s="316">
        <f>+'[11]ERB AMA'!D97</f>
        <v>-106223263.53024991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>
        <f>'BGM-9 (3) Common Adj'!EL19</f>
        <v>-1867515.9642250985</v>
      </c>
      <c r="V58" s="316"/>
      <c r="W58" s="316"/>
      <c r="X58" s="316"/>
      <c r="Y58" s="316"/>
      <c r="Z58" s="316"/>
      <c r="AA58" s="316"/>
      <c r="AB58" s="316"/>
      <c r="AC58" s="316"/>
      <c r="AD58" s="57"/>
      <c r="AE58" s="57"/>
      <c r="AF58" s="57"/>
      <c r="AG58" s="316"/>
      <c r="AH58" s="316"/>
      <c r="AI58" s="309">
        <f t="shared" si="24"/>
        <v>-1867515.9642250985</v>
      </c>
      <c r="AJ58" s="309">
        <f t="shared" si="25"/>
        <v>-108090779.49447501</v>
      </c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309">
        <f t="shared" si="26"/>
        <v>0</v>
      </c>
      <c r="BQ58" s="309">
        <f t="shared" si="27"/>
        <v>-108090779.49447501</v>
      </c>
    </row>
    <row r="59" spans="1:69" ht="13.5" thickBot="1" x14ac:dyDescent="0.25">
      <c r="A59" s="282">
        <f t="shared" si="17"/>
        <v>47</v>
      </c>
      <c r="B59" s="155" t="s">
        <v>39</v>
      </c>
      <c r="C59" s="423">
        <f t="shared" ref="C59:AK59" si="28">SUM(C53:C58)</f>
        <v>5208778506.3049917</v>
      </c>
      <c r="D59" s="423">
        <f t="shared" si="28"/>
        <v>0</v>
      </c>
      <c r="E59" s="423">
        <f t="shared" si="28"/>
        <v>0</v>
      </c>
      <c r="F59" s="423">
        <f t="shared" si="28"/>
        <v>32585069.952498022</v>
      </c>
      <c r="G59" s="423">
        <f t="shared" si="28"/>
        <v>0</v>
      </c>
      <c r="H59" s="423">
        <f t="shared" si="28"/>
        <v>0</v>
      </c>
      <c r="I59" s="423">
        <f t="shared" si="28"/>
        <v>0</v>
      </c>
      <c r="J59" s="423">
        <f t="shared" si="28"/>
        <v>0</v>
      </c>
      <c r="K59" s="423">
        <f t="shared" si="28"/>
        <v>0</v>
      </c>
      <c r="L59" s="423">
        <f t="shared" si="28"/>
        <v>0</v>
      </c>
      <c r="M59" s="423">
        <f t="shared" si="28"/>
        <v>0</v>
      </c>
      <c r="N59" s="423">
        <f t="shared" si="28"/>
        <v>0</v>
      </c>
      <c r="O59" s="423">
        <f t="shared" si="28"/>
        <v>0</v>
      </c>
      <c r="P59" s="423">
        <f t="shared" si="28"/>
        <v>0</v>
      </c>
      <c r="Q59" s="423">
        <f t="shared" si="28"/>
        <v>0</v>
      </c>
      <c r="R59" s="423">
        <f t="shared" si="28"/>
        <v>0</v>
      </c>
      <c r="S59" s="423">
        <f t="shared" si="28"/>
        <v>0</v>
      </c>
      <c r="T59" s="423">
        <f t="shared" si="28"/>
        <v>0</v>
      </c>
      <c r="U59" s="423">
        <f t="shared" si="28"/>
        <v>182606837.72800946</v>
      </c>
      <c r="V59" s="423">
        <f t="shared" si="28"/>
        <v>-16904953.479322143</v>
      </c>
      <c r="W59" s="423">
        <f t="shared" si="28"/>
        <v>0</v>
      </c>
      <c r="X59" s="423">
        <f t="shared" si="28"/>
        <v>0</v>
      </c>
      <c r="Y59" s="423">
        <f t="shared" si="28"/>
        <v>0</v>
      </c>
      <c r="Z59" s="423">
        <f t="shared" si="28"/>
        <v>-1615371.4300000002</v>
      </c>
      <c r="AA59" s="423">
        <f t="shared" si="28"/>
        <v>0</v>
      </c>
      <c r="AB59" s="423">
        <f t="shared" si="28"/>
        <v>0</v>
      </c>
      <c r="AC59" s="423">
        <f t="shared" si="28"/>
        <v>-118419108.82745513</v>
      </c>
      <c r="AD59" s="423">
        <f t="shared" ref="AD59:AF59" si="29">SUM(AD53:AD58)</f>
        <v>-5272400.7298989873</v>
      </c>
      <c r="AE59" s="423">
        <f t="shared" si="29"/>
        <v>-326274</v>
      </c>
      <c r="AF59" s="423">
        <f t="shared" si="29"/>
        <v>0</v>
      </c>
      <c r="AG59" s="423">
        <f t="shared" si="28"/>
        <v>0</v>
      </c>
      <c r="AH59" s="423">
        <f t="shared" si="28"/>
        <v>0</v>
      </c>
      <c r="AI59" s="323">
        <f t="shared" si="28"/>
        <v>72653799.213831171</v>
      </c>
      <c r="AJ59" s="323">
        <f t="shared" si="28"/>
        <v>5281432305.5188236</v>
      </c>
      <c r="AK59" s="423">
        <f t="shared" si="28"/>
        <v>0</v>
      </c>
      <c r="AL59" s="423">
        <f t="shared" ref="AL59:BQ59" si="30">SUM(AL53:AL58)</f>
        <v>0</v>
      </c>
      <c r="AM59" s="423">
        <f t="shared" si="30"/>
        <v>0</v>
      </c>
      <c r="AN59" s="423">
        <f t="shared" si="30"/>
        <v>0</v>
      </c>
      <c r="AO59" s="423">
        <f t="shared" si="30"/>
        <v>0</v>
      </c>
      <c r="AP59" s="423">
        <f t="shared" si="30"/>
        <v>0</v>
      </c>
      <c r="AQ59" s="423">
        <f t="shared" si="30"/>
        <v>0</v>
      </c>
      <c r="AR59" s="423">
        <f t="shared" si="30"/>
        <v>0</v>
      </c>
      <c r="AS59" s="423">
        <f t="shared" si="30"/>
        <v>0</v>
      </c>
      <c r="AT59" s="423">
        <f t="shared" si="30"/>
        <v>0</v>
      </c>
      <c r="AU59" s="423">
        <f t="shared" si="30"/>
        <v>0</v>
      </c>
      <c r="AV59" s="423">
        <f t="shared" si="30"/>
        <v>28244978.592898086</v>
      </c>
      <c r="AW59" s="423">
        <f t="shared" si="30"/>
        <v>0</v>
      </c>
      <c r="AX59" s="423">
        <f t="shared" si="30"/>
        <v>11359234.266798822</v>
      </c>
      <c r="AY59" s="423">
        <f t="shared" si="30"/>
        <v>0</v>
      </c>
      <c r="AZ59" s="423">
        <f t="shared" si="30"/>
        <v>4503186.1200000085</v>
      </c>
      <c r="BA59" s="423">
        <f t="shared" si="30"/>
        <v>0</v>
      </c>
      <c r="BB59" s="423">
        <f t="shared" si="30"/>
        <v>0</v>
      </c>
      <c r="BC59" s="423">
        <f t="shared" si="30"/>
        <v>0</v>
      </c>
      <c r="BD59" s="423">
        <f t="shared" si="30"/>
        <v>0</v>
      </c>
      <c r="BE59" s="423">
        <f t="shared" si="30"/>
        <v>0</v>
      </c>
      <c r="BF59" s="423">
        <f t="shared" si="30"/>
        <v>0</v>
      </c>
      <c r="BG59" s="423">
        <f t="shared" si="30"/>
        <v>-23391891.903797138</v>
      </c>
      <c r="BH59" s="423">
        <f t="shared" si="30"/>
        <v>-3321469.9169705859</v>
      </c>
      <c r="BI59" s="423">
        <f t="shared" si="30"/>
        <v>0</v>
      </c>
      <c r="BJ59" s="423">
        <f t="shared" si="30"/>
        <v>4644660.6473233327</v>
      </c>
      <c r="BK59" s="423">
        <f t="shared" si="30"/>
        <v>-52488670</v>
      </c>
      <c r="BL59" s="423">
        <f t="shared" ref="BL59:BN59" si="31">SUM(BL53:BL58)</f>
        <v>-550155.21</v>
      </c>
      <c r="BM59" s="423">
        <f t="shared" si="31"/>
        <v>0</v>
      </c>
      <c r="BN59" s="423">
        <f t="shared" si="31"/>
        <v>0</v>
      </c>
      <c r="BO59" s="423">
        <f t="shared" si="30"/>
        <v>0</v>
      </c>
      <c r="BP59" s="323">
        <f t="shared" si="30"/>
        <v>-31000127.40374748</v>
      </c>
      <c r="BQ59" s="323">
        <f t="shared" si="30"/>
        <v>5250432178.1150761</v>
      </c>
    </row>
    <row r="60" spans="1:69" ht="14.25" thickTop="1" thickBot="1" x14ac:dyDescent="0.25">
      <c r="A60" s="282">
        <f t="shared" si="17"/>
        <v>48</v>
      </c>
      <c r="G60" s="83" t="s">
        <v>353</v>
      </c>
      <c r="X60" s="289"/>
      <c r="AI60" s="307"/>
      <c r="AJ60" s="307"/>
      <c r="BP60" s="307"/>
      <c r="BQ60" s="307"/>
    </row>
    <row r="61" spans="1:69" ht="13.5" thickBot="1" x14ac:dyDescent="0.25">
      <c r="A61" s="282">
        <f t="shared" si="17"/>
        <v>49</v>
      </c>
      <c r="B61" s="155" t="s">
        <v>195</v>
      </c>
      <c r="C61" s="324">
        <f>+'COC, Def, ConvF'!$C$13</f>
        <v>7.4300000000000005E-2</v>
      </c>
      <c r="D61" s="324">
        <f>+'COC, Def, ConvF'!$C$13</f>
        <v>7.4300000000000005E-2</v>
      </c>
      <c r="E61" s="324">
        <f>+'COC, Def, ConvF'!$C$13</f>
        <v>7.4300000000000005E-2</v>
      </c>
      <c r="F61" s="324">
        <f>+'COC, Def, ConvF'!$C$13</f>
        <v>7.4300000000000005E-2</v>
      </c>
      <c r="G61" s="325">
        <f>+'COC-Restating'!E14</f>
        <v>7.5999999999999998E-2</v>
      </c>
      <c r="H61" s="324">
        <f>+'COC, Def, ConvF'!$C$13</f>
        <v>7.4300000000000005E-2</v>
      </c>
      <c r="I61" s="324">
        <f>+'COC, Def, ConvF'!$C$13</f>
        <v>7.4300000000000005E-2</v>
      </c>
      <c r="J61" s="324">
        <f>+'COC, Def, ConvF'!$C$13</f>
        <v>7.4300000000000005E-2</v>
      </c>
      <c r="K61" s="324">
        <f>+'COC, Def, ConvF'!$C$13</f>
        <v>7.4300000000000005E-2</v>
      </c>
      <c r="L61" s="324">
        <f>+'COC, Def, ConvF'!$C$13</f>
        <v>7.4300000000000005E-2</v>
      </c>
      <c r="M61" s="324">
        <f>+'COC, Def, ConvF'!$C$13</f>
        <v>7.4300000000000005E-2</v>
      </c>
      <c r="N61" s="324">
        <f>+'COC, Def, ConvF'!$C$13</f>
        <v>7.4300000000000005E-2</v>
      </c>
      <c r="O61" s="324">
        <f>+'COC, Def, ConvF'!$C$13</f>
        <v>7.4300000000000005E-2</v>
      </c>
      <c r="P61" s="324">
        <f>+'COC, Def, ConvF'!$C$13</f>
        <v>7.4300000000000005E-2</v>
      </c>
      <c r="Q61" s="324">
        <f>+'COC, Def, ConvF'!$C$13</f>
        <v>7.4300000000000005E-2</v>
      </c>
      <c r="R61" s="324">
        <f>+'COC, Def, ConvF'!$C$13</f>
        <v>7.4300000000000005E-2</v>
      </c>
      <c r="S61" s="324">
        <f>+'COC, Def, ConvF'!$C$13</f>
        <v>7.4300000000000005E-2</v>
      </c>
      <c r="T61" s="324">
        <f>+'COC, Def, ConvF'!$C$13</f>
        <v>7.4300000000000005E-2</v>
      </c>
      <c r="U61" s="324">
        <f>+'COC, Def, ConvF'!$C$13</f>
        <v>7.4300000000000005E-2</v>
      </c>
      <c r="V61" s="324">
        <f>+'COC, Def, ConvF'!$C$13</f>
        <v>7.4300000000000005E-2</v>
      </c>
      <c r="W61" s="324">
        <f>+'COC, Def, ConvF'!$C$13</f>
        <v>7.4300000000000005E-2</v>
      </c>
      <c r="X61" s="324">
        <f>+'COC, Def, ConvF'!$C$13</f>
        <v>7.4300000000000005E-2</v>
      </c>
      <c r="Y61" s="324">
        <f>+'COC, Def, ConvF'!$C$13</f>
        <v>7.4300000000000005E-2</v>
      </c>
      <c r="Z61" s="324">
        <f>+'COC, Def, ConvF'!$C$13</f>
        <v>7.4300000000000005E-2</v>
      </c>
      <c r="AA61" s="324">
        <f>+'COC, Def, ConvF'!$C$13</f>
        <v>7.4300000000000005E-2</v>
      </c>
      <c r="AB61" s="324">
        <f>+'COC, Def, ConvF'!$C$13</f>
        <v>7.4300000000000005E-2</v>
      </c>
      <c r="AC61" s="324">
        <f>+'COC, Def, ConvF'!$C$13</f>
        <v>7.4300000000000005E-2</v>
      </c>
      <c r="AD61" s="324">
        <f>+'COC, Def, ConvF'!$C$13</f>
        <v>7.4300000000000005E-2</v>
      </c>
      <c r="AE61" s="324">
        <f>+'COC, Def, ConvF'!$C$13</f>
        <v>7.4300000000000005E-2</v>
      </c>
      <c r="AF61" s="324">
        <f>+'COC, Def, ConvF'!$C$13</f>
        <v>7.4300000000000005E-2</v>
      </c>
      <c r="AG61" s="324">
        <f>+'COC, Def, ConvF'!$C$13</f>
        <v>7.4300000000000005E-2</v>
      </c>
      <c r="AH61" s="324">
        <f>+'COC, Def, ConvF'!$C$13</f>
        <v>7.4300000000000005E-2</v>
      </c>
      <c r="AI61" s="326">
        <f>+'COC, Def, ConvF'!$C$13</f>
        <v>7.4300000000000005E-2</v>
      </c>
      <c r="AJ61" s="326">
        <f>+'COC, Def, ConvF'!$C$13</f>
        <v>7.4300000000000005E-2</v>
      </c>
      <c r="AK61" s="324">
        <f>+'COC, Def, ConvF'!$C$13</f>
        <v>7.4300000000000005E-2</v>
      </c>
      <c r="AL61" s="324">
        <f>+'COC, Def, ConvF'!$C$13</f>
        <v>7.4300000000000005E-2</v>
      </c>
      <c r="AM61" s="324">
        <f>+'COC, Def, ConvF'!$C$13</f>
        <v>7.4300000000000005E-2</v>
      </c>
      <c r="AN61" s="324">
        <f>+'COC, Def, ConvF'!$C$13</f>
        <v>7.4300000000000005E-2</v>
      </c>
      <c r="AO61" s="324">
        <f>+'COC, Def, ConvF'!$C$13</f>
        <v>7.4300000000000005E-2</v>
      </c>
      <c r="AP61" s="324">
        <f>+'COC, Def, ConvF'!$C$13</f>
        <v>7.4300000000000005E-2</v>
      </c>
      <c r="AQ61" s="324">
        <f>+'COC, Def, ConvF'!$C$13</f>
        <v>7.4300000000000005E-2</v>
      </c>
      <c r="AR61" s="324">
        <f>+'COC, Def, ConvF'!$C$13</f>
        <v>7.4300000000000005E-2</v>
      </c>
      <c r="AS61" s="324">
        <f>+'COC, Def, ConvF'!$C$13</f>
        <v>7.4300000000000005E-2</v>
      </c>
      <c r="AT61" s="324">
        <f>+'COC, Def, ConvF'!$C$13</f>
        <v>7.4300000000000005E-2</v>
      </c>
      <c r="AU61" s="324">
        <f>+'COC, Def, ConvF'!$C$13</f>
        <v>7.4300000000000005E-2</v>
      </c>
      <c r="AV61" s="324">
        <f>+'COC, Def, ConvF'!$C$13</f>
        <v>7.4300000000000005E-2</v>
      </c>
      <c r="AW61" s="324">
        <f>+'COC, Def, ConvF'!$C$13</f>
        <v>7.4300000000000005E-2</v>
      </c>
      <c r="AX61" s="324">
        <f>+'COC, Def, ConvF'!$C$13</f>
        <v>7.4300000000000005E-2</v>
      </c>
      <c r="AY61" s="324">
        <f>+'COC, Def, ConvF'!$C$13</f>
        <v>7.4300000000000005E-2</v>
      </c>
      <c r="AZ61" s="324">
        <f>+'COC, Def, ConvF'!$C$13</f>
        <v>7.4300000000000005E-2</v>
      </c>
      <c r="BA61" s="324">
        <f>+'COC, Def, ConvF'!$C$13</f>
        <v>7.4300000000000005E-2</v>
      </c>
      <c r="BB61" s="324">
        <f>+'COC, Def, ConvF'!$C$13</f>
        <v>7.4300000000000005E-2</v>
      </c>
      <c r="BC61" s="324">
        <f>+'COC, Def, ConvF'!$C$13</f>
        <v>7.4300000000000005E-2</v>
      </c>
      <c r="BD61" s="324">
        <f>+'COC, Def, ConvF'!$C$13</f>
        <v>7.4300000000000005E-2</v>
      </c>
      <c r="BE61" s="324">
        <f>+'COC, Def, ConvF'!$C$13</f>
        <v>7.4300000000000005E-2</v>
      </c>
      <c r="BF61" s="324">
        <f>+'COC, Def, ConvF'!$C$13</f>
        <v>7.4300000000000005E-2</v>
      </c>
      <c r="BG61" s="324">
        <f>+'COC, Def, ConvF'!$C$13</f>
        <v>7.4300000000000005E-2</v>
      </c>
      <c r="BH61" s="324">
        <f>+'COC, Def, ConvF'!$C$13</f>
        <v>7.4300000000000005E-2</v>
      </c>
      <c r="BI61" s="324">
        <f>+'COC, Def, ConvF'!$C$13</f>
        <v>7.4300000000000005E-2</v>
      </c>
      <c r="BJ61" s="324">
        <f>+'COC, Def, ConvF'!$C$13</f>
        <v>7.4300000000000005E-2</v>
      </c>
      <c r="BK61" s="324">
        <f>+'COC, Def, ConvF'!$C$13</f>
        <v>7.4300000000000005E-2</v>
      </c>
      <c r="BL61" s="324">
        <f>+'COC, Def, ConvF'!$C$13</f>
        <v>7.4300000000000005E-2</v>
      </c>
      <c r="BM61" s="324">
        <f>+'COC, Def, ConvF'!$C$13</f>
        <v>7.4300000000000005E-2</v>
      </c>
      <c r="BN61" s="324">
        <f>+'COC, Def, ConvF'!$C$13</f>
        <v>7.4300000000000005E-2</v>
      </c>
      <c r="BO61" s="324">
        <f>+'COC, Def, ConvF'!$C$13</f>
        <v>7.4300000000000005E-2</v>
      </c>
      <c r="BP61" s="326">
        <f>+'COC, Def, ConvF'!$C$13</f>
        <v>7.4300000000000005E-2</v>
      </c>
      <c r="BQ61" s="326">
        <f>+'COC, Def, ConvF'!$C$13</f>
        <v>7.4300000000000005E-2</v>
      </c>
    </row>
    <row r="62" spans="1:69" x14ac:dyDescent="0.2">
      <c r="A62" s="282">
        <f t="shared" si="17"/>
        <v>50</v>
      </c>
      <c r="B62" s="155" t="s">
        <v>250</v>
      </c>
      <c r="C62" s="327">
        <f>+'COC, Def, ConvF'!$M$20</f>
        <v>0.75138099999999997</v>
      </c>
      <c r="D62" s="327">
        <f>+'COC, Def, ConvF'!$M$20</f>
        <v>0.75138099999999997</v>
      </c>
      <c r="E62" s="327">
        <f>+'COC, Def, ConvF'!$M$20</f>
        <v>0.75138099999999997</v>
      </c>
      <c r="F62" s="327">
        <f>+'COC, Def, ConvF'!$M$20</f>
        <v>0.75138099999999997</v>
      </c>
      <c r="G62" s="327">
        <f>+'COC, Def, ConvF'!$M$20</f>
        <v>0.75138099999999997</v>
      </c>
      <c r="H62" s="327">
        <f>+'COC, Def, ConvF'!$M$20</f>
        <v>0.75138099999999997</v>
      </c>
      <c r="I62" s="327">
        <f>+'COC, Def, ConvF'!$M$20</f>
        <v>0.75138099999999997</v>
      </c>
      <c r="J62" s="327">
        <f>+'COC, Def, ConvF'!$M$20</f>
        <v>0.75138099999999997</v>
      </c>
      <c r="K62" s="327">
        <f>+'COC, Def, ConvF'!$M$20</f>
        <v>0.75138099999999997</v>
      </c>
      <c r="L62" s="327">
        <f>+'COC, Def, ConvF'!$M$20</f>
        <v>0.75138099999999997</v>
      </c>
      <c r="M62" s="327">
        <f>+'COC, Def, ConvF'!$M$20</f>
        <v>0.75138099999999997</v>
      </c>
      <c r="N62" s="327">
        <f>+'COC, Def, ConvF'!$M$20</f>
        <v>0.75138099999999997</v>
      </c>
      <c r="O62" s="327">
        <f>+'COC, Def, ConvF'!$M$20</f>
        <v>0.75138099999999997</v>
      </c>
      <c r="P62" s="327">
        <f>+'COC, Def, ConvF'!$M$20</f>
        <v>0.75138099999999997</v>
      </c>
      <c r="Q62" s="327">
        <f>+'COC, Def, ConvF'!$M$20</f>
        <v>0.75138099999999997</v>
      </c>
      <c r="R62" s="327">
        <f>+'COC, Def, ConvF'!$M$20</f>
        <v>0.75138099999999997</v>
      </c>
      <c r="S62" s="327">
        <f>+'COC, Def, ConvF'!$M$20</f>
        <v>0.75138099999999997</v>
      </c>
      <c r="T62" s="327">
        <f>+'COC, Def, ConvF'!$M$20</f>
        <v>0.75138099999999997</v>
      </c>
      <c r="U62" s="327">
        <f>+'COC, Def, ConvF'!$M$20</f>
        <v>0.75138099999999997</v>
      </c>
      <c r="V62" s="327">
        <f>+'COC, Def, ConvF'!$M$20</f>
        <v>0.75138099999999997</v>
      </c>
      <c r="W62" s="327">
        <f>+'COC, Def, ConvF'!$M$20</f>
        <v>0.75138099999999997</v>
      </c>
      <c r="X62" s="327">
        <f>+'COC, Def, ConvF'!$M$20</f>
        <v>0.75138099999999997</v>
      </c>
      <c r="Y62" s="327">
        <f>+'COC, Def, ConvF'!$M$20</f>
        <v>0.75138099999999997</v>
      </c>
      <c r="Z62" s="327">
        <f>+'COC, Def, ConvF'!$M$20</f>
        <v>0.75138099999999997</v>
      </c>
      <c r="AA62" s="327">
        <f>+'COC, Def, ConvF'!$M$20</f>
        <v>0.75138099999999997</v>
      </c>
      <c r="AB62" s="327">
        <f>+'COC, Def, ConvF'!$M$20</f>
        <v>0.75138099999999997</v>
      </c>
      <c r="AC62" s="327">
        <f>+'COC, Def, ConvF'!$M$20</f>
        <v>0.75138099999999997</v>
      </c>
      <c r="AD62" s="327">
        <f>+'COC, Def, ConvF'!$M$20</f>
        <v>0.75138099999999997</v>
      </c>
      <c r="AE62" s="327">
        <f>+'COC, Def, ConvF'!$M$20</f>
        <v>0.75138099999999997</v>
      </c>
      <c r="AF62" s="327">
        <f>+'COC, Def, ConvF'!$M$20</f>
        <v>0.75138099999999997</v>
      </c>
      <c r="AG62" s="327">
        <f>+'COC, Def, ConvF'!$M$20</f>
        <v>0.75138099999999997</v>
      </c>
      <c r="AH62" s="327">
        <f>+'COC, Def, ConvF'!$M$20</f>
        <v>0.75138099999999997</v>
      </c>
      <c r="AI62" s="328">
        <f>+'COC, Def, ConvF'!$M$20</f>
        <v>0.75138099999999997</v>
      </c>
      <c r="AJ62" s="328">
        <f>+'COC, Def, ConvF'!$M$20</f>
        <v>0.75138099999999997</v>
      </c>
      <c r="AK62" s="327">
        <f>+'COC, Def, ConvF'!$M$20</f>
        <v>0.75138099999999997</v>
      </c>
      <c r="AL62" s="327">
        <f>+'COC, Def, ConvF'!$M$20</f>
        <v>0.75138099999999997</v>
      </c>
      <c r="AM62" s="327">
        <f>+'COC, Def, ConvF'!$M$20</f>
        <v>0.75138099999999997</v>
      </c>
      <c r="AN62" s="327">
        <f>+'COC, Def, ConvF'!$M$20</f>
        <v>0.75138099999999997</v>
      </c>
      <c r="AO62" s="327">
        <f>+'COC, Def, ConvF'!$M$20</f>
        <v>0.75138099999999997</v>
      </c>
      <c r="AP62" s="327">
        <f>+'COC, Def, ConvF'!$M$20</f>
        <v>0.75138099999999997</v>
      </c>
      <c r="AQ62" s="327">
        <f>+'COC, Def, ConvF'!$M$20</f>
        <v>0.75138099999999997</v>
      </c>
      <c r="AR62" s="327">
        <f>+'COC, Def, ConvF'!$M$20</f>
        <v>0.75138099999999997</v>
      </c>
      <c r="AS62" s="327">
        <f>+'COC, Def, ConvF'!$M$20</f>
        <v>0.75138099999999997</v>
      </c>
      <c r="AT62" s="327">
        <f>+'COC, Def, ConvF'!$M$20</f>
        <v>0.75138099999999997</v>
      </c>
      <c r="AU62" s="327">
        <f>+'COC, Def, ConvF'!$M$20</f>
        <v>0.75138099999999997</v>
      </c>
      <c r="AV62" s="327">
        <f>+'COC, Def, ConvF'!$M$20</f>
        <v>0.75138099999999997</v>
      </c>
      <c r="AW62" s="327">
        <f>+'COC, Def, ConvF'!$M$20</f>
        <v>0.75138099999999997</v>
      </c>
      <c r="AX62" s="327">
        <f>+'COC, Def, ConvF'!$M$20</f>
        <v>0.75138099999999997</v>
      </c>
      <c r="AY62" s="327">
        <f>+'COC, Def, ConvF'!$M$20</f>
        <v>0.75138099999999997</v>
      </c>
      <c r="AZ62" s="327">
        <f>+'COC, Def, ConvF'!$M$20</f>
        <v>0.75138099999999997</v>
      </c>
      <c r="BA62" s="327">
        <f>+'COC, Def, ConvF'!$M$20</f>
        <v>0.75138099999999997</v>
      </c>
      <c r="BB62" s="327">
        <f>+'COC, Def, ConvF'!$M$20</f>
        <v>0.75138099999999997</v>
      </c>
      <c r="BC62" s="327">
        <f>+'COC, Def, ConvF'!$M$20</f>
        <v>0.75138099999999997</v>
      </c>
      <c r="BD62" s="327">
        <f>+'COC, Def, ConvF'!$M$20</f>
        <v>0.75138099999999997</v>
      </c>
      <c r="BE62" s="327">
        <f>+'COC, Def, ConvF'!$M$20</f>
        <v>0.75138099999999997</v>
      </c>
      <c r="BF62" s="327">
        <f>+'COC, Def, ConvF'!$M$20</f>
        <v>0.75138099999999997</v>
      </c>
      <c r="BG62" s="327">
        <f>+'COC, Def, ConvF'!$M$20</f>
        <v>0.75138099999999997</v>
      </c>
      <c r="BH62" s="327">
        <f>+'COC, Def, ConvF'!$M$20</f>
        <v>0.75138099999999997</v>
      </c>
      <c r="BI62" s="327">
        <f>+'COC, Def, ConvF'!$M$20</f>
        <v>0.75138099999999997</v>
      </c>
      <c r="BJ62" s="327">
        <f>+'COC, Def, ConvF'!$M$20</f>
        <v>0.75138099999999997</v>
      </c>
      <c r="BK62" s="327">
        <f>+'COC, Def, ConvF'!$M$20</f>
        <v>0.75138099999999997</v>
      </c>
      <c r="BL62" s="327">
        <f>+'COC, Def, ConvF'!$M$20</f>
        <v>0.75138099999999997</v>
      </c>
      <c r="BM62" s="327">
        <f>+'COC, Def, ConvF'!$M$20</f>
        <v>0.75138099999999997</v>
      </c>
      <c r="BN62" s="327">
        <f>+'COC, Def, ConvF'!$M$20</f>
        <v>0.75138099999999997</v>
      </c>
      <c r="BO62" s="327">
        <f>+'COC, Def, ConvF'!$M$20</f>
        <v>0.75138099999999997</v>
      </c>
      <c r="BP62" s="328">
        <f>+'COC, Def, ConvF'!$M$20</f>
        <v>0.75138099999999997</v>
      </c>
      <c r="BQ62" s="328">
        <f>+'COC, Def, ConvF'!$M$20</f>
        <v>0.75138099999999997</v>
      </c>
    </row>
    <row r="63" spans="1:69" x14ac:dyDescent="0.2">
      <c r="A63" s="282">
        <f t="shared" si="17"/>
        <v>51</v>
      </c>
      <c r="B63" s="155" t="s">
        <v>251</v>
      </c>
      <c r="C63" s="262">
        <f>+C46-(C59*C61)</f>
        <v>4128448.0815396905</v>
      </c>
      <c r="D63" s="262">
        <f t="shared" ref="D63:AH63" si="32">+D46-(D59*D61)</f>
        <v>8327800.1577338427</v>
      </c>
      <c r="E63" s="262">
        <f t="shared" si="32"/>
        <v>3965156.9663860002</v>
      </c>
      <c r="F63" s="262">
        <f t="shared" si="32"/>
        <v>-10598073.922958432</v>
      </c>
      <c r="G63" s="262">
        <f>+G46-(G59*G61)</f>
        <v>32607563.054273214</v>
      </c>
      <c r="H63" s="262">
        <f t="shared" si="32"/>
        <v>-1955986.2286396027</v>
      </c>
      <c r="I63" s="262">
        <f t="shared" si="32"/>
        <v>66597.374865170947</v>
      </c>
      <c r="J63" s="262">
        <f t="shared" si="32"/>
        <v>303153.75903630909</v>
      </c>
      <c r="K63" s="262">
        <f t="shared" si="32"/>
        <v>184145.16401528011</v>
      </c>
      <c r="L63" s="262">
        <f t="shared" si="32"/>
        <v>71834.764841626398</v>
      </c>
      <c r="M63" s="262">
        <f t="shared" si="32"/>
        <v>5301.3344264041589</v>
      </c>
      <c r="N63" s="262">
        <f t="shared" si="32"/>
        <v>-803909.33835699933</v>
      </c>
      <c r="O63" s="262">
        <f t="shared" si="32"/>
        <v>-496557.58700637007</v>
      </c>
      <c r="P63" s="262">
        <f t="shared" si="32"/>
        <v>-1726149.211916219</v>
      </c>
      <c r="Q63" s="262">
        <f t="shared" si="32"/>
        <v>319951.38960871822</v>
      </c>
      <c r="R63" s="262">
        <f t="shared" si="32"/>
        <v>-61810.425156236211</v>
      </c>
      <c r="S63" s="262">
        <f t="shared" si="32"/>
        <v>-13156.595940416744</v>
      </c>
      <c r="T63" s="262">
        <f t="shared" si="32"/>
        <v>-23850.252119969373</v>
      </c>
      <c r="U63" s="262">
        <f t="shared" si="32"/>
        <v>-13567688.043191103</v>
      </c>
      <c r="V63" s="262">
        <f t="shared" si="32"/>
        <v>-15648915.435808508</v>
      </c>
      <c r="W63" s="262">
        <f t="shared" si="32"/>
        <v>340892.94246068329</v>
      </c>
      <c r="X63" s="262">
        <f t="shared" si="32"/>
        <v>-7589560.1894254955</v>
      </c>
      <c r="Y63" s="262">
        <f t="shared" si="32"/>
        <v>-68620.043849999958</v>
      </c>
      <c r="Z63" s="262">
        <f t="shared" si="32"/>
        <v>287552.65724900004</v>
      </c>
      <c r="AA63" s="262">
        <f t="shared" si="32"/>
        <v>-32912585.679400001</v>
      </c>
      <c r="AB63" s="262">
        <f t="shared" si="32"/>
        <v>-11000.8474333339</v>
      </c>
      <c r="AC63" s="262">
        <f t="shared" si="32"/>
        <v>28382736.001555897</v>
      </c>
      <c r="AD63" s="262">
        <f t="shared" si="32"/>
        <v>823564.05486972677</v>
      </c>
      <c r="AE63" s="262">
        <f t="shared" si="32"/>
        <v>24242.158200000002</v>
      </c>
      <c r="AF63" s="262">
        <f t="shared" si="32"/>
        <v>0</v>
      </c>
      <c r="AG63" s="262">
        <f t="shared" si="32"/>
        <v>0</v>
      </c>
      <c r="AH63" s="262">
        <f t="shared" si="32"/>
        <v>0</v>
      </c>
      <c r="AI63" s="309">
        <f>SUM(D63:AH63)</f>
        <v>-9767372.0216808133</v>
      </c>
      <c r="AJ63" s="309">
        <f>+AI63+C63</f>
        <v>-5638923.9401411228</v>
      </c>
      <c r="AK63" s="262">
        <f t="shared" ref="AK63:BO63" si="33">+AK46-(AK59*AK61)</f>
        <v>-25679089.012964979</v>
      </c>
      <c r="AL63" s="262">
        <f t="shared" si="33"/>
        <v>6844287.5880840775</v>
      </c>
      <c r="AM63" s="262">
        <f t="shared" si="33"/>
        <v>-963208.3167736521</v>
      </c>
      <c r="AN63" s="262">
        <f t="shared" si="33"/>
        <v>-71834.764841627039</v>
      </c>
      <c r="AO63" s="262">
        <f t="shared" si="33"/>
        <v>-5301.3344264041589</v>
      </c>
      <c r="AP63" s="262">
        <f t="shared" si="33"/>
        <v>-442588.00130389305</v>
      </c>
      <c r="AQ63" s="262">
        <f t="shared" si="33"/>
        <v>-3003557.1583568119</v>
      </c>
      <c r="AR63" s="262">
        <f t="shared" si="33"/>
        <v>-208177.32402600534</v>
      </c>
      <c r="AS63" s="262">
        <f t="shared" si="33"/>
        <v>-691246.88851637836</v>
      </c>
      <c r="AT63" s="262">
        <f t="shared" si="33"/>
        <v>2791831.5547333327</v>
      </c>
      <c r="AU63" s="262">
        <f t="shared" si="33"/>
        <v>-120117.65165375613</v>
      </c>
      <c r="AV63" s="262">
        <f t="shared" si="33"/>
        <v>-6962978.4016747773</v>
      </c>
      <c r="AW63" s="262">
        <f t="shared" si="33"/>
        <v>394548.96938773646</v>
      </c>
      <c r="AX63" s="262">
        <f t="shared" si="33"/>
        <v>-6025401.2985461056</v>
      </c>
      <c r="AY63" s="262">
        <f t="shared" si="33"/>
        <v>477330.77329275</v>
      </c>
      <c r="AZ63" s="262">
        <f t="shared" si="33"/>
        <v>8671785.5112839974</v>
      </c>
      <c r="BA63" s="262">
        <f t="shared" si="33"/>
        <v>0</v>
      </c>
      <c r="BB63" s="262">
        <f t="shared" si="33"/>
        <v>-1330725.9543599267</v>
      </c>
      <c r="BC63" s="262">
        <f t="shared" si="33"/>
        <v>0</v>
      </c>
      <c r="BD63" s="262">
        <f t="shared" si="33"/>
        <v>2739527.8114434183</v>
      </c>
      <c r="BE63" s="262">
        <f t="shared" si="33"/>
        <v>549761.45894175186</v>
      </c>
      <c r="BF63" s="262">
        <f t="shared" si="33"/>
        <v>-10681804.722000003</v>
      </c>
      <c r="BG63" s="262">
        <f t="shared" si="33"/>
        <v>10838133.048490889</v>
      </c>
      <c r="BH63" s="262">
        <f t="shared" si="33"/>
        <v>4725519.0486909151</v>
      </c>
      <c r="BI63" s="262">
        <f t="shared" si="33"/>
        <v>0</v>
      </c>
      <c r="BJ63" s="262">
        <f t="shared" si="33"/>
        <v>-2786242.8065461232</v>
      </c>
      <c r="BK63" s="262">
        <f t="shared" si="33"/>
        <v>3899908.1810000003</v>
      </c>
      <c r="BL63" s="262">
        <f t="shared" ref="BL63:BN63" si="34">+BL46-(BL59*BL61)</f>
        <v>85906.532103000005</v>
      </c>
      <c r="BM63" s="262">
        <f t="shared" si="34"/>
        <v>0</v>
      </c>
      <c r="BN63" s="262">
        <f t="shared" si="34"/>
        <v>0</v>
      </c>
      <c r="BO63" s="262">
        <f t="shared" si="33"/>
        <v>0</v>
      </c>
      <c r="BP63" s="309">
        <f>SUM(AK63:BO63)</f>
        <v>-16953733.158538569</v>
      </c>
      <c r="BQ63" s="309">
        <f>+BP63+AJ63</f>
        <v>-22592657.098679692</v>
      </c>
    </row>
    <row r="64" spans="1:69" s="289" customFormat="1" x14ac:dyDescent="0.2">
      <c r="A64" s="282">
        <f t="shared" si="17"/>
        <v>52</v>
      </c>
      <c r="B64" s="155" t="s">
        <v>252</v>
      </c>
      <c r="C64" s="158">
        <f>-C63/C62</f>
        <v>-5494480.2723780489</v>
      </c>
      <c r="D64" s="158">
        <f t="shared" ref="D64:AK64" si="35">-D63/D62</f>
        <v>-11083325.44705528</v>
      </c>
      <c r="E64" s="158">
        <f t="shared" si="35"/>
        <v>-5277158.9465078311</v>
      </c>
      <c r="F64" s="158">
        <f t="shared" si="35"/>
        <v>14104793.603988431</v>
      </c>
      <c r="G64" s="158">
        <f t="shared" si="35"/>
        <v>-43396842.686031744</v>
      </c>
      <c r="H64" s="158">
        <f t="shared" si="35"/>
        <v>2603188.30079494</v>
      </c>
      <c r="I64" s="158">
        <f t="shared" si="35"/>
        <v>-88633.296377165447</v>
      </c>
      <c r="J64" s="158">
        <f t="shared" si="35"/>
        <v>-403462.10382789705</v>
      </c>
      <c r="K64" s="158">
        <f t="shared" si="35"/>
        <v>-245075.6194464328</v>
      </c>
      <c r="L64" s="158">
        <f t="shared" si="35"/>
        <v>-95603.64827115192</v>
      </c>
      <c r="M64" s="158">
        <f t="shared" si="35"/>
        <v>-7055.4544583961524</v>
      </c>
      <c r="N64" s="158">
        <f t="shared" si="35"/>
        <v>1069909.0585961042</v>
      </c>
      <c r="O64" s="158">
        <f t="shared" si="35"/>
        <v>660859.91927713121</v>
      </c>
      <c r="P64" s="158">
        <f t="shared" si="35"/>
        <v>2297302.1834678003</v>
      </c>
      <c r="Q64" s="158">
        <f t="shared" si="35"/>
        <v>-425817.78033876052</v>
      </c>
      <c r="R64" s="158">
        <f t="shared" si="35"/>
        <v>82262.427658187007</v>
      </c>
      <c r="S64" s="158">
        <f t="shared" si="35"/>
        <v>17509.886383095585</v>
      </c>
      <c r="T64" s="158">
        <f t="shared" si="35"/>
        <v>31741.888762118517</v>
      </c>
      <c r="U64" s="158">
        <f t="shared" si="35"/>
        <v>18057001.765004843</v>
      </c>
      <c r="V64" s="158">
        <f t="shared" si="35"/>
        <v>20826871.368597966</v>
      </c>
      <c r="W64" s="158">
        <f t="shared" si="35"/>
        <v>-453688.53146497358</v>
      </c>
      <c r="X64" s="158">
        <f t="shared" si="35"/>
        <v>10100814.619248418</v>
      </c>
      <c r="Y64" s="158">
        <f t="shared" si="35"/>
        <v>91325.231606867834</v>
      </c>
      <c r="Z64" s="158">
        <f t="shared" si="35"/>
        <v>-382698.86681856483</v>
      </c>
      <c r="AA64" s="158">
        <f t="shared" si="35"/>
        <v>43802792.03147272</v>
      </c>
      <c r="AB64" s="158">
        <f t="shared" si="35"/>
        <v>14640.837914897902</v>
      </c>
      <c r="AC64" s="158">
        <f t="shared" si="35"/>
        <v>-37774093.304935709</v>
      </c>
      <c r="AD64" s="158">
        <f t="shared" si="35"/>
        <v>-1096067.181456181</v>
      </c>
      <c r="AE64" s="158">
        <f t="shared" si="35"/>
        <v>-32263.469797612666</v>
      </c>
      <c r="AF64" s="158">
        <f t="shared" si="35"/>
        <v>0</v>
      </c>
      <c r="AG64" s="158">
        <f t="shared" si="35"/>
        <v>0</v>
      </c>
      <c r="AH64" s="158">
        <f t="shared" si="35"/>
        <v>0</v>
      </c>
      <c r="AI64" s="407">
        <f t="shared" si="35"/>
        <v>12999226.785985824</v>
      </c>
      <c r="AJ64" s="407">
        <f t="shared" si="35"/>
        <v>7504746.5136077739</v>
      </c>
      <c r="AK64" s="158">
        <f t="shared" si="35"/>
        <v>34175856.2073901</v>
      </c>
      <c r="AL64" s="158">
        <f t="shared" ref="AL64:BO64" si="36">-AL63/AL62</f>
        <v>-9108944.1815591268</v>
      </c>
      <c r="AM64" s="158">
        <f t="shared" si="36"/>
        <v>1281917.318608871</v>
      </c>
      <c r="AN64" s="158">
        <f t="shared" si="36"/>
        <v>95603.648271152779</v>
      </c>
      <c r="AO64" s="158">
        <f t="shared" si="36"/>
        <v>7055.4544583961524</v>
      </c>
      <c r="AP64" s="158">
        <f t="shared" si="36"/>
        <v>589032.7294726551</v>
      </c>
      <c r="AQ64" s="158">
        <f t="shared" si="36"/>
        <v>3997382.3644154058</v>
      </c>
      <c r="AR64" s="158">
        <f t="shared" si="36"/>
        <v>277059.60627964424</v>
      </c>
      <c r="AS64" s="158">
        <f t="shared" si="36"/>
        <v>919968.54926645523</v>
      </c>
      <c r="AT64" s="158">
        <f t="shared" si="36"/>
        <v>-3715600.4140819809</v>
      </c>
      <c r="AU64" s="158">
        <f t="shared" si="36"/>
        <v>159862.50870564484</v>
      </c>
      <c r="AV64" s="158">
        <f t="shared" si="36"/>
        <v>9266907.7361215912</v>
      </c>
      <c r="AW64" s="158">
        <f t="shared" si="36"/>
        <v>-525098.41130895843</v>
      </c>
      <c r="AX64" s="158">
        <f t="shared" si="36"/>
        <v>8019102.5572194476</v>
      </c>
      <c r="AY64" s="158">
        <f t="shared" si="36"/>
        <v>-635271.28486446955</v>
      </c>
      <c r="AZ64" s="158">
        <f t="shared" si="36"/>
        <v>-11541129.61504749</v>
      </c>
      <c r="BA64" s="158">
        <f t="shared" si="36"/>
        <v>0</v>
      </c>
      <c r="BB64" s="158">
        <f t="shared" si="36"/>
        <v>1771040.1971302533</v>
      </c>
      <c r="BC64" s="158">
        <f t="shared" si="36"/>
        <v>0</v>
      </c>
      <c r="BD64" s="158">
        <f t="shared" si="36"/>
        <v>-3645990.2651829342</v>
      </c>
      <c r="BE64" s="158">
        <f t="shared" si="36"/>
        <v>-731668.03384934121</v>
      </c>
      <c r="BF64" s="158">
        <f t="shared" si="36"/>
        <v>14216229.4787864</v>
      </c>
      <c r="BG64" s="158">
        <f t="shared" si="36"/>
        <v>-14424284.149440683</v>
      </c>
      <c r="BH64" s="158">
        <f t="shared" si="36"/>
        <v>-6289111.7138853865</v>
      </c>
      <c r="BI64" s="158">
        <f t="shared" si="36"/>
        <v>0</v>
      </c>
      <c r="BJ64" s="158">
        <f t="shared" si="36"/>
        <v>3708162.445611645</v>
      </c>
      <c r="BK64" s="158">
        <f t="shared" si="36"/>
        <v>-5190320.4645845452</v>
      </c>
      <c r="BL64" s="158">
        <f t="shared" ref="BL64:BN64" si="37">-BL63/BL62</f>
        <v>-114331.52036450217</v>
      </c>
      <c r="BM64" s="158">
        <f t="shared" si="37"/>
        <v>0</v>
      </c>
      <c r="BN64" s="158">
        <f t="shared" si="37"/>
        <v>0</v>
      </c>
      <c r="BO64" s="158">
        <f t="shared" si="36"/>
        <v>0</v>
      </c>
      <c r="BP64" s="407">
        <f>SUM(AK64:BO64)</f>
        <v>22563430.74756825</v>
      </c>
      <c r="BQ64" s="407">
        <f>-BQ63/BQ62</f>
        <v>30068177.261176012</v>
      </c>
    </row>
    <row r="65" spans="1:71" x14ac:dyDescent="0.2">
      <c r="B65" s="155"/>
      <c r="X65" s="289"/>
    </row>
    <row r="66" spans="1:71" x14ac:dyDescent="0.2">
      <c r="X66" s="289"/>
    </row>
    <row r="67" spans="1:71" x14ac:dyDescent="0.2">
      <c r="X67" s="289"/>
    </row>
    <row r="68" spans="1:71" x14ac:dyDescent="0.2">
      <c r="X68" s="289"/>
    </row>
    <row r="69" spans="1:71" x14ac:dyDescent="0.2">
      <c r="A69" s="288">
        <v>4</v>
      </c>
      <c r="B69" s="329" t="s">
        <v>197</v>
      </c>
      <c r="C69" s="330"/>
      <c r="D69" s="330"/>
      <c r="E69" s="331"/>
      <c r="F69" s="331"/>
      <c r="G69" s="330"/>
      <c r="H69" s="331"/>
      <c r="I69" s="331"/>
      <c r="J69" s="330"/>
      <c r="K69" s="331"/>
      <c r="L69" s="331"/>
      <c r="M69" s="330"/>
      <c r="N69" s="331"/>
      <c r="O69" s="331"/>
      <c r="P69" s="330"/>
      <c r="Q69" s="330"/>
      <c r="R69" s="330"/>
      <c r="S69" s="330"/>
      <c r="T69" s="330"/>
      <c r="U69" s="331"/>
      <c r="V69" s="331"/>
      <c r="W69" s="331"/>
      <c r="X69" s="331"/>
      <c r="Y69" s="330"/>
      <c r="Z69" s="330"/>
      <c r="AA69" s="331"/>
      <c r="AB69" s="331"/>
      <c r="AC69" s="331"/>
      <c r="AD69" s="331"/>
      <c r="AE69" s="331"/>
      <c r="AF69" s="331"/>
      <c r="AG69" s="331"/>
      <c r="AH69" s="331"/>
      <c r="AI69" s="331"/>
      <c r="AJ69" s="330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  <c r="BG69" s="331"/>
      <c r="BH69" s="331"/>
      <c r="BI69" s="331"/>
      <c r="BJ69" s="331"/>
      <c r="BK69" s="331"/>
      <c r="BL69" s="331"/>
      <c r="BM69" s="331"/>
      <c r="BN69" s="331"/>
      <c r="BO69" s="331"/>
      <c r="BP69" s="330"/>
      <c r="BQ69" s="331"/>
      <c r="BR69" s="329" t="s">
        <v>197</v>
      </c>
      <c r="BS69" s="288" t="s">
        <v>203</v>
      </c>
    </row>
    <row r="70" spans="1:71" x14ac:dyDescent="0.2">
      <c r="B70" s="332" t="s">
        <v>199</v>
      </c>
      <c r="C70" s="333">
        <v>391140691.10000062</v>
      </c>
      <c r="D70" s="333">
        <v>8327800.1577338427</v>
      </c>
      <c r="E70" s="333">
        <v>3965156.9663860002</v>
      </c>
      <c r="F70" s="333">
        <v>-14935653.446827501</v>
      </c>
      <c r="G70" s="333">
        <v>33104040.985172767</v>
      </c>
      <c r="H70" s="333">
        <v>-1955986.2286396027</v>
      </c>
      <c r="I70" s="333">
        <v>66597.374865170947</v>
      </c>
      <c r="J70" s="333">
        <v>303153.75903630909</v>
      </c>
      <c r="K70" s="333">
        <v>184145.16401528011</v>
      </c>
      <c r="L70" s="333">
        <v>71834.764841626398</v>
      </c>
      <c r="M70" s="333">
        <v>5301.3344264041589</v>
      </c>
      <c r="N70" s="333">
        <v>-803909.33835699933</v>
      </c>
      <c r="O70" s="333">
        <v>-496557.58700637007</v>
      </c>
      <c r="P70" s="333">
        <v>-1726149.211916219</v>
      </c>
      <c r="Q70" s="333">
        <v>319951.38960871822</v>
      </c>
      <c r="R70" s="333">
        <v>-61810.425156236211</v>
      </c>
      <c r="S70" s="333">
        <v>-13156.595940416744</v>
      </c>
      <c r="T70" s="333">
        <v>-23850.252119969373</v>
      </c>
      <c r="U70" s="333">
        <v>0</v>
      </c>
      <c r="V70" s="333">
        <v>-16904953.479322143</v>
      </c>
      <c r="W70" s="333">
        <v>340892.94246068329</v>
      </c>
      <c r="X70" s="333">
        <v>-7589560.1894254955</v>
      </c>
      <c r="Y70" s="333">
        <v>-68620.043849999958</v>
      </c>
      <c r="Z70" s="333">
        <v>167530.56</v>
      </c>
      <c r="AA70" s="333">
        <v>-32912585.679400001</v>
      </c>
      <c r="AB70" s="333">
        <v>-11000.8474333339</v>
      </c>
      <c r="AC70" s="333">
        <v>1668426.4785019332</v>
      </c>
      <c r="AD70" s="333">
        <v>0</v>
      </c>
      <c r="AE70" s="333">
        <v>0</v>
      </c>
      <c r="AF70" s="333">
        <v>0</v>
      </c>
      <c r="AG70" s="333">
        <v>0</v>
      </c>
      <c r="AH70" s="333">
        <v>0</v>
      </c>
      <c r="AI70" s="333">
        <v>-28978961.448345572</v>
      </c>
      <c r="AJ70" s="333">
        <v>362161729.65165567</v>
      </c>
      <c r="AK70" s="333">
        <v>-25687973.340135377</v>
      </c>
      <c r="AL70" s="333">
        <v>6844287.5880840775</v>
      </c>
      <c r="AM70" s="333">
        <v>-387214.75799517095</v>
      </c>
      <c r="AN70" s="333">
        <v>-71834.764841627039</v>
      </c>
      <c r="AO70" s="333">
        <v>-5301.3344264041589</v>
      </c>
      <c r="AP70" s="333">
        <v>-442588.00130389305</v>
      </c>
      <c r="AQ70" s="333">
        <v>-3003557.1583568119</v>
      </c>
      <c r="AR70" s="333">
        <v>-208177.32402600534</v>
      </c>
      <c r="AS70" s="333">
        <v>-691246.88851637836</v>
      </c>
      <c r="AT70" s="333">
        <v>2791831.5547333327</v>
      </c>
      <c r="AU70" s="333">
        <v>-120117.65165375613</v>
      </c>
      <c r="AV70" s="333">
        <v>-4864376.4922224488</v>
      </c>
      <c r="AW70" s="333">
        <v>394548.96938773646</v>
      </c>
      <c r="AX70" s="333">
        <v>-9704032.895832032</v>
      </c>
      <c r="AY70" s="333">
        <v>477330.77329275</v>
      </c>
      <c r="AZ70" s="333">
        <v>9006372.2399999984</v>
      </c>
      <c r="BA70" s="333">
        <v>-296261.05729127157</v>
      </c>
      <c r="BB70" s="333">
        <v>-1330725.9543599267</v>
      </c>
      <c r="BC70" s="333">
        <v>-538588.03</v>
      </c>
      <c r="BD70" s="333">
        <v>2739527.8114434183</v>
      </c>
      <c r="BE70" s="333">
        <v>518010.67067606235</v>
      </c>
      <c r="BF70" s="333">
        <v>-10681804.722000003</v>
      </c>
      <c r="BG70" s="333">
        <v>9100115.4800387621</v>
      </c>
      <c r="BH70" s="333">
        <v>4478733.8338600006</v>
      </c>
      <c r="BI70" s="333">
        <v>-292768.03540266951</v>
      </c>
      <c r="BJ70" s="333">
        <v>-2441144.5204499997</v>
      </c>
      <c r="BK70" s="333">
        <v>0</v>
      </c>
      <c r="BL70" s="333">
        <v>0</v>
      </c>
      <c r="BM70" s="333">
        <v>0</v>
      </c>
      <c r="BN70" s="333">
        <v>0</v>
      </c>
      <c r="BO70" s="333">
        <v>0</v>
      </c>
      <c r="BP70" s="333">
        <v>-24416954.007297635</v>
      </c>
      <c r="BQ70" s="333">
        <v>337744775.64435792</v>
      </c>
      <c r="BR70" s="332" t="s">
        <v>199</v>
      </c>
      <c r="BS70" s="288" t="s">
        <v>203</v>
      </c>
    </row>
    <row r="71" spans="1:71" x14ac:dyDescent="0.2">
      <c r="B71" s="334" t="s">
        <v>200</v>
      </c>
      <c r="C71" s="109">
        <v>5208778506.3049917</v>
      </c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09">
        <v>0</v>
      </c>
      <c r="T71" s="109">
        <v>0</v>
      </c>
      <c r="U71" s="109">
        <v>182606837.72800946</v>
      </c>
      <c r="V71" s="109">
        <v>-16904953.479322143</v>
      </c>
      <c r="W71" s="109">
        <v>0</v>
      </c>
      <c r="X71" s="109">
        <v>0</v>
      </c>
      <c r="Y71" s="109">
        <v>0</v>
      </c>
      <c r="Z71" s="109">
        <v>-1615371.4300000002</v>
      </c>
      <c r="AA71" s="109">
        <v>0</v>
      </c>
      <c r="AB71" s="109">
        <v>0</v>
      </c>
      <c r="AC71" s="109">
        <v>-11018406.688827798</v>
      </c>
      <c r="AD71" s="109">
        <v>0</v>
      </c>
      <c r="AE71" s="109">
        <v>0</v>
      </c>
      <c r="AF71" s="109">
        <v>0</v>
      </c>
      <c r="AG71" s="109">
        <v>0</v>
      </c>
      <c r="AH71" s="109">
        <v>0</v>
      </c>
      <c r="AI71" s="109">
        <v>153068106.12985951</v>
      </c>
      <c r="AJ71" s="109">
        <v>5361846612.4348507</v>
      </c>
      <c r="AK71" s="109">
        <v>0</v>
      </c>
      <c r="AL71" s="109">
        <v>0</v>
      </c>
      <c r="AM71" s="109">
        <v>0</v>
      </c>
      <c r="AN71" s="109">
        <v>0</v>
      </c>
      <c r="AO71" s="109">
        <v>0</v>
      </c>
      <c r="AP71" s="109">
        <v>0</v>
      </c>
      <c r="AQ71" s="109">
        <v>0</v>
      </c>
      <c r="AR71" s="109">
        <v>0</v>
      </c>
      <c r="AS71" s="109">
        <v>0</v>
      </c>
      <c r="AT71" s="109">
        <v>0</v>
      </c>
      <c r="AU71" s="109">
        <v>0</v>
      </c>
      <c r="AV71" s="109">
        <v>28244978.592898086</v>
      </c>
      <c r="AW71" s="109">
        <v>0</v>
      </c>
      <c r="AX71" s="109">
        <v>25877605.564484786</v>
      </c>
      <c r="AY71" s="109">
        <v>0</v>
      </c>
      <c r="AZ71" s="109">
        <v>4503186.1200000085</v>
      </c>
      <c r="BA71" s="109">
        <v>12855303.339327645</v>
      </c>
      <c r="BB71" s="109">
        <v>0</v>
      </c>
      <c r="BC71" s="109">
        <v>5481049.5432116631</v>
      </c>
      <c r="BD71" s="109">
        <v>0</v>
      </c>
      <c r="BE71" s="109">
        <v>0</v>
      </c>
      <c r="BF71" s="109">
        <v>0</v>
      </c>
      <c r="BG71" s="109">
        <v>-23391891.903797138</v>
      </c>
      <c r="BH71" s="109">
        <v>-3321469.9169705859</v>
      </c>
      <c r="BI71" s="109">
        <v>11899759.55273651</v>
      </c>
      <c r="BJ71" s="109">
        <v>4381542.8268333329</v>
      </c>
      <c r="BK71" s="109">
        <v>0</v>
      </c>
      <c r="BL71" s="109">
        <v>0</v>
      </c>
      <c r="BM71" s="109">
        <v>0</v>
      </c>
      <c r="BN71" s="109">
        <v>0</v>
      </c>
      <c r="BO71" s="109">
        <v>0</v>
      </c>
      <c r="BP71" s="109">
        <v>66530063.71872431</v>
      </c>
      <c r="BQ71" s="109">
        <v>5428376676.1535749</v>
      </c>
      <c r="BR71" s="335" t="s">
        <v>200</v>
      </c>
      <c r="BS71" s="288" t="s">
        <v>203</v>
      </c>
    </row>
    <row r="72" spans="1:71" x14ac:dyDescent="0.2">
      <c r="B72" s="329" t="s">
        <v>198</v>
      </c>
      <c r="C72" s="330"/>
      <c r="D72" s="330"/>
      <c r="E72" s="331"/>
      <c r="F72" s="331"/>
      <c r="G72" s="330"/>
      <c r="H72" s="331"/>
      <c r="I72" s="331"/>
      <c r="J72" s="330"/>
      <c r="K72" s="331"/>
      <c r="L72" s="331"/>
      <c r="M72" s="330"/>
      <c r="N72" s="331"/>
      <c r="O72" s="331"/>
      <c r="P72" s="330"/>
      <c r="Q72" s="330"/>
      <c r="R72" s="330"/>
      <c r="S72" s="330"/>
      <c r="T72" s="330"/>
      <c r="U72" s="331"/>
      <c r="V72" s="331"/>
      <c r="W72" s="331"/>
      <c r="X72" s="331"/>
      <c r="Y72" s="330"/>
      <c r="Z72" s="330"/>
      <c r="AA72" s="331"/>
      <c r="AB72" s="331"/>
      <c r="AC72" s="331"/>
      <c r="AD72" s="331"/>
      <c r="AE72" s="331"/>
      <c r="AF72" s="331"/>
      <c r="AG72" s="331"/>
      <c r="AH72" s="331"/>
      <c r="AI72" s="331"/>
      <c r="AJ72" s="330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  <c r="AZ72" s="331"/>
      <c r="BA72" s="331"/>
      <c r="BB72" s="331"/>
      <c r="BC72" s="331"/>
      <c r="BD72" s="331"/>
      <c r="BE72" s="331"/>
      <c r="BF72" s="331"/>
      <c r="BG72" s="331"/>
      <c r="BH72" s="331"/>
      <c r="BI72" s="331"/>
      <c r="BJ72" s="331"/>
      <c r="BK72" s="331"/>
      <c r="BL72" s="331"/>
      <c r="BM72" s="331"/>
      <c r="BN72" s="331"/>
      <c r="BO72" s="331"/>
      <c r="BP72" s="330"/>
      <c r="BQ72" s="331"/>
      <c r="BR72" s="329" t="s">
        <v>198</v>
      </c>
      <c r="BS72" s="288" t="s">
        <v>203</v>
      </c>
    </row>
    <row r="73" spans="1:71" x14ac:dyDescent="0.2">
      <c r="B73" s="336" t="s">
        <v>199</v>
      </c>
      <c r="C73" s="424">
        <f t="shared" ref="C73:AK73" si="38">C46</f>
        <v>391140691.10000062</v>
      </c>
      <c r="D73" s="867">
        <f t="shared" si="38"/>
        <v>8327800.1577338427</v>
      </c>
      <c r="E73" s="424">
        <f t="shared" si="38"/>
        <v>3965156.9663860002</v>
      </c>
      <c r="F73" s="424">
        <f t="shared" si="38"/>
        <v>-8177003.2254878283</v>
      </c>
      <c r="G73" s="424">
        <f t="shared" si="38"/>
        <v>32607563.054273214</v>
      </c>
      <c r="H73" s="424">
        <f t="shared" si="38"/>
        <v>-1955986.2286396027</v>
      </c>
      <c r="I73" s="424">
        <f t="shared" si="38"/>
        <v>66597.374865170947</v>
      </c>
      <c r="J73" s="424">
        <f t="shared" si="38"/>
        <v>303153.75903630909</v>
      </c>
      <c r="K73" s="424">
        <f t="shared" si="38"/>
        <v>184145.16401528011</v>
      </c>
      <c r="L73" s="424">
        <f t="shared" si="38"/>
        <v>71834.764841626398</v>
      </c>
      <c r="M73" s="424">
        <f t="shared" si="38"/>
        <v>5301.3344264041589</v>
      </c>
      <c r="N73" s="424">
        <f t="shared" si="38"/>
        <v>-803909.33835699933</v>
      </c>
      <c r="O73" s="424">
        <f t="shared" si="38"/>
        <v>-496557.58700637007</v>
      </c>
      <c r="P73" s="424">
        <f t="shared" si="38"/>
        <v>-1726149.211916219</v>
      </c>
      <c r="Q73" s="424">
        <f t="shared" si="38"/>
        <v>319951.38960871822</v>
      </c>
      <c r="R73" s="424">
        <f t="shared" si="38"/>
        <v>-61810.425156236211</v>
      </c>
      <c r="S73" s="424">
        <f t="shared" si="38"/>
        <v>-13156.595940416744</v>
      </c>
      <c r="T73" s="424">
        <f t="shared" si="38"/>
        <v>-23850.252119969373</v>
      </c>
      <c r="U73" s="424">
        <f t="shared" si="38"/>
        <v>0</v>
      </c>
      <c r="V73" s="424">
        <f t="shared" si="38"/>
        <v>-16904953.479322143</v>
      </c>
      <c r="W73" s="424">
        <f t="shared" si="38"/>
        <v>340892.94246068329</v>
      </c>
      <c r="X73" s="424">
        <f t="shared" si="38"/>
        <v>-7589560.1894254955</v>
      </c>
      <c r="Y73" s="424">
        <f t="shared" si="38"/>
        <v>-68620.043849999958</v>
      </c>
      <c r="Z73" s="424">
        <f t="shared" si="38"/>
        <v>167530.56</v>
      </c>
      <c r="AA73" s="424">
        <f t="shared" si="38"/>
        <v>-32912585.679400001</v>
      </c>
      <c r="AB73" s="424">
        <f t="shared" si="38"/>
        <v>-11000.8474333339</v>
      </c>
      <c r="AC73" s="424">
        <f t="shared" si="38"/>
        <v>19584196.21567598</v>
      </c>
      <c r="AD73" s="424">
        <f t="shared" si="38"/>
        <v>431824.68063823192</v>
      </c>
      <c r="AE73" s="424">
        <f t="shared" si="38"/>
        <v>0</v>
      </c>
      <c r="AF73" s="424">
        <f t="shared" si="38"/>
        <v>0</v>
      </c>
      <c r="AG73" s="424">
        <f t="shared" si="38"/>
        <v>0</v>
      </c>
      <c r="AH73" s="424">
        <f t="shared" si="38"/>
        <v>0</v>
      </c>
      <c r="AI73" s="424">
        <f t="shared" si="38"/>
        <v>-4369194.7400931716</v>
      </c>
      <c r="AJ73" s="424">
        <f t="shared" si="38"/>
        <v>386771496.3599081</v>
      </c>
      <c r="AK73" s="424">
        <f t="shared" si="38"/>
        <v>-25679089.012964979</v>
      </c>
      <c r="AL73" s="424">
        <f t="shared" ref="AL73:BQ73" si="39">AL46</f>
        <v>6844287.5880840775</v>
      </c>
      <c r="AM73" s="424">
        <f t="shared" si="39"/>
        <v>-963208.3167736521</v>
      </c>
      <c r="AN73" s="424">
        <f t="shared" si="39"/>
        <v>-71834.764841627039</v>
      </c>
      <c r="AO73" s="424">
        <f t="shared" si="39"/>
        <v>-5301.3344264041589</v>
      </c>
      <c r="AP73" s="424">
        <f t="shared" si="39"/>
        <v>-442588.00130389305</v>
      </c>
      <c r="AQ73" s="424">
        <f t="shared" si="39"/>
        <v>-3003557.1583568119</v>
      </c>
      <c r="AR73" s="424">
        <f t="shared" si="39"/>
        <v>-208177.32402600534</v>
      </c>
      <c r="AS73" s="424">
        <f t="shared" si="39"/>
        <v>-691246.88851637836</v>
      </c>
      <c r="AT73" s="424">
        <f t="shared" si="39"/>
        <v>2791831.5547333327</v>
      </c>
      <c r="AU73" s="424">
        <f t="shared" si="39"/>
        <v>-120117.65165375613</v>
      </c>
      <c r="AV73" s="424">
        <f t="shared" si="39"/>
        <v>-4864376.4922224488</v>
      </c>
      <c r="AW73" s="424">
        <f t="shared" si="39"/>
        <v>394548.96938773646</v>
      </c>
      <c r="AX73" s="424">
        <f t="shared" si="39"/>
        <v>-5181410.1925229533</v>
      </c>
      <c r="AY73" s="424">
        <f t="shared" si="39"/>
        <v>477330.77329275</v>
      </c>
      <c r="AZ73" s="424">
        <f t="shared" si="39"/>
        <v>9006372.2399999984</v>
      </c>
      <c r="BA73" s="424">
        <f t="shared" si="39"/>
        <v>0</v>
      </c>
      <c r="BB73" s="424">
        <f t="shared" si="39"/>
        <v>-1330725.9543599267</v>
      </c>
      <c r="BC73" s="424">
        <f t="shared" si="39"/>
        <v>0</v>
      </c>
      <c r="BD73" s="424">
        <f t="shared" si="39"/>
        <v>2739527.8114434183</v>
      </c>
      <c r="BE73" s="424">
        <f t="shared" si="39"/>
        <v>549761.45894175186</v>
      </c>
      <c r="BF73" s="424">
        <f t="shared" si="39"/>
        <v>-10681804.722000003</v>
      </c>
      <c r="BG73" s="424">
        <f t="shared" si="39"/>
        <v>9100115.4800387621</v>
      </c>
      <c r="BH73" s="424">
        <f t="shared" si="39"/>
        <v>4478733.8338600006</v>
      </c>
      <c r="BI73" s="424">
        <f t="shared" si="39"/>
        <v>0</v>
      </c>
      <c r="BJ73" s="424">
        <f t="shared" si="39"/>
        <v>-2441144.5204499997</v>
      </c>
      <c r="BK73" s="424">
        <f t="shared" si="39"/>
        <v>0</v>
      </c>
      <c r="BL73" s="424">
        <f t="shared" ref="BL73:BN73" si="40">BL46</f>
        <v>45030</v>
      </c>
      <c r="BM73" s="424">
        <f t="shared" si="40"/>
        <v>0</v>
      </c>
      <c r="BN73" s="424">
        <f t="shared" si="40"/>
        <v>0</v>
      </c>
      <c r="BO73" s="424">
        <f t="shared" si="39"/>
        <v>0</v>
      </c>
      <c r="BP73" s="424">
        <f t="shared" si="39"/>
        <v>-19257042.624637008</v>
      </c>
      <c r="BQ73" s="424">
        <f t="shared" si="39"/>
        <v>367514453.73527145</v>
      </c>
      <c r="BR73" s="336" t="s">
        <v>199</v>
      </c>
      <c r="BS73" s="288" t="s">
        <v>203</v>
      </c>
    </row>
    <row r="74" spans="1:71" x14ac:dyDescent="0.2">
      <c r="B74" s="337" t="s">
        <v>200</v>
      </c>
      <c r="C74" s="338">
        <f t="shared" ref="C74:AK74" si="41">C48</f>
        <v>5208778506.3049917</v>
      </c>
      <c r="D74" s="338">
        <f t="shared" si="41"/>
        <v>0</v>
      </c>
      <c r="E74" s="338">
        <f t="shared" si="41"/>
        <v>0</v>
      </c>
      <c r="F74" s="338">
        <f t="shared" si="41"/>
        <v>32585069.952498022</v>
      </c>
      <c r="G74" s="338">
        <f t="shared" si="41"/>
        <v>0</v>
      </c>
      <c r="H74" s="338">
        <f t="shared" si="41"/>
        <v>0</v>
      </c>
      <c r="I74" s="338">
        <f t="shared" si="41"/>
        <v>0</v>
      </c>
      <c r="J74" s="338">
        <f t="shared" si="41"/>
        <v>0</v>
      </c>
      <c r="K74" s="338">
        <f t="shared" si="41"/>
        <v>0</v>
      </c>
      <c r="L74" s="338">
        <f t="shared" si="41"/>
        <v>0</v>
      </c>
      <c r="M74" s="338">
        <f t="shared" si="41"/>
        <v>0</v>
      </c>
      <c r="N74" s="338">
        <f t="shared" si="41"/>
        <v>0</v>
      </c>
      <c r="O74" s="338">
        <f t="shared" si="41"/>
        <v>0</v>
      </c>
      <c r="P74" s="338">
        <f t="shared" si="41"/>
        <v>0</v>
      </c>
      <c r="Q74" s="338">
        <f t="shared" si="41"/>
        <v>0</v>
      </c>
      <c r="R74" s="338">
        <f t="shared" si="41"/>
        <v>0</v>
      </c>
      <c r="S74" s="338">
        <f t="shared" si="41"/>
        <v>0</v>
      </c>
      <c r="T74" s="338">
        <f t="shared" si="41"/>
        <v>0</v>
      </c>
      <c r="U74" s="338">
        <f t="shared" si="41"/>
        <v>182606837.72800946</v>
      </c>
      <c r="V74" s="338">
        <f t="shared" si="41"/>
        <v>-16904953.479322143</v>
      </c>
      <c r="W74" s="338">
        <f t="shared" si="41"/>
        <v>0</v>
      </c>
      <c r="X74" s="338">
        <f t="shared" si="41"/>
        <v>0</v>
      </c>
      <c r="Y74" s="338">
        <f t="shared" si="41"/>
        <v>0</v>
      </c>
      <c r="Z74" s="338">
        <f t="shared" si="41"/>
        <v>-1615371.4300000002</v>
      </c>
      <c r="AA74" s="338">
        <f t="shared" si="41"/>
        <v>0</v>
      </c>
      <c r="AB74" s="338">
        <f t="shared" si="41"/>
        <v>0</v>
      </c>
      <c r="AC74" s="338">
        <f t="shared" si="41"/>
        <v>-118419108.82745513</v>
      </c>
      <c r="AD74" s="338">
        <f t="shared" si="41"/>
        <v>-5272400.7298989873</v>
      </c>
      <c r="AE74" s="338">
        <f t="shared" si="41"/>
        <v>-326274</v>
      </c>
      <c r="AF74" s="338">
        <f t="shared" si="41"/>
        <v>0</v>
      </c>
      <c r="AG74" s="338">
        <f t="shared" si="41"/>
        <v>0</v>
      </c>
      <c r="AH74" s="338">
        <f t="shared" si="41"/>
        <v>0</v>
      </c>
      <c r="AI74" s="338">
        <f t="shared" si="41"/>
        <v>72653799.213831171</v>
      </c>
      <c r="AJ74" s="338">
        <f t="shared" si="41"/>
        <v>5281432305.5188236</v>
      </c>
      <c r="AK74" s="338">
        <f t="shared" si="41"/>
        <v>0</v>
      </c>
      <c r="AL74" s="338">
        <f t="shared" ref="AL74:BQ74" si="42">AL48</f>
        <v>0</v>
      </c>
      <c r="AM74" s="338">
        <f t="shared" si="42"/>
        <v>0</v>
      </c>
      <c r="AN74" s="338">
        <f t="shared" si="42"/>
        <v>0</v>
      </c>
      <c r="AO74" s="338">
        <f t="shared" si="42"/>
        <v>0</v>
      </c>
      <c r="AP74" s="338">
        <f t="shared" si="42"/>
        <v>0</v>
      </c>
      <c r="AQ74" s="338">
        <f t="shared" si="42"/>
        <v>0</v>
      </c>
      <c r="AR74" s="338">
        <f t="shared" si="42"/>
        <v>0</v>
      </c>
      <c r="AS74" s="338">
        <f t="shared" si="42"/>
        <v>0</v>
      </c>
      <c r="AT74" s="338">
        <f t="shared" si="42"/>
        <v>0</v>
      </c>
      <c r="AU74" s="338">
        <f t="shared" si="42"/>
        <v>0</v>
      </c>
      <c r="AV74" s="338">
        <f t="shared" si="42"/>
        <v>28244978.592898086</v>
      </c>
      <c r="AW74" s="338">
        <f t="shared" si="42"/>
        <v>0</v>
      </c>
      <c r="AX74" s="338">
        <f t="shared" si="42"/>
        <v>11359234.266798822</v>
      </c>
      <c r="AY74" s="338">
        <f t="shared" si="42"/>
        <v>0</v>
      </c>
      <c r="AZ74" s="338">
        <f t="shared" si="42"/>
        <v>4503186.1200000085</v>
      </c>
      <c r="BA74" s="338">
        <f t="shared" si="42"/>
        <v>0</v>
      </c>
      <c r="BB74" s="338">
        <f t="shared" si="42"/>
        <v>0</v>
      </c>
      <c r="BC74" s="338">
        <f t="shared" si="42"/>
        <v>0</v>
      </c>
      <c r="BD74" s="338">
        <f t="shared" si="42"/>
        <v>0</v>
      </c>
      <c r="BE74" s="338">
        <f t="shared" si="42"/>
        <v>0</v>
      </c>
      <c r="BF74" s="338">
        <f t="shared" si="42"/>
        <v>0</v>
      </c>
      <c r="BG74" s="338">
        <f t="shared" si="42"/>
        <v>-23391891.903797138</v>
      </c>
      <c r="BH74" s="338">
        <f t="shared" si="42"/>
        <v>-3321469.9169705859</v>
      </c>
      <c r="BI74" s="338">
        <f t="shared" si="42"/>
        <v>0</v>
      </c>
      <c r="BJ74" s="338">
        <f t="shared" si="42"/>
        <v>4644660.6473233327</v>
      </c>
      <c r="BK74" s="338">
        <f t="shared" si="42"/>
        <v>-52488670</v>
      </c>
      <c r="BL74" s="338">
        <f t="shared" ref="BL74:BN74" si="43">BL48</f>
        <v>-550155.21</v>
      </c>
      <c r="BM74" s="338">
        <f t="shared" si="43"/>
        <v>0</v>
      </c>
      <c r="BN74" s="338">
        <f t="shared" si="43"/>
        <v>0</v>
      </c>
      <c r="BO74" s="338">
        <f t="shared" si="42"/>
        <v>0</v>
      </c>
      <c r="BP74" s="338">
        <f t="shared" si="42"/>
        <v>-31000127.40374748</v>
      </c>
      <c r="BQ74" s="338">
        <f t="shared" si="42"/>
        <v>5250432178.1150761</v>
      </c>
      <c r="BR74" s="337" t="s">
        <v>200</v>
      </c>
      <c r="BS74" s="288" t="s">
        <v>203</v>
      </c>
    </row>
    <row r="75" spans="1:71" x14ac:dyDescent="0.2">
      <c r="B75" s="329" t="s">
        <v>201</v>
      </c>
      <c r="C75" s="330"/>
      <c r="D75" s="330"/>
      <c r="E75" s="331"/>
      <c r="F75" s="331"/>
      <c r="G75" s="330"/>
      <c r="H75" s="331"/>
      <c r="I75" s="331"/>
      <c r="J75" s="330"/>
      <c r="K75" s="331"/>
      <c r="L75" s="331"/>
      <c r="M75" s="330"/>
      <c r="N75" s="331"/>
      <c r="O75" s="331"/>
      <c r="P75" s="330"/>
      <c r="Q75" s="330"/>
      <c r="R75" s="330"/>
      <c r="S75" s="330"/>
      <c r="T75" s="330"/>
      <c r="U75" s="331"/>
      <c r="V75" s="331"/>
      <c r="W75" s="331"/>
      <c r="X75" s="331"/>
      <c r="Y75" s="330"/>
      <c r="Z75" s="330"/>
      <c r="AA75" s="331"/>
      <c r="AB75" s="331"/>
      <c r="AC75" s="331"/>
      <c r="AD75" s="331"/>
      <c r="AE75" s="331"/>
      <c r="AF75" s="331"/>
      <c r="AG75" s="331"/>
      <c r="AH75" s="331"/>
      <c r="AI75" s="331"/>
      <c r="AJ75" s="330"/>
      <c r="AK75" s="331"/>
      <c r="AL75" s="331"/>
      <c r="AM75" s="331"/>
      <c r="AN75" s="331"/>
      <c r="AO75" s="331"/>
      <c r="AP75" s="331"/>
      <c r="AQ75" s="331"/>
      <c r="AR75" s="331"/>
      <c r="AS75" s="331"/>
      <c r="AT75" s="331"/>
      <c r="AU75" s="331"/>
      <c r="AV75" s="331"/>
      <c r="AW75" s="331"/>
      <c r="AX75" s="331"/>
      <c r="AY75" s="331"/>
      <c r="AZ75" s="331"/>
      <c r="BA75" s="331"/>
      <c r="BB75" s="331"/>
      <c r="BC75" s="331"/>
      <c r="BD75" s="331"/>
      <c r="BE75" s="331"/>
      <c r="BF75" s="331"/>
      <c r="BG75" s="331"/>
      <c r="BH75" s="331"/>
      <c r="BI75" s="331"/>
      <c r="BJ75" s="331"/>
      <c r="BK75" s="331"/>
      <c r="BL75" s="331"/>
      <c r="BM75" s="331"/>
      <c r="BN75" s="331"/>
      <c r="BO75" s="331"/>
      <c r="BP75" s="330"/>
      <c r="BQ75" s="331"/>
      <c r="BR75" s="329" t="s">
        <v>201</v>
      </c>
      <c r="BS75" s="288" t="s">
        <v>203</v>
      </c>
    </row>
    <row r="76" spans="1:71" ht="15" customHeight="1" x14ac:dyDescent="0.2">
      <c r="B76" s="339" t="s">
        <v>194</v>
      </c>
      <c r="C76" s="425">
        <f t="shared" ref="C76:AK77" si="44">C73-C70</f>
        <v>0</v>
      </c>
      <c r="D76" s="425">
        <f t="shared" si="44"/>
        <v>0</v>
      </c>
      <c r="E76" s="425">
        <f t="shared" si="44"/>
        <v>0</v>
      </c>
      <c r="F76" s="425">
        <f t="shared" si="44"/>
        <v>6758650.2213396728</v>
      </c>
      <c r="G76" s="425">
        <f t="shared" si="44"/>
        <v>-496477.930899553</v>
      </c>
      <c r="H76" s="425">
        <f t="shared" si="44"/>
        <v>0</v>
      </c>
      <c r="I76" s="425">
        <f t="shared" si="44"/>
        <v>0</v>
      </c>
      <c r="J76" s="425">
        <f t="shared" si="44"/>
        <v>0</v>
      </c>
      <c r="K76" s="425">
        <f t="shared" si="44"/>
        <v>0</v>
      </c>
      <c r="L76" s="425">
        <f t="shared" si="44"/>
        <v>0</v>
      </c>
      <c r="M76" s="425">
        <f t="shared" si="44"/>
        <v>0</v>
      </c>
      <c r="N76" s="425">
        <f t="shared" si="44"/>
        <v>0</v>
      </c>
      <c r="O76" s="425">
        <f t="shared" si="44"/>
        <v>0</v>
      </c>
      <c r="P76" s="425">
        <f t="shared" si="44"/>
        <v>0</v>
      </c>
      <c r="Q76" s="425">
        <f t="shared" si="44"/>
        <v>0</v>
      </c>
      <c r="R76" s="425">
        <f t="shared" si="44"/>
        <v>0</v>
      </c>
      <c r="S76" s="425">
        <f t="shared" si="44"/>
        <v>0</v>
      </c>
      <c r="T76" s="425">
        <f t="shared" si="44"/>
        <v>0</v>
      </c>
      <c r="U76" s="425">
        <f t="shared" si="44"/>
        <v>0</v>
      </c>
      <c r="V76" s="425">
        <f t="shared" si="44"/>
        <v>0</v>
      </c>
      <c r="W76" s="425">
        <f t="shared" si="44"/>
        <v>0</v>
      </c>
      <c r="X76" s="425">
        <f t="shared" si="44"/>
        <v>0</v>
      </c>
      <c r="Y76" s="425">
        <f t="shared" si="44"/>
        <v>0</v>
      </c>
      <c r="Z76" s="425">
        <f t="shared" si="44"/>
        <v>0</v>
      </c>
      <c r="AA76" s="425">
        <f t="shared" si="44"/>
        <v>0</v>
      </c>
      <c r="AB76" s="426">
        <f t="shared" si="44"/>
        <v>0</v>
      </c>
      <c r="AC76" s="425">
        <f t="shared" si="44"/>
        <v>17915769.737174045</v>
      </c>
      <c r="AD76" s="425">
        <f t="shared" si="44"/>
        <v>431824.68063823192</v>
      </c>
      <c r="AE76" s="425">
        <f t="shared" si="44"/>
        <v>0</v>
      </c>
      <c r="AF76" s="425">
        <f t="shared" si="44"/>
        <v>0</v>
      </c>
      <c r="AG76" s="425">
        <f t="shared" si="44"/>
        <v>0</v>
      </c>
      <c r="AH76" s="425">
        <f t="shared" si="44"/>
        <v>0</v>
      </c>
      <c r="AI76" s="425">
        <f t="shared" si="44"/>
        <v>24609766.7082524</v>
      </c>
      <c r="AJ76" s="425">
        <f t="shared" si="44"/>
        <v>24609766.70825243</v>
      </c>
      <c r="AK76" s="425">
        <f t="shared" si="44"/>
        <v>8884.3271703980863</v>
      </c>
      <c r="AL76" s="425">
        <f t="shared" ref="AL76:BQ76" si="45">AL73-AL70</f>
        <v>0</v>
      </c>
      <c r="AM76" s="425">
        <f t="shared" si="45"/>
        <v>-575993.55877848109</v>
      </c>
      <c r="AN76" s="425">
        <f t="shared" si="45"/>
        <v>0</v>
      </c>
      <c r="AO76" s="425">
        <f t="shared" si="45"/>
        <v>0</v>
      </c>
      <c r="AP76" s="425">
        <f t="shared" si="45"/>
        <v>0</v>
      </c>
      <c r="AQ76" s="425">
        <f t="shared" si="45"/>
        <v>0</v>
      </c>
      <c r="AR76" s="425">
        <f t="shared" si="45"/>
        <v>0</v>
      </c>
      <c r="AS76" s="425">
        <f t="shared" si="45"/>
        <v>0</v>
      </c>
      <c r="AT76" s="425">
        <f t="shared" si="45"/>
        <v>0</v>
      </c>
      <c r="AU76" s="425">
        <f t="shared" si="45"/>
        <v>0</v>
      </c>
      <c r="AV76" s="425">
        <f t="shared" si="45"/>
        <v>0</v>
      </c>
      <c r="AW76" s="425">
        <f t="shared" si="45"/>
        <v>0</v>
      </c>
      <c r="AX76" s="425">
        <f t="shared" si="45"/>
        <v>4522622.7033090787</v>
      </c>
      <c r="AY76" s="425">
        <f t="shared" si="45"/>
        <v>0</v>
      </c>
      <c r="AZ76" s="425">
        <f t="shared" si="45"/>
        <v>0</v>
      </c>
      <c r="BA76" s="425">
        <f t="shared" si="45"/>
        <v>296261.05729127157</v>
      </c>
      <c r="BB76" s="425">
        <f t="shared" si="45"/>
        <v>0</v>
      </c>
      <c r="BC76" s="425">
        <f t="shared" si="45"/>
        <v>538588.03</v>
      </c>
      <c r="BD76" s="425">
        <f t="shared" si="45"/>
        <v>0</v>
      </c>
      <c r="BE76" s="425">
        <f t="shared" si="45"/>
        <v>31750.788265689509</v>
      </c>
      <c r="BF76" s="426">
        <f t="shared" si="45"/>
        <v>0</v>
      </c>
      <c r="BG76" s="425">
        <f t="shared" si="45"/>
        <v>0</v>
      </c>
      <c r="BH76" s="425">
        <f t="shared" si="45"/>
        <v>0</v>
      </c>
      <c r="BI76" s="425">
        <f t="shared" si="45"/>
        <v>292768.03540266951</v>
      </c>
      <c r="BJ76" s="425">
        <f t="shared" si="45"/>
        <v>0</v>
      </c>
      <c r="BK76" s="425">
        <f t="shared" si="45"/>
        <v>0</v>
      </c>
      <c r="BL76" s="425">
        <f t="shared" ref="BL76:BN76" si="46">BL73-BL70</f>
        <v>45030</v>
      </c>
      <c r="BM76" s="425">
        <f t="shared" si="46"/>
        <v>0</v>
      </c>
      <c r="BN76" s="425">
        <f t="shared" si="46"/>
        <v>0</v>
      </c>
      <c r="BO76" s="425">
        <f t="shared" si="45"/>
        <v>0</v>
      </c>
      <c r="BP76" s="425">
        <f t="shared" si="45"/>
        <v>5159911.3826606274</v>
      </c>
      <c r="BQ76" s="425">
        <f t="shared" si="45"/>
        <v>29769678.090913534</v>
      </c>
      <c r="BR76" s="339" t="s">
        <v>194</v>
      </c>
      <c r="BS76" s="340" t="s">
        <v>203</v>
      </c>
    </row>
    <row r="77" spans="1:71" ht="15.75" customHeight="1" x14ac:dyDescent="0.2">
      <c r="B77" s="334" t="s">
        <v>196</v>
      </c>
      <c r="C77" s="341">
        <f t="shared" ref="C77:AK77" si="47">C74-C71</f>
        <v>0</v>
      </c>
      <c r="D77" s="341">
        <f t="shared" si="47"/>
        <v>0</v>
      </c>
      <c r="E77" s="341">
        <f t="shared" si="47"/>
        <v>0</v>
      </c>
      <c r="F77" s="341">
        <f t="shared" si="47"/>
        <v>32585069.952498022</v>
      </c>
      <c r="G77" s="341">
        <f t="shared" si="47"/>
        <v>0</v>
      </c>
      <c r="H77" s="341">
        <f t="shared" si="47"/>
        <v>0</v>
      </c>
      <c r="I77" s="341">
        <f t="shared" si="47"/>
        <v>0</v>
      </c>
      <c r="J77" s="341">
        <f t="shared" si="47"/>
        <v>0</v>
      </c>
      <c r="K77" s="341">
        <f t="shared" si="47"/>
        <v>0</v>
      </c>
      <c r="L77" s="341">
        <f t="shared" si="47"/>
        <v>0</v>
      </c>
      <c r="M77" s="341">
        <f t="shared" si="47"/>
        <v>0</v>
      </c>
      <c r="N77" s="341">
        <f t="shared" si="47"/>
        <v>0</v>
      </c>
      <c r="O77" s="341">
        <f t="shared" si="47"/>
        <v>0</v>
      </c>
      <c r="P77" s="341">
        <f t="shared" si="47"/>
        <v>0</v>
      </c>
      <c r="Q77" s="341">
        <f t="shared" si="47"/>
        <v>0</v>
      </c>
      <c r="R77" s="341">
        <f t="shared" si="47"/>
        <v>0</v>
      </c>
      <c r="S77" s="341">
        <f t="shared" si="47"/>
        <v>0</v>
      </c>
      <c r="T77" s="341">
        <f t="shared" si="47"/>
        <v>0</v>
      </c>
      <c r="U77" s="341">
        <f t="shared" si="47"/>
        <v>0</v>
      </c>
      <c r="V77" s="341">
        <f t="shared" si="47"/>
        <v>0</v>
      </c>
      <c r="W77" s="341">
        <f t="shared" si="47"/>
        <v>0</v>
      </c>
      <c r="X77" s="341">
        <f t="shared" si="47"/>
        <v>0</v>
      </c>
      <c r="Y77" s="341">
        <f t="shared" si="47"/>
        <v>0</v>
      </c>
      <c r="Z77" s="341">
        <f t="shared" si="47"/>
        <v>0</v>
      </c>
      <c r="AA77" s="341">
        <f t="shared" si="47"/>
        <v>0</v>
      </c>
      <c r="AB77" s="341">
        <f t="shared" si="47"/>
        <v>0</v>
      </c>
      <c r="AC77" s="341">
        <f t="shared" si="47"/>
        <v>-107400702.13862734</v>
      </c>
      <c r="AD77" s="341">
        <f t="shared" si="47"/>
        <v>-5272400.7298989873</v>
      </c>
      <c r="AE77" s="341">
        <f t="shared" si="47"/>
        <v>-326274</v>
      </c>
      <c r="AF77" s="341">
        <f t="shared" si="44"/>
        <v>0</v>
      </c>
      <c r="AG77" s="341">
        <f t="shared" si="47"/>
        <v>0</v>
      </c>
      <c r="AH77" s="341">
        <f t="shared" si="47"/>
        <v>0</v>
      </c>
      <c r="AI77" s="341">
        <f t="shared" si="47"/>
        <v>-80414306.916028336</v>
      </c>
      <c r="AJ77" s="341">
        <f t="shared" si="47"/>
        <v>-80414306.916027069</v>
      </c>
      <c r="AK77" s="341">
        <f t="shared" si="47"/>
        <v>0</v>
      </c>
      <c r="AL77" s="341">
        <f t="shared" ref="AL77:BQ77" si="48">AL74-AL71</f>
        <v>0</v>
      </c>
      <c r="AM77" s="341">
        <f t="shared" si="48"/>
        <v>0</v>
      </c>
      <c r="AN77" s="341">
        <f t="shared" si="48"/>
        <v>0</v>
      </c>
      <c r="AO77" s="341">
        <f t="shared" si="48"/>
        <v>0</v>
      </c>
      <c r="AP77" s="341">
        <f t="shared" si="48"/>
        <v>0</v>
      </c>
      <c r="AQ77" s="341">
        <f t="shared" si="48"/>
        <v>0</v>
      </c>
      <c r="AR77" s="341">
        <f t="shared" si="48"/>
        <v>0</v>
      </c>
      <c r="AS77" s="341">
        <f t="shared" si="48"/>
        <v>0</v>
      </c>
      <c r="AT77" s="341">
        <f t="shared" si="48"/>
        <v>0</v>
      </c>
      <c r="AU77" s="341">
        <f t="shared" si="48"/>
        <v>0</v>
      </c>
      <c r="AV77" s="341">
        <f t="shared" si="48"/>
        <v>0</v>
      </c>
      <c r="AW77" s="341">
        <f t="shared" si="48"/>
        <v>0</v>
      </c>
      <c r="AX77" s="341">
        <f t="shared" si="48"/>
        <v>-14518371.297685964</v>
      </c>
      <c r="AY77" s="341">
        <f t="shared" si="48"/>
        <v>0</v>
      </c>
      <c r="AZ77" s="341">
        <f t="shared" si="48"/>
        <v>0</v>
      </c>
      <c r="BA77" s="341">
        <f t="shared" si="48"/>
        <v>-12855303.339327645</v>
      </c>
      <c r="BB77" s="341">
        <f t="shared" si="48"/>
        <v>0</v>
      </c>
      <c r="BC77" s="341">
        <f t="shared" si="48"/>
        <v>-5481049.5432116631</v>
      </c>
      <c r="BD77" s="341">
        <f t="shared" si="48"/>
        <v>0</v>
      </c>
      <c r="BE77" s="341">
        <f t="shared" si="48"/>
        <v>0</v>
      </c>
      <c r="BF77" s="341">
        <f t="shared" si="48"/>
        <v>0</v>
      </c>
      <c r="BG77" s="341">
        <f t="shared" si="48"/>
        <v>0</v>
      </c>
      <c r="BH77" s="341">
        <f t="shared" si="48"/>
        <v>0</v>
      </c>
      <c r="BI77" s="341">
        <f t="shared" si="48"/>
        <v>-11899759.55273651</v>
      </c>
      <c r="BJ77" s="341">
        <f t="shared" si="48"/>
        <v>263117.82048999984</v>
      </c>
      <c r="BK77" s="341">
        <f t="shared" si="48"/>
        <v>-52488670</v>
      </c>
      <c r="BL77" s="341">
        <f t="shared" ref="BL77:BN77" si="49">BL74-BL71</f>
        <v>-550155.21</v>
      </c>
      <c r="BM77" s="341">
        <f t="shared" si="49"/>
        <v>0</v>
      </c>
      <c r="BN77" s="341">
        <f t="shared" si="49"/>
        <v>0</v>
      </c>
      <c r="BO77" s="341">
        <f t="shared" si="48"/>
        <v>0</v>
      </c>
      <c r="BP77" s="341">
        <f t="shared" si="48"/>
        <v>-97530191.122471794</v>
      </c>
      <c r="BQ77" s="341">
        <f t="shared" si="48"/>
        <v>-177944498.03849888</v>
      </c>
      <c r="BR77" s="334" t="s">
        <v>196</v>
      </c>
      <c r="BS77" s="340" t="s">
        <v>203</v>
      </c>
    </row>
    <row r="79" spans="1:71" customFormat="1" ht="15" x14ac:dyDescent="0.25">
      <c r="A79" s="288"/>
      <c r="B79" t="s">
        <v>883</v>
      </c>
      <c r="D79" t="str">
        <f>TEXT(D9,"0.00")&amp;" ER"</f>
        <v>6.01 ER</v>
      </c>
      <c r="E79" t="str">
        <f t="shared" ref="E79:AC79" si="50">TEXT(E9,"0.00")&amp;" ER"</f>
        <v>6.02 ER</v>
      </c>
      <c r="F79" t="str">
        <f t="shared" si="50"/>
        <v>6.03 ER</v>
      </c>
      <c r="G79" t="str">
        <f t="shared" si="50"/>
        <v>6.04 ER</v>
      </c>
      <c r="H79" t="str">
        <f t="shared" si="50"/>
        <v>6.05 ER</v>
      </c>
      <c r="I79" t="str">
        <f t="shared" si="50"/>
        <v>6.06 ER</v>
      </c>
      <c r="J79" t="str">
        <f t="shared" si="50"/>
        <v>6.07 ER</v>
      </c>
      <c r="K79" t="str">
        <f t="shared" si="50"/>
        <v>6.08 ER</v>
      </c>
      <c r="L79" t="str">
        <f t="shared" si="50"/>
        <v>6.09 ER</v>
      </c>
      <c r="M79" t="str">
        <f t="shared" si="50"/>
        <v>6.10 ER</v>
      </c>
      <c r="N79" t="str">
        <f t="shared" si="50"/>
        <v>6.11 ER</v>
      </c>
      <c r="O79" t="str">
        <f t="shared" si="50"/>
        <v>6.12 ER</v>
      </c>
      <c r="P79" t="str">
        <f t="shared" si="50"/>
        <v>6.13 ER</v>
      </c>
      <c r="Q79" t="str">
        <f t="shared" si="50"/>
        <v>6.14 ER</v>
      </c>
      <c r="R79" t="str">
        <f t="shared" si="50"/>
        <v>6.15 ER</v>
      </c>
      <c r="S79" t="str">
        <f t="shared" si="50"/>
        <v>6.16 ER</v>
      </c>
      <c r="T79" t="str">
        <f t="shared" si="50"/>
        <v>6.17 ER</v>
      </c>
      <c r="U79" t="str">
        <f t="shared" si="50"/>
        <v>6.18 ER</v>
      </c>
      <c r="V79" t="str">
        <f t="shared" si="50"/>
        <v>6.19 ER</v>
      </c>
      <c r="W79" t="str">
        <f t="shared" si="50"/>
        <v>6.23 ER</v>
      </c>
      <c r="X79" t="str">
        <f t="shared" si="50"/>
        <v>7.01 ER</v>
      </c>
      <c r="Y79" t="str">
        <f t="shared" si="50"/>
        <v>7.02 ER</v>
      </c>
      <c r="Z79" t="str">
        <f t="shared" si="50"/>
        <v>7.03 ER</v>
      </c>
      <c r="AA79" t="str">
        <f t="shared" si="50"/>
        <v>7.04 ER</v>
      </c>
      <c r="AB79" t="str">
        <f t="shared" si="50"/>
        <v>7.05 ER</v>
      </c>
      <c r="AC79" t="str">
        <f t="shared" si="50"/>
        <v>7.07 ER</v>
      </c>
      <c r="AD79" s="799" t="str">
        <f>+AD9</f>
        <v>12.01E</v>
      </c>
      <c r="AE79" s="799" t="str">
        <f>+AE9</f>
        <v>12.02E</v>
      </c>
      <c r="AF79" s="799" t="str">
        <f>+AF9</f>
        <v>12.03E</v>
      </c>
      <c r="AK79" t="str">
        <f>TEXT(AK9,"0.00")&amp;" EP"</f>
        <v>6.01 EP</v>
      </c>
      <c r="AL79" t="str">
        <f t="shared" ref="AL79:BJ79" si="51">TEXT(AL9,"0.00")&amp;" EP"</f>
        <v>6.02 EP</v>
      </c>
      <c r="AM79" t="str">
        <f t="shared" si="51"/>
        <v>6.04 EP</v>
      </c>
      <c r="AN79" t="str">
        <f t="shared" si="51"/>
        <v>6.09 EP</v>
      </c>
      <c r="AO79" t="str">
        <f t="shared" si="51"/>
        <v>6.10 EP</v>
      </c>
      <c r="AP79" t="str">
        <f t="shared" si="51"/>
        <v>6.14 EP</v>
      </c>
      <c r="AQ79" t="str">
        <f t="shared" si="51"/>
        <v>6.15 EP</v>
      </c>
      <c r="AR79" t="str">
        <f t="shared" si="51"/>
        <v>6.16 EP</v>
      </c>
      <c r="AS79" t="str">
        <f t="shared" si="51"/>
        <v>6.17 EP</v>
      </c>
      <c r="AT79" t="str">
        <f t="shared" si="51"/>
        <v>6.20 EP</v>
      </c>
      <c r="AU79" t="str">
        <f t="shared" si="51"/>
        <v>6.21 EP</v>
      </c>
      <c r="AV79" t="str">
        <f t="shared" si="51"/>
        <v>6.22 EP</v>
      </c>
      <c r="AW79" t="str">
        <f t="shared" si="51"/>
        <v>6.23 EP</v>
      </c>
      <c r="AX79" t="str">
        <f t="shared" si="51"/>
        <v>6.24 EP</v>
      </c>
      <c r="AY79" t="str">
        <f t="shared" si="51"/>
        <v>6.25 EP</v>
      </c>
      <c r="AZ79" t="str">
        <f t="shared" si="51"/>
        <v>6.26 EP</v>
      </c>
      <c r="BA79" t="str">
        <f t="shared" si="51"/>
        <v>6.27 EP</v>
      </c>
      <c r="BB79" t="str">
        <f t="shared" si="51"/>
        <v>6.28 EP</v>
      </c>
      <c r="BC79" t="str">
        <f t="shared" si="51"/>
        <v>6.29 EP</v>
      </c>
      <c r="BD79" t="str">
        <f t="shared" si="51"/>
        <v>7.01 EP</v>
      </c>
      <c r="BE79" t="str">
        <f t="shared" si="51"/>
        <v>7.02 EP</v>
      </c>
      <c r="BF79" t="str">
        <f t="shared" si="51"/>
        <v>7.05 EP</v>
      </c>
      <c r="BG79" t="str">
        <f t="shared" si="51"/>
        <v>7.06 EP</v>
      </c>
      <c r="BH79" t="str">
        <f t="shared" si="51"/>
        <v>7.08 EP</v>
      </c>
      <c r="BI79" t="str">
        <f t="shared" si="51"/>
        <v>7.09 EP</v>
      </c>
      <c r="BJ79" t="str">
        <f t="shared" si="51"/>
        <v>7.10 EP</v>
      </c>
      <c r="BK79" s="799" t="str">
        <f>+BK9</f>
        <v>AWEC-1</v>
      </c>
      <c r="BL79" s="799" t="str">
        <f>+BL9</f>
        <v>12.04E</v>
      </c>
    </row>
    <row r="80" spans="1:71" customFormat="1" ht="15" x14ac:dyDescent="0.25">
      <c r="A80" s="288"/>
    </row>
    <row r="81" spans="1:71" customFormat="1" ht="15" x14ac:dyDescent="0.25">
      <c r="A81" s="16"/>
    </row>
    <row r="82" spans="1:71" s="119" customFormat="1" x14ac:dyDescent="0.2">
      <c r="A82" s="16"/>
      <c r="B82" s="343"/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  <c r="AH82" s="344"/>
      <c r="AI82" s="288"/>
      <c r="AJ82" s="288"/>
      <c r="AK82" s="344"/>
      <c r="AL82" s="288"/>
      <c r="AM82" s="344"/>
      <c r="AN82" s="344"/>
      <c r="AO82" s="344"/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  <c r="BJ82" s="344"/>
      <c r="BK82" s="344"/>
      <c r="BL82" s="344"/>
      <c r="BM82" s="344"/>
      <c r="BN82" s="344"/>
      <c r="BO82" s="344"/>
      <c r="BP82" s="344"/>
      <c r="BQ82" s="344"/>
      <c r="BR82" s="342"/>
      <c r="BS82" s="342"/>
    </row>
    <row r="83" spans="1:71" s="119" customFormat="1" x14ac:dyDescent="0.2">
      <c r="A83" s="16"/>
      <c r="B83" s="343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2"/>
      <c r="BS83" s="342"/>
    </row>
    <row r="84" spans="1:71" s="119" customFormat="1" x14ac:dyDescent="0.2">
      <c r="A84" s="16"/>
      <c r="B84" s="71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  <c r="AB84" s="345"/>
      <c r="AC84" s="345"/>
      <c r="AD84" s="345"/>
      <c r="AE84" s="345"/>
      <c r="AF84" s="345"/>
      <c r="AG84" s="345"/>
      <c r="AH84" s="345"/>
      <c r="AI84" s="345"/>
      <c r="AJ84" s="345"/>
      <c r="AK84" s="345"/>
      <c r="AL84" s="345"/>
      <c r="AM84" s="345"/>
      <c r="AN84" s="345"/>
      <c r="AO84" s="345"/>
      <c r="AP84" s="345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  <c r="BJ84" s="345"/>
      <c r="BK84" s="345"/>
      <c r="BL84" s="345"/>
      <c r="BM84" s="345"/>
      <c r="BN84" s="345"/>
      <c r="BO84" s="345"/>
      <c r="BP84" s="345"/>
      <c r="BQ84" s="345"/>
      <c r="BR84" s="342"/>
      <c r="BS84" s="342"/>
    </row>
    <row r="85" spans="1:71" s="119" customFormat="1" x14ac:dyDescent="0.2">
      <c r="A85" s="16"/>
      <c r="B85" s="71"/>
      <c r="C85" s="345"/>
      <c r="D85" s="345"/>
      <c r="E85" s="345"/>
      <c r="F85" s="345"/>
      <c r="G85" s="345"/>
      <c r="H85" s="345"/>
      <c r="I85" s="345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  <c r="AB85" s="345"/>
      <c r="AC85" s="345"/>
      <c r="AD85" s="58"/>
      <c r="AE85" s="58"/>
      <c r="AF85" s="58"/>
      <c r="AG85" s="345"/>
      <c r="AH85" s="345"/>
      <c r="AI85" s="288"/>
      <c r="AJ85" s="288"/>
      <c r="AK85" s="58"/>
      <c r="AL85" s="28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344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342"/>
      <c r="BS85" s="342"/>
    </row>
    <row r="86" spans="1:71" s="119" customFormat="1" x14ac:dyDescent="0.2">
      <c r="A86" s="16"/>
      <c r="B86" s="71"/>
      <c r="C86" s="345"/>
      <c r="D86" s="345"/>
      <c r="E86" s="345"/>
      <c r="F86" s="345"/>
      <c r="G86" s="345"/>
      <c r="H86" s="345"/>
      <c r="I86" s="345"/>
      <c r="J86" s="345"/>
      <c r="K86" s="345"/>
      <c r="L86" s="345"/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/>
      <c r="AA86" s="345"/>
      <c r="AB86" s="345"/>
      <c r="AC86" s="345"/>
      <c r="AD86" s="58"/>
      <c r="AE86" s="58"/>
      <c r="AF86" s="58"/>
      <c r="AG86" s="345"/>
      <c r="AH86" s="345"/>
      <c r="AI86" s="288"/>
      <c r="AJ86" s="288"/>
      <c r="AK86" s="58"/>
      <c r="AL86" s="28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342"/>
      <c r="BS86" s="342"/>
    </row>
    <row r="87" spans="1:71" s="119" customFormat="1" x14ac:dyDescent="0.2">
      <c r="A87" s="16"/>
      <c r="B87" s="71"/>
      <c r="C87" s="345"/>
      <c r="D87" s="345"/>
      <c r="E87" s="345"/>
      <c r="F87" s="345"/>
      <c r="G87" s="345"/>
      <c r="H87" s="345"/>
      <c r="I87" s="345"/>
      <c r="J87" s="345"/>
      <c r="K87" s="345"/>
      <c r="L87" s="345"/>
      <c r="M87" s="345"/>
      <c r="N87" s="345"/>
      <c r="O87" s="345"/>
      <c r="P87" s="345"/>
      <c r="Q87" s="345"/>
      <c r="R87" s="345"/>
      <c r="S87" s="345"/>
      <c r="T87" s="345"/>
      <c r="U87" s="345"/>
      <c r="V87" s="345"/>
      <c r="W87" s="345"/>
      <c r="X87" s="345"/>
      <c r="Y87" s="345"/>
      <c r="Z87" s="345"/>
      <c r="AA87" s="345"/>
      <c r="AB87" s="345"/>
      <c r="AC87" s="345"/>
      <c r="AD87" s="58"/>
      <c r="AE87" s="58"/>
      <c r="AF87" s="58"/>
      <c r="AG87" s="345"/>
      <c r="AH87" s="345"/>
      <c r="AI87" s="288"/>
      <c r="AJ87" s="288"/>
      <c r="AK87" s="58"/>
      <c r="AL87" s="28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342"/>
      <c r="BS87" s="342"/>
    </row>
    <row r="88" spans="1:71" s="119" customFormat="1" x14ac:dyDescent="0.2">
      <c r="A88" s="16"/>
      <c r="B88" s="71"/>
      <c r="C88" s="344"/>
      <c r="D88" s="344"/>
      <c r="E88" s="344"/>
      <c r="F88" s="344"/>
      <c r="G88" s="344"/>
      <c r="H88" s="344"/>
      <c r="I88" s="344"/>
      <c r="J88" s="344"/>
      <c r="K88" s="344"/>
      <c r="L88" s="344"/>
      <c r="M88" s="344"/>
      <c r="N88" s="344"/>
      <c r="O88" s="344"/>
      <c r="P88" s="344"/>
      <c r="Q88" s="344"/>
      <c r="R88" s="344"/>
      <c r="S88" s="344"/>
      <c r="T88" s="344"/>
      <c r="U88" s="344"/>
      <c r="V88" s="344"/>
      <c r="W88" s="344"/>
      <c r="X88" s="344"/>
      <c r="Y88" s="344"/>
      <c r="Z88" s="344"/>
      <c r="AA88" s="344"/>
      <c r="AB88" s="344"/>
      <c r="AC88" s="344"/>
      <c r="AD88" s="344"/>
      <c r="AE88" s="344"/>
      <c r="AF88" s="344"/>
      <c r="AG88" s="344"/>
      <c r="AH88" s="344"/>
      <c r="AI88" s="288"/>
      <c r="AJ88" s="288"/>
      <c r="AK88" s="344"/>
      <c r="AL88" s="288"/>
      <c r="AM88" s="344"/>
      <c r="AN88" s="344"/>
      <c r="AO88" s="344"/>
      <c r="AP88" s="344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  <c r="BJ88" s="344"/>
      <c r="BK88" s="344"/>
      <c r="BL88" s="344"/>
      <c r="BM88" s="344"/>
      <c r="BN88" s="344"/>
      <c r="BO88" s="344"/>
      <c r="BP88" s="344"/>
      <c r="BQ88" s="344"/>
      <c r="BR88" s="342"/>
      <c r="BS88" s="342"/>
    </row>
    <row r="89" spans="1:71" s="119" customFormat="1" x14ac:dyDescent="0.2">
      <c r="AI89" s="288"/>
      <c r="AJ89" s="288"/>
      <c r="AL89" s="288"/>
      <c r="BP89" s="342"/>
      <c r="BQ89" s="342"/>
      <c r="BR89" s="342"/>
      <c r="BS89" s="342"/>
    </row>
    <row r="90" spans="1:71" s="119" customFormat="1" x14ac:dyDescent="0.2">
      <c r="AI90" s="288"/>
      <c r="AJ90" s="288"/>
      <c r="AL90" s="288"/>
      <c r="BP90" s="342"/>
      <c r="BQ90" s="342"/>
      <c r="BR90" s="342"/>
      <c r="BS90" s="342"/>
    </row>
    <row r="91" spans="1:71" s="119" customFormat="1" x14ac:dyDescent="0.2">
      <c r="A91" s="16"/>
      <c r="B91" s="71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288"/>
      <c r="AJ91" s="288"/>
      <c r="AK91" s="58"/>
      <c r="AL91" s="28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342"/>
      <c r="BS91" s="342"/>
    </row>
    <row r="92" spans="1:71" s="119" customFormat="1" x14ac:dyDescent="0.2">
      <c r="A92" s="16"/>
      <c r="B92" s="343"/>
      <c r="C92" s="344"/>
      <c r="D92" s="344"/>
      <c r="E92" s="344"/>
      <c r="F92" s="344"/>
      <c r="G92" s="344"/>
      <c r="H92" s="344"/>
      <c r="I92" s="344"/>
      <c r="J92" s="344"/>
      <c r="K92" s="344"/>
      <c r="L92" s="344"/>
      <c r="M92" s="344"/>
      <c r="N92" s="344"/>
      <c r="O92" s="344"/>
      <c r="P92" s="344"/>
      <c r="Q92" s="344"/>
      <c r="R92" s="344"/>
      <c r="S92" s="344"/>
      <c r="T92" s="344"/>
      <c r="U92" s="344"/>
      <c r="X92" s="344"/>
      <c r="Y92" s="344"/>
      <c r="Z92" s="344"/>
      <c r="AA92" s="344"/>
      <c r="AB92" s="344"/>
      <c r="AC92" s="344"/>
      <c r="AD92" s="344"/>
      <c r="AE92" s="344"/>
      <c r="AF92" s="344"/>
      <c r="AG92" s="344"/>
      <c r="AH92" s="344"/>
      <c r="AI92" s="288"/>
      <c r="AJ92" s="288"/>
      <c r="AK92" s="344"/>
      <c r="AL92" s="288"/>
      <c r="AM92" s="344"/>
      <c r="AN92" s="344"/>
      <c r="AO92" s="344"/>
      <c r="AP92" s="344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  <c r="BJ92" s="344"/>
      <c r="BK92" s="344"/>
      <c r="BL92" s="344"/>
      <c r="BM92" s="344"/>
      <c r="BN92" s="344"/>
      <c r="BO92" s="344"/>
      <c r="BP92" s="344"/>
      <c r="BQ92" s="344"/>
      <c r="BR92" s="342"/>
      <c r="BS92" s="342"/>
    </row>
    <row r="93" spans="1:71" s="119" customFormat="1" x14ac:dyDescent="0.2">
      <c r="A93" s="16"/>
      <c r="B93" s="343"/>
      <c r="C93" s="345"/>
      <c r="D93" s="345"/>
      <c r="E93" s="345"/>
      <c r="F93" s="345"/>
      <c r="G93" s="345"/>
      <c r="H93" s="345"/>
      <c r="I93" s="345"/>
      <c r="J93" s="345"/>
      <c r="K93" s="345"/>
      <c r="L93" s="345"/>
      <c r="M93" s="345"/>
      <c r="N93" s="345"/>
      <c r="O93" s="345"/>
      <c r="P93" s="345"/>
      <c r="Q93" s="345"/>
      <c r="R93" s="345"/>
      <c r="S93" s="345"/>
      <c r="T93" s="345"/>
      <c r="U93" s="345"/>
      <c r="V93" s="345"/>
      <c r="W93" s="345"/>
      <c r="X93" s="345"/>
      <c r="Y93" s="345"/>
      <c r="Z93" s="345"/>
      <c r="AA93" s="345"/>
      <c r="AB93" s="345"/>
      <c r="AC93" s="345"/>
      <c r="AD93" s="58"/>
      <c r="AE93" s="58"/>
      <c r="AF93" s="58"/>
      <c r="AG93" s="345"/>
      <c r="AH93" s="345"/>
      <c r="AI93" s="288"/>
      <c r="AJ93" s="288"/>
      <c r="AK93" s="58"/>
      <c r="AL93" s="28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344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342"/>
      <c r="BS93" s="342"/>
    </row>
    <row r="94" spans="1:71" s="119" customFormat="1" x14ac:dyDescent="0.2">
      <c r="A94" s="16"/>
      <c r="B94" s="71"/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/>
      <c r="X94" s="345"/>
      <c r="Y94" s="345"/>
      <c r="Z94" s="345"/>
      <c r="AA94" s="345"/>
      <c r="AB94" s="345"/>
      <c r="AC94" s="345"/>
      <c r="AD94" s="58"/>
      <c r="AE94" s="58"/>
      <c r="AF94" s="58"/>
      <c r="AG94" s="345"/>
      <c r="AH94" s="345"/>
      <c r="AI94" s="288"/>
      <c r="AJ94" s="288"/>
      <c r="AK94" s="58"/>
      <c r="AL94" s="28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344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342"/>
      <c r="BS94" s="342"/>
    </row>
    <row r="95" spans="1:71" s="119" customFormat="1" x14ac:dyDescent="0.2">
      <c r="A95" s="16"/>
      <c r="B95" s="71"/>
      <c r="C95" s="345"/>
      <c r="D95" s="345"/>
      <c r="E95" s="345"/>
      <c r="F95" s="345"/>
      <c r="G95" s="345"/>
      <c r="H95" s="345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  <c r="AB95" s="345"/>
      <c r="AC95" s="345"/>
      <c r="AD95" s="58"/>
      <c r="AE95" s="58"/>
      <c r="AF95" s="58"/>
      <c r="AG95" s="345"/>
      <c r="AH95" s="345"/>
      <c r="AI95" s="288"/>
      <c r="AJ95" s="288"/>
      <c r="AK95" s="58"/>
      <c r="AL95" s="28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344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342"/>
      <c r="BS95" s="342"/>
    </row>
    <row r="96" spans="1:71" s="119" customFormat="1" x14ac:dyDescent="0.2">
      <c r="A96" s="16"/>
      <c r="B96" s="71"/>
      <c r="C96" s="345"/>
      <c r="D96" s="345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  <c r="AB96" s="345"/>
      <c r="AC96" s="345"/>
      <c r="AD96" s="58"/>
      <c r="AE96" s="58"/>
      <c r="AF96" s="58"/>
      <c r="AG96" s="345"/>
      <c r="AH96" s="345"/>
      <c r="AI96" s="288"/>
      <c r="AJ96" s="288"/>
      <c r="AK96" s="58"/>
      <c r="AL96" s="28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342"/>
      <c r="BS96" s="342"/>
    </row>
    <row r="97" spans="1:71" s="119" customFormat="1" x14ac:dyDescent="0.2">
      <c r="A97" s="16"/>
      <c r="B97" s="71"/>
      <c r="C97" s="345"/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  <c r="AB97" s="345"/>
      <c r="AC97" s="345"/>
      <c r="AD97" s="58"/>
      <c r="AE97" s="58"/>
      <c r="AF97" s="58"/>
      <c r="AG97" s="345"/>
      <c r="AH97" s="345"/>
      <c r="AI97" s="288"/>
      <c r="AJ97" s="288"/>
      <c r="AK97" s="58"/>
      <c r="AL97" s="28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342"/>
      <c r="BS97" s="342"/>
    </row>
    <row r="98" spans="1:71" s="119" customFormat="1" x14ac:dyDescent="0.2">
      <c r="A98" s="16"/>
      <c r="B98" s="71"/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  <c r="N98" s="344"/>
      <c r="O98" s="344"/>
      <c r="P98" s="344"/>
      <c r="Q98" s="344"/>
      <c r="R98" s="344"/>
      <c r="S98" s="344"/>
      <c r="T98" s="344"/>
      <c r="U98" s="344"/>
      <c r="V98" s="344"/>
      <c r="W98" s="344"/>
      <c r="X98" s="344"/>
      <c r="Y98" s="344"/>
      <c r="Z98" s="344"/>
      <c r="AA98" s="344"/>
      <c r="AB98" s="344"/>
      <c r="AC98" s="344"/>
      <c r="AD98" s="344"/>
      <c r="AE98" s="344"/>
      <c r="AF98" s="344"/>
      <c r="AG98" s="344"/>
      <c r="AH98" s="344"/>
      <c r="AI98" s="288"/>
      <c r="AJ98" s="288"/>
      <c r="AK98" s="344"/>
      <c r="AL98" s="288"/>
      <c r="AM98" s="344"/>
      <c r="AN98" s="344"/>
      <c r="AO98" s="344"/>
      <c r="AP98" s="344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  <c r="BJ98" s="344"/>
      <c r="BK98" s="344"/>
      <c r="BL98" s="344"/>
      <c r="BM98" s="344"/>
      <c r="BN98" s="344"/>
      <c r="BO98" s="344"/>
      <c r="BP98" s="344"/>
      <c r="BQ98" s="344"/>
      <c r="BR98" s="342"/>
      <c r="BS98" s="342"/>
    </row>
    <row r="99" spans="1:71" x14ac:dyDescent="0.2">
      <c r="BP99" s="289"/>
      <c r="BQ99" s="289"/>
      <c r="BR99" s="289"/>
      <c r="BS99" s="289"/>
    </row>
    <row r="100" spans="1:71" x14ac:dyDescent="0.2">
      <c r="BP100" s="289"/>
      <c r="BQ100" s="289"/>
      <c r="BR100" s="289"/>
      <c r="BS100" s="289"/>
    </row>
    <row r="101" spans="1:71" x14ac:dyDescent="0.2">
      <c r="BP101" s="289"/>
      <c r="BQ101" s="289"/>
      <c r="BR101" s="289"/>
      <c r="BS101" s="289"/>
    </row>
    <row r="102" spans="1:71" x14ac:dyDescent="0.2">
      <c r="BP102" s="289"/>
      <c r="BQ102" s="289"/>
      <c r="BR102" s="289"/>
      <c r="BS102" s="289"/>
    </row>
    <row r="103" spans="1:71" x14ac:dyDescent="0.2">
      <c r="BP103" s="289"/>
      <c r="BQ103" s="289"/>
      <c r="BR103" s="289"/>
      <c r="BS103" s="289"/>
    </row>
  </sheetData>
  <pageMargins left="0.2" right="0.2" top="0.5" bottom="0.5" header="0.05" footer="0.05"/>
  <pageSetup scale="6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619DF5"/>
  </sheetPr>
  <dimension ref="A1:CL76"/>
  <sheetViews>
    <sheetView zoomScaleNormal="100" zoomScaleSheetLayoutView="10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ColWidth="9.140625" defaultRowHeight="15" outlineLevelCol="1" x14ac:dyDescent="0.25"/>
  <cols>
    <col min="1" max="1" width="11.5703125" style="288" hidden="1" customWidth="1"/>
    <col min="2" max="2" width="56" style="288" hidden="1" customWidth="1"/>
    <col min="3" max="3" width="8.7109375" style="289" hidden="1" customWidth="1"/>
    <col min="4" max="6" width="15" style="289" hidden="1" customWidth="1"/>
    <col min="7" max="7" width="18.28515625" style="289" hidden="1" customWidth="1"/>
    <col min="8" max="8" width="17.7109375" style="288" hidden="1" customWidth="1"/>
    <col min="9" max="9" width="9.140625" style="288" customWidth="1"/>
    <col min="10" max="10" width="55.42578125" style="288" customWidth="1"/>
    <col min="11" max="11" width="6.5703125" style="288" customWidth="1"/>
    <col min="12" max="13" width="12.85546875" style="288" customWidth="1"/>
    <col min="14" max="15" width="11.42578125" style="288" customWidth="1"/>
    <col min="16" max="16" width="12.7109375" style="288" customWidth="1"/>
    <col min="17" max="17" width="6.42578125" style="288" hidden="1" customWidth="1"/>
    <col min="18" max="18" width="40.7109375" style="288" hidden="1" customWidth="1"/>
    <col min="19" max="19" width="4.5703125" style="288" hidden="1" customWidth="1"/>
    <col min="20" max="20" width="11.7109375" style="288" hidden="1" customWidth="1"/>
    <col min="21" max="21" width="11.28515625" style="288" hidden="1" customWidth="1"/>
    <col min="22" max="22" width="14.5703125" style="288" hidden="1" customWidth="1"/>
    <col min="23" max="23" width="12.7109375" style="288" hidden="1" customWidth="1"/>
    <col min="24" max="24" width="14.5703125" style="288" hidden="1" customWidth="1"/>
    <col min="25" max="25" width="7.42578125" style="288" hidden="1" customWidth="1"/>
    <col min="26" max="26" width="36.42578125" style="288" hidden="1" customWidth="1"/>
    <col min="27" max="27" width="7.42578125" style="288" hidden="1" customWidth="1"/>
    <col min="28" max="28" width="15" style="288" hidden="1" customWidth="1"/>
    <col min="29" max="29" width="11.42578125" style="288" hidden="1" customWidth="1"/>
    <col min="30" max="30" width="13.5703125" style="288" hidden="1" customWidth="1"/>
    <col min="31" max="32" width="12.7109375" style="288" hidden="1" customWidth="1"/>
    <col min="33" max="33" width="5.42578125" style="288" hidden="1" customWidth="1"/>
    <col min="34" max="34" width="48.140625" style="288" hidden="1" customWidth="1"/>
    <col min="35" max="35" width="4.5703125" style="288" hidden="1" customWidth="1"/>
    <col min="36" max="37" width="13.42578125" style="288" hidden="1" customWidth="1"/>
    <col min="38" max="38" width="16" style="288" hidden="1" customWidth="1"/>
    <col min="39" max="39" width="13.42578125" style="288" hidden="1" customWidth="1"/>
    <col min="40" max="40" width="14.7109375" style="288" hidden="1" customWidth="1"/>
    <col min="41" max="41" width="9.140625" style="288" hidden="1" customWidth="1"/>
    <col min="42" max="42" width="67.28515625" style="288" hidden="1" customWidth="1"/>
    <col min="43" max="43" width="9" style="288" hidden="1" customWidth="1"/>
    <col min="44" max="48" width="14.5703125" style="288" hidden="1" customWidth="1"/>
    <col min="49" max="49" width="5" style="288" bestFit="1" customWidth="1"/>
    <col min="50" max="50" width="62.140625" style="288" customWidth="1"/>
    <col min="51" max="51" width="6" style="288" bestFit="1" customWidth="1"/>
    <col min="52" max="56" width="14.5703125" style="288" customWidth="1"/>
    <col min="57" max="57" width="5.42578125" style="288" hidden="1" customWidth="1"/>
    <col min="58" max="58" width="37" style="288" hidden="1" customWidth="1"/>
    <col min="59" max="59" width="4.5703125" style="288" hidden="1" customWidth="1"/>
    <col min="60" max="64" width="14.5703125" style="288" hidden="1" customWidth="1"/>
    <col min="65" max="65" width="5.42578125" style="288" customWidth="1"/>
    <col min="66" max="66" width="41.42578125" style="288" customWidth="1"/>
    <col min="67" max="67" width="4.5703125" style="288" customWidth="1"/>
    <col min="68" max="70" width="14.7109375" style="288" customWidth="1"/>
    <col min="71" max="72" width="14.5703125" style="288" customWidth="1"/>
    <col min="73" max="73" width="5.42578125" style="288" hidden="1" customWidth="1"/>
    <col min="74" max="74" width="43.85546875" style="288" hidden="1" customWidth="1"/>
    <col min="75" max="75" width="7.42578125" style="288" hidden="1" customWidth="1"/>
    <col min="76" max="80" width="14.5703125" style="288" hidden="1" customWidth="1"/>
    <col min="81" max="81" width="5.42578125" style="288" hidden="1" customWidth="1" outlineLevel="1"/>
    <col min="82" max="82" width="52.7109375" style="288" hidden="1" customWidth="1" outlineLevel="1"/>
    <col min="83" max="83" width="8.7109375" style="288" hidden="1" customWidth="1" outlineLevel="1"/>
    <col min="84" max="85" width="11.5703125" style="288" hidden="1" customWidth="1" outlineLevel="1"/>
    <col min="86" max="86" width="14.140625" style="288" hidden="1" customWidth="1" outlineLevel="1"/>
    <col min="87" max="87" width="12" style="288" hidden="1" customWidth="1" outlineLevel="1"/>
    <col min="88" max="88" width="14.140625" style="288" hidden="1" customWidth="1" outlineLevel="1"/>
    <col min="89" max="89" width="9.140625" collapsed="1"/>
    <col min="91" max="16384" width="9.140625" style="288"/>
  </cols>
  <sheetData>
    <row r="1" spans="1:90" ht="15.75" hidden="1" thickBot="1" x14ac:dyDescent="0.3">
      <c r="A1" s="94">
        <f>SUM(B1:CJ1)</f>
        <v>-61541990.161851764</v>
      </c>
      <c r="B1" s="94"/>
      <c r="C1" s="94"/>
      <c r="D1" s="94"/>
      <c r="E1" s="94"/>
      <c r="F1" s="94">
        <f>ROUND(+'BGM-9 (2) Detailed Summary'!X46-F37,0)</f>
        <v>0</v>
      </c>
      <c r="G1" s="94"/>
      <c r="H1" s="94">
        <f>ROUND('BGM-9 (2) Detailed Summary'!BD46-H37,0)</f>
        <v>0</v>
      </c>
      <c r="I1" s="94"/>
      <c r="J1" s="94"/>
      <c r="K1" s="94"/>
      <c r="L1" s="94"/>
      <c r="M1" s="94"/>
      <c r="N1" s="94">
        <f>ROUND(+'BGM-9 (2) Detailed Summary'!Y46-N22,0)</f>
        <v>0</v>
      </c>
      <c r="O1" s="94"/>
      <c r="P1" s="94">
        <f>ROUND(+'BGM-9 (2) Detailed Summary'!BE46-P22,0)</f>
        <v>0</v>
      </c>
      <c r="Q1" s="94"/>
      <c r="R1" s="94"/>
      <c r="S1" s="94"/>
      <c r="T1" s="94"/>
      <c r="U1" s="94"/>
      <c r="V1" s="94">
        <f>ROUND(+'BGM-9 (2) Detailed Summary'!Z46-V27,0)</f>
        <v>0</v>
      </c>
      <c r="W1" s="94">
        <f>ROUND(+'BGM-9 (2) Detailed Summary'!Z59-V19,0)</f>
        <v>0</v>
      </c>
      <c r="X1" s="94"/>
      <c r="Y1" s="94"/>
      <c r="Z1" s="94"/>
      <c r="AA1" s="94"/>
      <c r="AB1" s="94"/>
      <c r="AC1" s="94"/>
      <c r="AD1" s="94">
        <f>ROUND(+'BGM-9 (2) Detailed Summary'!AA46-AD23,0)</f>
        <v>0</v>
      </c>
      <c r="AE1" s="94"/>
      <c r="AF1" s="94"/>
      <c r="AG1" s="94"/>
      <c r="AH1" s="94"/>
      <c r="AI1" s="94"/>
      <c r="AJ1" s="94"/>
      <c r="AK1" s="94"/>
      <c r="AL1" s="94">
        <f>ROUND(+'BGM-9 (2) Detailed Summary'!AB46-AL27,0)</f>
        <v>0</v>
      </c>
      <c r="AM1" s="94"/>
      <c r="AN1" s="94">
        <f>ROUND(+'BGM-9 (2) Detailed Summary'!BF46-AN27,0)</f>
        <v>0</v>
      </c>
      <c r="AO1" s="145"/>
      <c r="AP1" s="145"/>
      <c r="AQ1" s="145"/>
      <c r="AR1" s="145"/>
      <c r="AS1" s="145"/>
      <c r="AT1" s="145"/>
      <c r="AU1" s="145"/>
      <c r="AV1" s="145">
        <f>ROUND(+'[12]Detailed Summary'!BD46-AV55,0)</f>
        <v>0</v>
      </c>
      <c r="AW1" s="94"/>
      <c r="AX1" s="94"/>
      <c r="AY1" s="94"/>
      <c r="AZ1" s="94"/>
      <c r="BA1" s="94"/>
      <c r="BB1" s="94"/>
      <c r="BC1" s="94">
        <f>'BGM-9 (2) Detailed Summary'!AC59-BB43</f>
        <v>-115021900.16185176</v>
      </c>
      <c r="BD1" s="94">
        <f>ROUND(+'BGM-9 (2) Detailed Summary'!AC46-BB21-BB37,0)</f>
        <v>53479910</v>
      </c>
      <c r="BE1" s="94"/>
      <c r="BF1" s="94"/>
      <c r="BG1" s="94"/>
      <c r="BH1" s="94"/>
      <c r="BI1" s="94"/>
      <c r="BJ1" s="94"/>
      <c r="BK1" s="94"/>
      <c r="BL1" s="94">
        <f>ROUND(+'BGM-9 (2) Detailed Summary'!BH46-BL28,0)</f>
        <v>0</v>
      </c>
      <c r="BM1" s="94"/>
      <c r="BN1" s="94"/>
      <c r="BO1" s="94"/>
      <c r="BP1" s="94"/>
      <c r="BQ1" s="94"/>
      <c r="BR1" s="94"/>
      <c r="BS1" s="94"/>
      <c r="BT1" s="94">
        <f>ROUND(+'BGM-9 (2) Detailed Summary'!BI46-BT29,0)</f>
        <v>0</v>
      </c>
      <c r="BU1" s="94"/>
      <c r="BV1" s="94"/>
      <c r="BW1" s="94"/>
      <c r="BX1" s="94"/>
      <c r="BY1" s="94"/>
      <c r="BZ1" s="94"/>
      <c r="CA1" s="94"/>
      <c r="CB1" s="94">
        <f>ROUND(+'BGM-9 (2) Detailed Summary'!BJ46-CB29,0)</f>
        <v>0</v>
      </c>
      <c r="CC1" s="94"/>
      <c r="CD1" s="94"/>
      <c r="CE1" s="94"/>
      <c r="CF1" s="94"/>
      <c r="CG1" s="94"/>
      <c r="CH1" s="94"/>
      <c r="CI1" s="94"/>
      <c r="CJ1" s="94">
        <f>+'BGM-9 (2) Detailed Summary'!BK46-CJ22</f>
        <v>0</v>
      </c>
    </row>
    <row r="2" spans="1:90" hidden="1" x14ac:dyDescent="0.25">
      <c r="G2" s="372"/>
      <c r="H2" s="373" t="str">
        <f>DOCKETNUMBER_E</f>
        <v>UE-190529</v>
      </c>
      <c r="O2" s="372"/>
      <c r="P2" s="373" t="str">
        <f>DOCKETNUMBER_E</f>
        <v>UE-190529</v>
      </c>
      <c r="W2" s="372"/>
      <c r="X2" s="373" t="str">
        <f>DOCKETNUMBER_E</f>
        <v>UE-190529</v>
      </c>
      <c r="Y2" s="289"/>
      <c r="Z2" s="289"/>
      <c r="AA2" s="289"/>
      <c r="AB2" s="289"/>
      <c r="AE2" s="385"/>
      <c r="AF2" s="373" t="str">
        <f>DOCKETNUMBER_E</f>
        <v>UE-190529</v>
      </c>
      <c r="AM2" s="372"/>
      <c r="AN2" s="373" t="str">
        <f>DOCKETNUMBER_E</f>
        <v>UE-190529</v>
      </c>
      <c r="AU2" s="372"/>
      <c r="AV2" s="801" t="str">
        <f>DOCKETNUMBER_E</f>
        <v>UE-190529</v>
      </c>
      <c r="BC2" s="372"/>
      <c r="BD2" s="373" t="str">
        <f>DOCKETNUMBER_E</f>
        <v>UE-190529</v>
      </c>
      <c r="BK2" s="372"/>
      <c r="BL2" s="373" t="str">
        <f>DOCKETNUMBER_E</f>
        <v>UE-190529</v>
      </c>
      <c r="BS2" s="372"/>
      <c r="BT2" s="373" t="str">
        <f>DOCKETNUMBER_E</f>
        <v>UE-190529</v>
      </c>
      <c r="CA2" s="372"/>
      <c r="CB2" s="373" t="str">
        <f>DOCKETNUMBER_E</f>
        <v>UE-190529</v>
      </c>
      <c r="CI2" s="372"/>
      <c r="CJ2" s="373" t="str">
        <f>DOCKETNUMBER_E</f>
        <v>UE-190529</v>
      </c>
    </row>
    <row r="3" spans="1:90" ht="15.75" hidden="1" thickBot="1" x14ac:dyDescent="0.3">
      <c r="G3" s="374"/>
      <c r="H3" s="371" t="s">
        <v>729</v>
      </c>
      <c r="O3" s="374"/>
      <c r="P3" s="371" t="s">
        <v>730</v>
      </c>
      <c r="W3" s="374"/>
      <c r="X3" s="371" t="s">
        <v>731</v>
      </c>
      <c r="Y3" s="289"/>
      <c r="Z3" s="289"/>
      <c r="AA3" s="289"/>
      <c r="AB3" s="289"/>
      <c r="AE3" s="386"/>
      <c r="AF3" s="371" t="s">
        <v>732</v>
      </c>
      <c r="AM3" s="374"/>
      <c r="AN3" s="371" t="s">
        <v>733</v>
      </c>
      <c r="AU3" s="374"/>
      <c r="AV3" s="824" t="s">
        <v>734</v>
      </c>
      <c r="BC3" s="374"/>
      <c r="BD3" s="371" t="s">
        <v>735</v>
      </c>
      <c r="BE3" s="5"/>
      <c r="BF3" s="5"/>
      <c r="BG3" s="5"/>
      <c r="BH3" s="5"/>
      <c r="BI3" s="5"/>
      <c r="BJ3" s="5"/>
      <c r="BK3" s="374"/>
      <c r="BL3" s="371" t="s">
        <v>736</v>
      </c>
      <c r="BS3" s="374"/>
      <c r="BT3" s="371" t="s">
        <v>737</v>
      </c>
      <c r="CA3" s="374"/>
      <c r="CB3" s="371" t="s">
        <v>738</v>
      </c>
      <c r="CI3" s="374"/>
      <c r="CJ3" s="371"/>
    </row>
    <row r="4" spans="1:90" x14ac:dyDescent="0.25">
      <c r="Y4" s="289"/>
      <c r="Z4" s="289"/>
      <c r="AA4" s="289"/>
      <c r="AB4" s="289"/>
      <c r="AC4" s="289"/>
      <c r="AD4" s="289"/>
      <c r="AE4" s="289"/>
      <c r="AF4" s="289"/>
    </row>
    <row r="5" spans="1:90" x14ac:dyDescent="0.25">
      <c r="A5" s="6"/>
      <c r="Y5" s="289"/>
      <c r="Z5" s="289"/>
      <c r="AA5" s="289"/>
      <c r="AB5" s="289"/>
      <c r="AC5" s="289"/>
      <c r="AD5" s="289"/>
      <c r="AE5" s="289"/>
      <c r="AF5" s="289"/>
      <c r="CC5" s="90" t="s">
        <v>45</v>
      </c>
      <c r="CD5" s="90"/>
      <c r="CE5" s="90"/>
      <c r="CF5" s="90"/>
      <c r="CG5" s="90"/>
      <c r="CH5" s="90"/>
      <c r="CI5" s="90"/>
      <c r="CJ5" s="90"/>
    </row>
    <row r="6" spans="1:90" x14ac:dyDescent="0.25">
      <c r="B6" s="6" t="s">
        <v>91</v>
      </c>
      <c r="C6" s="125"/>
      <c r="D6" s="125"/>
      <c r="E6" s="125"/>
      <c r="F6" s="125"/>
      <c r="G6" s="125"/>
      <c r="H6" s="29"/>
      <c r="J6" s="6" t="s">
        <v>91</v>
      </c>
      <c r="K6" s="29"/>
      <c r="L6" s="29"/>
      <c r="M6" s="29"/>
      <c r="N6" s="29"/>
      <c r="O6" s="29"/>
      <c r="P6" s="29"/>
      <c r="R6" s="6" t="s">
        <v>91</v>
      </c>
      <c r="S6" s="29"/>
      <c r="T6" s="29"/>
      <c r="U6" s="29"/>
      <c r="V6" s="29"/>
      <c r="W6" s="29"/>
      <c r="X6" s="29"/>
      <c r="Y6" s="289"/>
      <c r="Z6" s="6" t="s">
        <v>91</v>
      </c>
      <c r="AA6" s="6"/>
      <c r="AB6" s="125"/>
      <c r="AC6" s="125"/>
      <c r="AD6" s="125"/>
      <c r="AE6" s="125"/>
      <c r="AF6" s="125"/>
      <c r="AG6" s="6" t="s">
        <v>91</v>
      </c>
      <c r="AH6" s="6"/>
      <c r="AI6" s="29"/>
      <c r="AJ6" s="29"/>
      <c r="AK6" s="29"/>
      <c r="AL6" s="29"/>
      <c r="AM6" s="29"/>
      <c r="AN6" s="29"/>
      <c r="AO6" s="825" t="s">
        <v>91</v>
      </c>
      <c r="AP6" s="29"/>
      <c r="AQ6" s="29"/>
      <c r="AR6" s="825"/>
      <c r="AS6" s="825"/>
      <c r="AT6" s="825"/>
      <c r="AU6" s="825"/>
      <c r="AV6" s="825"/>
      <c r="AW6" s="6" t="s">
        <v>91</v>
      </c>
      <c r="AX6" s="29"/>
      <c r="AY6" s="29"/>
      <c r="AZ6" s="29"/>
      <c r="BA6" s="29"/>
      <c r="BB6" s="29"/>
      <c r="BC6" s="29"/>
      <c r="BD6" s="29"/>
      <c r="BE6" s="6" t="s">
        <v>91</v>
      </c>
      <c r="BF6" s="29"/>
      <c r="BG6" s="29"/>
      <c r="BH6" s="29"/>
      <c r="BI6" s="29"/>
      <c r="BJ6" s="29"/>
      <c r="BK6" s="29"/>
      <c r="BL6" s="29"/>
      <c r="BM6" s="6" t="s">
        <v>91</v>
      </c>
      <c r="BN6" s="6"/>
      <c r="BO6" s="29"/>
      <c r="BP6" s="29"/>
      <c r="BQ6" s="29"/>
      <c r="BR6" s="29"/>
      <c r="BS6" s="29"/>
      <c r="BT6" s="29"/>
      <c r="BU6" s="6" t="s">
        <v>91</v>
      </c>
      <c r="BV6" s="6"/>
      <c r="BW6" s="29"/>
      <c r="BX6" s="29"/>
      <c r="BY6" s="29"/>
      <c r="BZ6" s="29"/>
      <c r="CA6" s="29"/>
      <c r="CB6" s="29"/>
      <c r="CC6" s="86" t="s">
        <v>257</v>
      </c>
      <c r="CD6" s="85"/>
      <c r="CE6" s="85"/>
      <c r="CF6" s="85"/>
      <c r="CG6" s="85"/>
      <c r="CH6" s="85"/>
      <c r="CI6" s="86"/>
      <c r="CJ6" s="85"/>
    </row>
    <row r="7" spans="1:90" s="126" customFormat="1" x14ac:dyDescent="0.25">
      <c r="B7" s="86" t="s">
        <v>92</v>
      </c>
      <c r="C7" s="127"/>
      <c r="D7" s="127"/>
      <c r="E7" s="127"/>
      <c r="F7" s="127"/>
      <c r="G7" s="127"/>
      <c r="H7" s="88"/>
      <c r="J7" s="86" t="s">
        <v>96</v>
      </c>
      <c r="K7" s="88"/>
      <c r="L7" s="88"/>
      <c r="M7" s="88"/>
      <c r="N7" s="88"/>
      <c r="O7" s="88"/>
      <c r="P7" s="88"/>
      <c r="R7" s="86" t="s">
        <v>98</v>
      </c>
      <c r="S7" s="88"/>
      <c r="T7" s="88"/>
      <c r="U7" s="88"/>
      <c r="V7" s="88"/>
      <c r="W7" s="88"/>
      <c r="X7" s="88"/>
      <c r="Y7" s="392"/>
      <c r="Z7" s="86" t="s">
        <v>104</v>
      </c>
      <c r="AA7" s="86"/>
      <c r="AB7" s="127"/>
      <c r="AC7" s="127"/>
      <c r="AD7" s="127"/>
      <c r="AE7" s="127"/>
      <c r="AF7" s="127"/>
      <c r="AG7" s="87" t="s">
        <v>109</v>
      </c>
      <c r="AH7" s="87"/>
      <c r="AI7" s="88"/>
      <c r="AJ7" s="88"/>
      <c r="AK7" s="88"/>
      <c r="AL7" s="88"/>
      <c r="AM7" s="88"/>
      <c r="AN7" s="88"/>
      <c r="AO7" s="85" t="s">
        <v>111</v>
      </c>
      <c r="AP7" s="29"/>
      <c r="AQ7" s="29"/>
      <c r="AR7" s="825"/>
      <c r="AS7" s="825"/>
      <c r="AT7" s="825"/>
      <c r="AU7" s="825"/>
      <c r="AV7" s="825"/>
      <c r="AW7" s="87" t="s">
        <v>539</v>
      </c>
      <c r="AX7" s="88"/>
      <c r="AY7" s="88"/>
      <c r="AZ7" s="88"/>
      <c r="BA7" s="88"/>
      <c r="BB7" s="88"/>
      <c r="BC7" s="88"/>
      <c r="BD7" s="88"/>
      <c r="BE7" s="86" t="s">
        <v>421</v>
      </c>
      <c r="BF7" s="88"/>
      <c r="BG7" s="88"/>
      <c r="BH7" s="88"/>
      <c r="BI7" s="88"/>
      <c r="BJ7" s="88"/>
      <c r="BK7" s="88"/>
      <c r="BL7" s="88"/>
      <c r="BM7" s="86" t="s">
        <v>429</v>
      </c>
      <c r="BN7" s="86"/>
      <c r="BO7" s="88"/>
      <c r="BP7" s="88"/>
      <c r="BQ7" s="88"/>
      <c r="BR7" s="88"/>
      <c r="BS7" s="88"/>
      <c r="BT7" s="88"/>
      <c r="BU7" s="86" t="s">
        <v>582</v>
      </c>
      <c r="BV7" s="86"/>
      <c r="BW7" s="88"/>
      <c r="BX7" s="88"/>
      <c r="BY7" s="88"/>
      <c r="BZ7" s="88"/>
      <c r="CA7" s="88"/>
      <c r="CB7" s="88"/>
      <c r="CC7" s="90" t="s">
        <v>273</v>
      </c>
      <c r="CD7" s="90"/>
      <c r="CE7" s="90"/>
      <c r="CF7" s="90"/>
      <c r="CG7" s="90"/>
      <c r="CH7" s="90"/>
      <c r="CI7" s="90"/>
      <c r="CJ7" s="90"/>
      <c r="CK7"/>
      <c r="CL7"/>
    </row>
    <row r="8" spans="1:90" x14ac:dyDescent="0.25">
      <c r="B8" s="6" t="str">
        <f>TESTYEAR_E</f>
        <v>12 MONTHS ENDED DECEMBER 31, 2018</v>
      </c>
      <c r="C8" s="125"/>
      <c r="D8" s="125"/>
      <c r="E8" s="125"/>
      <c r="F8" s="125"/>
      <c r="G8" s="125"/>
      <c r="H8" s="29"/>
      <c r="J8" s="6" t="str">
        <f>TESTYEAR_E</f>
        <v>12 MONTHS ENDED DECEMBER 31, 2018</v>
      </c>
      <c r="K8" s="29"/>
      <c r="L8" s="29"/>
      <c r="M8" s="29"/>
      <c r="N8" s="29"/>
      <c r="O8" s="29"/>
      <c r="P8" s="29"/>
      <c r="R8" s="6" t="str">
        <f>TESTYEAR_E</f>
        <v>12 MONTHS ENDED DECEMBER 31, 2018</v>
      </c>
      <c r="S8" s="29"/>
      <c r="T8" s="29"/>
      <c r="U8" s="29"/>
      <c r="V8" s="29"/>
      <c r="W8" s="29"/>
      <c r="X8" s="29"/>
      <c r="Y8" s="289"/>
      <c r="Z8" s="6" t="str">
        <f>TESTYEAR_E</f>
        <v>12 MONTHS ENDED DECEMBER 31, 2018</v>
      </c>
      <c r="AA8" s="6"/>
      <c r="AB8" s="125"/>
      <c r="AC8" s="125"/>
      <c r="AD8" s="125"/>
      <c r="AE8" s="125"/>
      <c r="AF8" s="125"/>
      <c r="AG8" s="6" t="str">
        <f>TESTYEAR_E</f>
        <v>12 MONTHS ENDED DECEMBER 31, 2018</v>
      </c>
      <c r="AH8" s="6"/>
      <c r="AI8" s="29"/>
      <c r="AJ8" s="29"/>
      <c r="AK8" s="29"/>
      <c r="AL8" s="29"/>
      <c r="AM8" s="29"/>
      <c r="AN8" s="29"/>
      <c r="AO8" s="825" t="str">
        <f>TESTYEAR_E</f>
        <v>12 MONTHS ENDED DECEMBER 31, 2018</v>
      </c>
      <c r="AP8" s="29"/>
      <c r="AQ8" s="29"/>
      <c r="AR8" s="825"/>
      <c r="AS8" s="825"/>
      <c r="AT8" s="825"/>
      <c r="AU8" s="825"/>
      <c r="AV8" s="825"/>
      <c r="AW8" s="6" t="str">
        <f>TESTYEAR_E</f>
        <v>12 MONTHS ENDED DECEMBER 31, 2018</v>
      </c>
      <c r="AX8" s="29"/>
      <c r="AY8" s="29"/>
      <c r="AZ8" s="29"/>
      <c r="BA8" s="29"/>
      <c r="BB8" s="29"/>
      <c r="BC8" s="29"/>
      <c r="BD8" s="29"/>
      <c r="BE8" s="6" t="str">
        <f>TESTYEAR_E</f>
        <v>12 MONTHS ENDED DECEMBER 31, 2018</v>
      </c>
      <c r="BF8" s="29"/>
      <c r="BG8" s="29"/>
      <c r="BH8" s="29"/>
      <c r="BI8" s="29"/>
      <c r="BJ8" s="29"/>
      <c r="BK8" s="29"/>
      <c r="BL8" s="29"/>
      <c r="BM8" s="6" t="str">
        <f>TESTYEAR_E</f>
        <v>12 MONTHS ENDED DECEMBER 31, 2018</v>
      </c>
      <c r="BN8" s="6"/>
      <c r="BO8" s="29"/>
      <c r="BP8" s="29"/>
      <c r="BQ8" s="29"/>
      <c r="BR8" s="29"/>
      <c r="BS8" s="29"/>
      <c r="BT8" s="29"/>
      <c r="BU8" s="6" t="str">
        <f>TESTYEAR_E</f>
        <v>12 MONTHS ENDED DECEMBER 31, 2018</v>
      </c>
      <c r="BV8" s="6"/>
      <c r="BW8" s="29"/>
      <c r="BX8" s="29"/>
      <c r="BY8" s="29"/>
      <c r="BZ8" s="29"/>
      <c r="CA8" s="29"/>
      <c r="CB8" s="29"/>
      <c r="CC8" s="90" t="s">
        <v>208</v>
      </c>
      <c r="CD8" s="90"/>
      <c r="CE8" s="90"/>
      <c r="CF8" s="90"/>
      <c r="CG8" s="90"/>
      <c r="CH8" s="90"/>
      <c r="CI8" s="90"/>
      <c r="CJ8" s="90"/>
    </row>
    <row r="9" spans="1:90" ht="15.75" thickBot="1" x14ac:dyDescent="0.3">
      <c r="B9" s="6" t="str">
        <f>CASE_E</f>
        <v>2019 GENERAL RATE CASE</v>
      </c>
      <c r="C9" s="125"/>
      <c r="D9" s="125"/>
      <c r="E9" s="125"/>
      <c r="F9" s="125"/>
      <c r="G9" s="125"/>
      <c r="H9" s="29"/>
      <c r="J9" s="6" t="str">
        <f>CASE_E</f>
        <v>2019 GENERAL RATE CASE</v>
      </c>
      <c r="K9" s="29"/>
      <c r="L9" s="29"/>
      <c r="M9" s="29"/>
      <c r="N9" s="29"/>
      <c r="O9" s="29"/>
      <c r="P9" s="29"/>
      <c r="R9" s="6" t="str">
        <f>CASE_E</f>
        <v>2019 GENERAL RATE CASE</v>
      </c>
      <c r="S9" s="29"/>
      <c r="T9" s="29"/>
      <c r="U9" s="29"/>
      <c r="V9" s="29"/>
      <c r="W9" s="29"/>
      <c r="X9" s="29"/>
      <c r="Y9" s="289"/>
      <c r="Z9" s="6" t="str">
        <f>CASE_E</f>
        <v>2019 GENERAL RATE CASE</v>
      </c>
      <c r="AA9" s="6"/>
      <c r="AB9" s="125"/>
      <c r="AC9" s="125"/>
      <c r="AD9" s="125"/>
      <c r="AE9" s="125"/>
      <c r="AF9" s="125"/>
      <c r="AG9" s="6" t="str">
        <f>CASE_E</f>
        <v>2019 GENERAL RATE CASE</v>
      </c>
      <c r="AH9" s="6"/>
      <c r="AI9" s="29"/>
      <c r="AJ9" s="29"/>
      <c r="AK9" s="29"/>
      <c r="AL9" s="29"/>
      <c r="AM9" s="29"/>
      <c r="AN9" s="29"/>
      <c r="AO9" s="825" t="str">
        <f>CASE_E</f>
        <v>2019 GENERAL RATE CASE</v>
      </c>
      <c r="AP9" s="29"/>
      <c r="AQ9" s="29"/>
      <c r="AR9" s="825"/>
      <c r="AS9" s="825"/>
      <c r="AT9" s="825"/>
      <c r="AU9" s="825"/>
      <c r="AV9" s="825"/>
      <c r="AW9" s="6" t="str">
        <f>CASE_E</f>
        <v>2019 GENERAL RATE CASE</v>
      </c>
      <c r="AX9" s="29"/>
      <c r="AY9" s="29"/>
      <c r="AZ9" s="29"/>
      <c r="BA9" s="29"/>
      <c r="BB9" s="29"/>
      <c r="BC9" s="29"/>
      <c r="BD9" s="29"/>
      <c r="BE9" s="6" t="str">
        <f>CASE_E</f>
        <v>2019 GENERAL RATE CASE</v>
      </c>
      <c r="BF9" s="29"/>
      <c r="BG9" s="29"/>
      <c r="BH9" s="29"/>
      <c r="BI9" s="29"/>
      <c r="BJ9" s="29"/>
      <c r="BK9" s="29"/>
      <c r="BL9" s="29"/>
      <c r="BM9" s="6" t="str">
        <f>CASE_E</f>
        <v>2019 GENERAL RATE CASE</v>
      </c>
      <c r="BN9" s="6"/>
      <c r="BO9" s="29"/>
      <c r="BP9" s="29"/>
      <c r="BQ9" s="29"/>
      <c r="BR9" s="29"/>
      <c r="BS9" s="29"/>
      <c r="BT9" s="29"/>
      <c r="BU9" s="6" t="str">
        <f>CASE_E</f>
        <v>2019 GENERAL RATE CASE</v>
      </c>
      <c r="BV9" s="6"/>
      <c r="BW9" s="29"/>
      <c r="BX9" s="29"/>
      <c r="BY9" s="29"/>
      <c r="BZ9" s="29"/>
      <c r="CA9" s="29"/>
      <c r="CB9" s="29"/>
      <c r="CC9" s="83"/>
      <c r="CD9" s="29"/>
      <c r="CE9" s="29"/>
      <c r="CF9" s="29"/>
      <c r="CG9" s="29"/>
      <c r="CH9" s="29"/>
      <c r="CI9" s="29"/>
      <c r="CJ9" s="29"/>
    </row>
    <row r="10" spans="1:90" ht="15.75" thickBot="1" x14ac:dyDescent="0.3">
      <c r="B10" s="6"/>
      <c r="C10" s="125"/>
      <c r="D10" s="125"/>
      <c r="E10" s="125"/>
      <c r="F10" s="376">
        <f>'BGM-9 (2) Detailed Summary'!X9</f>
        <v>7.01</v>
      </c>
      <c r="G10" s="288"/>
      <c r="H10" s="377">
        <f>'BGM-9 (2) Detailed Summary'!BD9</f>
        <v>7.01</v>
      </c>
      <c r="J10" s="6"/>
      <c r="K10" s="29"/>
      <c r="L10" s="29"/>
      <c r="M10" s="29"/>
      <c r="N10" s="376">
        <f>'BGM-9 (2) Detailed Summary'!Y9</f>
        <v>7.02</v>
      </c>
      <c r="P10" s="377">
        <f>'BGM-9 (2) Detailed Summary'!BE9</f>
        <v>7.02</v>
      </c>
      <c r="R10" s="6"/>
      <c r="S10" s="29"/>
      <c r="T10" s="29"/>
      <c r="U10" s="29"/>
      <c r="V10" s="376">
        <f>'BGM-9 (2) Detailed Summary'!Z9</f>
        <v>7.0299999999999994</v>
      </c>
      <c r="X10" s="377" t="s">
        <v>470</v>
      </c>
      <c r="Y10" s="289"/>
      <c r="Z10" s="6"/>
      <c r="AA10" s="6"/>
      <c r="AB10" s="125"/>
      <c r="AC10" s="125"/>
      <c r="AD10" s="376">
        <f>'BGM-9 (2) Detailed Summary'!AA9</f>
        <v>7.0399999999999991</v>
      </c>
      <c r="AE10" s="391"/>
      <c r="AF10" s="377" t="s">
        <v>470</v>
      </c>
      <c r="AG10" s="149"/>
      <c r="AH10" s="149"/>
      <c r="AI10" s="149"/>
      <c r="AJ10" s="149"/>
      <c r="AK10" s="149"/>
      <c r="AL10" s="376">
        <f>'BGM-9 (2) Detailed Summary'!AB9</f>
        <v>7.0499999999999989</v>
      </c>
      <c r="AN10" s="377">
        <f>'BGM-9 (2) Detailed Summary'!BF9</f>
        <v>7.0499999999999989</v>
      </c>
      <c r="AO10" s="826"/>
      <c r="AP10" s="826"/>
      <c r="AQ10" s="826"/>
      <c r="AR10" s="826"/>
      <c r="AS10" s="826"/>
      <c r="AT10" s="827" t="s">
        <v>470</v>
      </c>
      <c r="AV10" s="828">
        <f>'[12]Detailed Summary'!BD9</f>
        <v>7.0599999999999987</v>
      </c>
      <c r="AX10" s="6"/>
      <c r="AY10" s="29"/>
      <c r="AZ10" s="29"/>
      <c r="BA10" s="29"/>
      <c r="BB10" s="376">
        <f>'BGM-9 (2) Detailed Summary'!AC9</f>
        <v>7.0699999999999985</v>
      </c>
      <c r="BD10" s="376" t="s">
        <v>470</v>
      </c>
      <c r="BF10" s="6"/>
      <c r="BG10" s="29"/>
      <c r="BH10" s="29"/>
      <c r="BI10" s="29"/>
      <c r="BJ10" s="376" t="s">
        <v>470</v>
      </c>
      <c r="BL10" s="377">
        <f>'BGM-9 (2) Detailed Summary'!BH9</f>
        <v>7.08</v>
      </c>
      <c r="BN10" s="6"/>
      <c r="BO10" s="29"/>
      <c r="BP10" s="29"/>
      <c r="BQ10" s="29"/>
      <c r="BR10" s="376" t="s">
        <v>470</v>
      </c>
      <c r="BT10" s="377">
        <f>'BGM-9 (2) Detailed Summary'!BI9</f>
        <v>7.09</v>
      </c>
      <c r="BV10" s="6"/>
      <c r="BW10" s="29"/>
      <c r="BX10" s="29"/>
      <c r="BY10" s="29"/>
      <c r="BZ10" s="376" t="s">
        <v>470</v>
      </c>
      <c r="CB10" s="377">
        <f>'BGM-9 (2) Detailed Summary'!BJ9</f>
        <v>7.1</v>
      </c>
      <c r="CE10" s="179"/>
      <c r="CF10" s="218" t="s">
        <v>263</v>
      </c>
      <c r="CG10" s="219"/>
      <c r="CH10" s="394" t="s">
        <v>105</v>
      </c>
      <c r="CI10" s="219"/>
      <c r="CJ10" s="394" t="s">
        <v>93</v>
      </c>
    </row>
    <row r="11" spans="1:90" x14ac:dyDescent="0.25">
      <c r="C11" s="217"/>
      <c r="D11" s="218" t="s">
        <v>263</v>
      </c>
      <c r="E11" s="219"/>
      <c r="F11" s="394" t="s">
        <v>105</v>
      </c>
      <c r="G11" s="219"/>
      <c r="H11" s="394" t="s">
        <v>93</v>
      </c>
      <c r="J11" s="217"/>
      <c r="L11" s="218" t="s">
        <v>263</v>
      </c>
      <c r="M11" s="219"/>
      <c r="N11" s="394" t="s">
        <v>105</v>
      </c>
      <c r="O11" s="219"/>
      <c r="P11" s="394" t="s">
        <v>93</v>
      </c>
      <c r="S11" s="217"/>
      <c r="T11" s="218" t="s">
        <v>263</v>
      </c>
      <c r="U11" s="219"/>
      <c r="V11" s="394" t="s">
        <v>105</v>
      </c>
      <c r="W11" s="219"/>
      <c r="X11" s="394" t="s">
        <v>93</v>
      </c>
      <c r="AA11" s="217"/>
      <c r="AB11" s="218" t="s">
        <v>263</v>
      </c>
      <c r="AC11" s="219"/>
      <c r="AD11" s="394" t="s">
        <v>105</v>
      </c>
      <c r="AE11" s="219"/>
      <c r="AF11" s="394" t="s">
        <v>93</v>
      </c>
      <c r="AG11" s="150"/>
      <c r="AH11" s="151"/>
      <c r="AI11" s="179"/>
      <c r="AJ11" s="218" t="s">
        <v>263</v>
      </c>
      <c r="AK11" s="219"/>
      <c r="AL11" s="394" t="s">
        <v>105</v>
      </c>
      <c r="AM11" s="219"/>
      <c r="AN11" s="394" t="s">
        <v>93</v>
      </c>
      <c r="AO11" s="829"/>
      <c r="AP11" s="830"/>
      <c r="AQ11" s="808"/>
      <c r="AR11" s="805" t="s">
        <v>263</v>
      </c>
      <c r="AS11" s="806"/>
      <c r="AT11" s="807" t="s">
        <v>105</v>
      </c>
      <c r="AU11" s="806"/>
      <c r="AV11" s="807" t="s">
        <v>93</v>
      </c>
      <c r="AY11" s="217"/>
      <c r="AZ11" s="394" t="s">
        <v>541</v>
      </c>
      <c r="BA11" s="394" t="s">
        <v>540</v>
      </c>
      <c r="BB11" s="394" t="s">
        <v>105</v>
      </c>
      <c r="BC11" s="219"/>
      <c r="BD11" s="394" t="s">
        <v>93</v>
      </c>
      <c r="BG11" s="217"/>
      <c r="BH11" s="218" t="s">
        <v>263</v>
      </c>
      <c r="BI11" s="219"/>
      <c r="BJ11" s="394" t="s">
        <v>105</v>
      </c>
      <c r="BK11" s="219"/>
      <c r="BL11" s="394" t="s">
        <v>93</v>
      </c>
      <c r="BO11" s="217"/>
      <c r="BP11" s="218" t="s">
        <v>263</v>
      </c>
      <c r="BQ11" s="219"/>
      <c r="BR11" s="394" t="s">
        <v>105</v>
      </c>
      <c r="BS11" s="219"/>
      <c r="BT11" s="394" t="s">
        <v>93</v>
      </c>
      <c r="BW11" s="217"/>
      <c r="BX11" s="218" t="s">
        <v>263</v>
      </c>
      <c r="BY11" s="219"/>
      <c r="BZ11" s="394" t="s">
        <v>105</v>
      </c>
      <c r="CA11" s="219"/>
      <c r="CB11" s="394" t="s">
        <v>93</v>
      </c>
      <c r="CC11" s="69" t="s">
        <v>43</v>
      </c>
      <c r="CD11" s="220"/>
      <c r="CE11" s="181"/>
      <c r="CF11" s="394" t="s">
        <v>40</v>
      </c>
      <c r="CG11" s="394" t="s">
        <v>105</v>
      </c>
      <c r="CH11" s="394" t="s">
        <v>52</v>
      </c>
      <c r="CI11" s="394" t="s">
        <v>93</v>
      </c>
      <c r="CJ11" s="394" t="s">
        <v>52</v>
      </c>
    </row>
    <row r="12" spans="1:90" x14ac:dyDescent="0.25">
      <c r="A12" s="180" t="s">
        <v>43</v>
      </c>
      <c r="B12" s="180"/>
      <c r="C12" s="220"/>
      <c r="D12" s="394" t="s">
        <v>40</v>
      </c>
      <c r="E12" s="394" t="s">
        <v>105</v>
      </c>
      <c r="F12" s="394" t="s">
        <v>52</v>
      </c>
      <c r="G12" s="394" t="s">
        <v>93</v>
      </c>
      <c r="H12" s="394" t="s">
        <v>52</v>
      </c>
      <c r="I12" s="3" t="s">
        <v>43</v>
      </c>
      <c r="J12" s="220"/>
      <c r="L12" s="394" t="s">
        <v>40</v>
      </c>
      <c r="M12" s="394" t="s">
        <v>105</v>
      </c>
      <c r="N12" s="394" t="s">
        <v>52</v>
      </c>
      <c r="O12" s="394" t="s">
        <v>93</v>
      </c>
      <c r="P12" s="394" t="s">
        <v>52</v>
      </c>
      <c r="Q12" s="180" t="s">
        <v>43</v>
      </c>
      <c r="R12" s="180"/>
      <c r="S12" s="220"/>
      <c r="T12" s="394" t="s">
        <v>40</v>
      </c>
      <c r="U12" s="394" t="s">
        <v>105</v>
      </c>
      <c r="V12" s="394" t="s">
        <v>52</v>
      </c>
      <c r="W12" s="394" t="s">
        <v>93</v>
      </c>
      <c r="X12" s="394" t="s">
        <v>52</v>
      </c>
      <c r="Y12" s="180" t="s">
        <v>43</v>
      </c>
      <c r="Z12" s="180"/>
      <c r="AA12" s="220"/>
      <c r="AB12" s="394" t="s">
        <v>40</v>
      </c>
      <c r="AC12" s="394" t="s">
        <v>105</v>
      </c>
      <c r="AD12" s="394" t="s">
        <v>52</v>
      </c>
      <c r="AE12" s="394" t="s">
        <v>93</v>
      </c>
      <c r="AF12" s="394" t="s">
        <v>52</v>
      </c>
      <c r="AG12" s="152" t="s">
        <v>43</v>
      </c>
      <c r="AH12" s="150"/>
      <c r="AI12" s="181"/>
      <c r="AJ12" s="394" t="s">
        <v>40</v>
      </c>
      <c r="AK12" s="394" t="s">
        <v>105</v>
      </c>
      <c r="AL12" s="394" t="s">
        <v>52</v>
      </c>
      <c r="AM12" s="394" t="s">
        <v>93</v>
      </c>
      <c r="AN12" s="394" t="s">
        <v>52</v>
      </c>
      <c r="AO12" s="831" t="s">
        <v>43</v>
      </c>
      <c r="AP12" s="829"/>
      <c r="AQ12" s="812"/>
      <c r="AR12" s="807" t="s">
        <v>40</v>
      </c>
      <c r="AS12" s="807" t="s">
        <v>105</v>
      </c>
      <c r="AT12" s="807" t="s">
        <v>52</v>
      </c>
      <c r="AU12" s="807" t="s">
        <v>93</v>
      </c>
      <c r="AV12" s="807" t="s">
        <v>52</v>
      </c>
      <c r="AW12" s="180" t="s">
        <v>43</v>
      </c>
      <c r="AX12" s="180"/>
      <c r="AY12" s="220"/>
      <c r="AZ12" s="394" t="s">
        <v>542</v>
      </c>
      <c r="BA12" s="394" t="s">
        <v>105</v>
      </c>
      <c r="BB12" s="394" t="s">
        <v>52</v>
      </c>
      <c r="BC12" s="394" t="s">
        <v>93</v>
      </c>
      <c r="BD12" s="394" t="s">
        <v>52</v>
      </c>
      <c r="BE12" s="180" t="s">
        <v>43</v>
      </c>
      <c r="BF12" s="180"/>
      <c r="BG12" s="220"/>
      <c r="BH12" s="394" t="s">
        <v>40</v>
      </c>
      <c r="BI12" s="394" t="s">
        <v>105</v>
      </c>
      <c r="BJ12" s="394" t="s">
        <v>52</v>
      </c>
      <c r="BK12" s="394" t="s">
        <v>93</v>
      </c>
      <c r="BL12" s="394" t="s">
        <v>52</v>
      </c>
      <c r="BM12" s="180" t="s">
        <v>43</v>
      </c>
      <c r="BN12" s="180"/>
      <c r="BO12" s="220"/>
      <c r="BP12" s="394" t="s">
        <v>40</v>
      </c>
      <c r="BQ12" s="394" t="s">
        <v>105</v>
      </c>
      <c r="BR12" s="394" t="s">
        <v>52</v>
      </c>
      <c r="BS12" s="394" t="s">
        <v>93</v>
      </c>
      <c r="BT12" s="394" t="s">
        <v>52</v>
      </c>
      <c r="BU12" s="180" t="s">
        <v>43</v>
      </c>
      <c r="BV12" s="180"/>
      <c r="BW12" s="220"/>
      <c r="BX12" s="394" t="s">
        <v>40</v>
      </c>
      <c r="BY12" s="394" t="s">
        <v>105</v>
      </c>
      <c r="BZ12" s="394" t="s">
        <v>52</v>
      </c>
      <c r="CA12" s="394" t="s">
        <v>93</v>
      </c>
      <c r="CB12" s="394" t="s">
        <v>52</v>
      </c>
      <c r="CC12" s="404" t="s">
        <v>44</v>
      </c>
      <c r="CD12" s="436" t="s">
        <v>73</v>
      </c>
      <c r="CE12" s="433" t="s">
        <v>261</v>
      </c>
      <c r="CF12" s="408" t="s">
        <v>264</v>
      </c>
      <c r="CG12" s="427" t="s">
        <v>265</v>
      </c>
      <c r="CH12" s="408" t="s">
        <v>266</v>
      </c>
      <c r="CI12" s="427" t="s">
        <v>267</v>
      </c>
      <c r="CJ12" s="408" t="s">
        <v>268</v>
      </c>
    </row>
    <row r="13" spans="1:90" x14ac:dyDescent="0.25">
      <c r="A13" s="428" t="s">
        <v>44</v>
      </c>
      <c r="B13" s="404" t="s">
        <v>73</v>
      </c>
      <c r="C13" s="429" t="s">
        <v>261</v>
      </c>
      <c r="D13" s="408" t="s">
        <v>264</v>
      </c>
      <c r="E13" s="427" t="s">
        <v>265</v>
      </c>
      <c r="F13" s="408" t="s">
        <v>266</v>
      </c>
      <c r="G13" s="427" t="s">
        <v>267</v>
      </c>
      <c r="H13" s="408" t="s">
        <v>268</v>
      </c>
      <c r="I13" s="404" t="s">
        <v>44</v>
      </c>
      <c r="J13" s="404" t="s">
        <v>73</v>
      </c>
      <c r="K13" s="429" t="s">
        <v>261</v>
      </c>
      <c r="L13" s="408" t="s">
        <v>264</v>
      </c>
      <c r="M13" s="427" t="s">
        <v>265</v>
      </c>
      <c r="N13" s="408" t="s">
        <v>266</v>
      </c>
      <c r="O13" s="427" t="s">
        <v>267</v>
      </c>
      <c r="P13" s="408" t="s">
        <v>268</v>
      </c>
      <c r="Q13" s="428" t="s">
        <v>44</v>
      </c>
      <c r="R13" s="404" t="s">
        <v>73</v>
      </c>
      <c r="S13" s="429" t="s">
        <v>261</v>
      </c>
      <c r="T13" s="408" t="s">
        <v>264</v>
      </c>
      <c r="U13" s="427" t="s">
        <v>265</v>
      </c>
      <c r="V13" s="408" t="s">
        <v>266</v>
      </c>
      <c r="W13" s="427" t="s">
        <v>267</v>
      </c>
      <c r="X13" s="408" t="s">
        <v>268</v>
      </c>
      <c r="Y13" s="428" t="s">
        <v>44</v>
      </c>
      <c r="Z13" s="404" t="s">
        <v>73</v>
      </c>
      <c r="AA13" s="429" t="s">
        <v>261</v>
      </c>
      <c r="AB13" s="408" t="s">
        <v>264</v>
      </c>
      <c r="AC13" s="427" t="s">
        <v>265</v>
      </c>
      <c r="AD13" s="408" t="s">
        <v>266</v>
      </c>
      <c r="AE13" s="427" t="s">
        <v>267</v>
      </c>
      <c r="AF13" s="408" t="s">
        <v>268</v>
      </c>
      <c r="AG13" s="462" t="s">
        <v>44</v>
      </c>
      <c r="AH13" s="463" t="s">
        <v>73</v>
      </c>
      <c r="AI13" s="433" t="s">
        <v>261</v>
      </c>
      <c r="AJ13" s="408" t="s">
        <v>264</v>
      </c>
      <c r="AK13" s="427" t="s">
        <v>265</v>
      </c>
      <c r="AL13" s="408" t="s">
        <v>266</v>
      </c>
      <c r="AM13" s="427" t="s">
        <v>267</v>
      </c>
      <c r="AN13" s="408" t="s">
        <v>268</v>
      </c>
      <c r="AO13" s="832" t="s">
        <v>44</v>
      </c>
      <c r="AP13" s="833" t="s">
        <v>73</v>
      </c>
      <c r="AQ13" s="811" t="s">
        <v>261</v>
      </c>
      <c r="AR13" s="408" t="s">
        <v>264</v>
      </c>
      <c r="AS13" s="809" t="s">
        <v>265</v>
      </c>
      <c r="AT13" s="408" t="s">
        <v>266</v>
      </c>
      <c r="AU13" s="809" t="s">
        <v>267</v>
      </c>
      <c r="AV13" s="408" t="s">
        <v>268</v>
      </c>
      <c r="AW13" s="428" t="s">
        <v>44</v>
      </c>
      <c r="AX13" s="404" t="s">
        <v>73</v>
      </c>
      <c r="AY13" s="429" t="s">
        <v>261</v>
      </c>
      <c r="AZ13" s="408" t="s">
        <v>264</v>
      </c>
      <c r="BA13" s="427" t="s">
        <v>265</v>
      </c>
      <c r="BB13" s="408" t="s">
        <v>266</v>
      </c>
      <c r="BC13" s="427" t="s">
        <v>267</v>
      </c>
      <c r="BD13" s="408" t="s">
        <v>268</v>
      </c>
      <c r="BE13" s="428" t="s">
        <v>44</v>
      </c>
      <c r="BF13" s="404" t="s">
        <v>73</v>
      </c>
      <c r="BG13" s="429" t="s">
        <v>261</v>
      </c>
      <c r="BH13" s="408" t="s">
        <v>264</v>
      </c>
      <c r="BI13" s="427" t="s">
        <v>265</v>
      </c>
      <c r="BJ13" s="408" t="s">
        <v>266</v>
      </c>
      <c r="BK13" s="427" t="s">
        <v>267</v>
      </c>
      <c r="BL13" s="408" t="s">
        <v>268</v>
      </c>
      <c r="BM13" s="428" t="s">
        <v>44</v>
      </c>
      <c r="BN13" s="404" t="s">
        <v>73</v>
      </c>
      <c r="BO13" s="429" t="s">
        <v>261</v>
      </c>
      <c r="BP13" s="408" t="s">
        <v>264</v>
      </c>
      <c r="BQ13" s="427" t="s">
        <v>265</v>
      </c>
      <c r="BR13" s="408" t="s">
        <v>266</v>
      </c>
      <c r="BS13" s="427" t="s">
        <v>267</v>
      </c>
      <c r="BT13" s="408" t="s">
        <v>268</v>
      </c>
      <c r="BU13" s="428" t="s">
        <v>44</v>
      </c>
      <c r="BV13" s="404" t="s">
        <v>73</v>
      </c>
      <c r="BW13" s="429" t="s">
        <v>261</v>
      </c>
      <c r="BX13" s="408" t="s">
        <v>264</v>
      </c>
      <c r="BY13" s="427" t="s">
        <v>265</v>
      </c>
      <c r="BZ13" s="408" t="s">
        <v>266</v>
      </c>
      <c r="CA13" s="427" t="s">
        <v>267</v>
      </c>
      <c r="CB13" s="408" t="s">
        <v>268</v>
      </c>
      <c r="CC13" s="10"/>
      <c r="CD13" s="10"/>
      <c r="CE13" s="10"/>
      <c r="CF13" s="95" t="s">
        <v>347</v>
      </c>
      <c r="CG13" s="95" t="s">
        <v>348</v>
      </c>
      <c r="CH13" s="95" t="s">
        <v>349</v>
      </c>
      <c r="CI13" s="95" t="s">
        <v>350</v>
      </c>
      <c r="CJ13" s="95" t="s">
        <v>351</v>
      </c>
    </row>
    <row r="14" spans="1:90" x14ac:dyDescent="0.25">
      <c r="Q14" s="95"/>
      <c r="R14" s="212"/>
      <c r="S14" s="212"/>
      <c r="T14" s="95"/>
      <c r="U14" s="95"/>
      <c r="V14" s="95"/>
      <c r="W14" s="95"/>
      <c r="X14" s="95"/>
      <c r="Y14" s="289"/>
      <c r="Z14" s="289"/>
      <c r="AA14" s="289"/>
      <c r="AB14" s="289"/>
      <c r="AC14" s="289"/>
      <c r="AD14" s="289"/>
      <c r="AE14" s="289"/>
      <c r="AF14" s="289"/>
      <c r="CC14" s="166">
        <v>1</v>
      </c>
      <c r="CD14" s="167"/>
      <c r="CE14" s="183"/>
      <c r="CF14" s="183"/>
      <c r="CG14" s="183"/>
      <c r="CH14" s="183"/>
      <c r="CI14" s="183"/>
      <c r="CJ14" s="183"/>
    </row>
    <row r="15" spans="1:90" x14ac:dyDescent="0.25">
      <c r="A15" s="16">
        <v>1</v>
      </c>
      <c r="B15" s="120" t="s">
        <v>521</v>
      </c>
      <c r="C15" s="120"/>
      <c r="D15" s="257"/>
      <c r="E15" s="163"/>
      <c r="F15" s="163"/>
      <c r="G15" s="164"/>
      <c r="H15" s="163"/>
      <c r="I15" s="96">
        <v>1</v>
      </c>
      <c r="J15" s="167" t="s">
        <v>174</v>
      </c>
      <c r="K15" s="167"/>
      <c r="L15" s="257"/>
      <c r="M15" s="275"/>
      <c r="N15" s="275"/>
      <c r="O15" s="275"/>
      <c r="P15" s="275"/>
      <c r="Q15" s="282">
        <v>1</v>
      </c>
      <c r="R15" s="212" t="s">
        <v>269</v>
      </c>
      <c r="S15" s="212"/>
      <c r="T15" s="257"/>
      <c r="U15" s="285"/>
      <c r="V15" s="285"/>
      <c r="W15" s="285"/>
      <c r="X15" s="285"/>
      <c r="Y15" s="282">
        <v>1</v>
      </c>
      <c r="Z15" s="393" t="s">
        <v>106</v>
      </c>
      <c r="AA15" s="393"/>
      <c r="AB15" s="344">
        <f>+'BGM-9 (2) Detailed Summary'!C40</f>
        <v>-41661500.859999999</v>
      </c>
      <c r="AC15" s="344"/>
      <c r="AD15" s="344">
        <f>AC15-AB15</f>
        <v>41661500.859999999</v>
      </c>
      <c r="AE15" s="344"/>
      <c r="AF15" s="344">
        <f>+AE15-AC15</f>
        <v>0</v>
      </c>
      <c r="AG15" s="96">
        <v>1</v>
      </c>
      <c r="AH15" s="112" t="s">
        <v>399</v>
      </c>
      <c r="AI15" s="119"/>
      <c r="AJ15" s="157">
        <f>+[13]Top!$D$13</f>
        <v>9705041.1899999995</v>
      </c>
      <c r="AK15" s="157">
        <f>+[13]Top!$E$13</f>
        <v>9826310.9900000002</v>
      </c>
      <c r="AL15" s="157">
        <f>+AK15-AJ15</f>
        <v>121269.80000000075</v>
      </c>
      <c r="AM15" s="157">
        <f>+AK15</f>
        <v>9826310.9900000002</v>
      </c>
      <c r="AN15" s="157">
        <f>+AM15-AK15</f>
        <v>0</v>
      </c>
      <c r="AO15" s="135">
        <v>1</v>
      </c>
      <c r="AP15" s="236" t="s">
        <v>112</v>
      </c>
      <c r="AQ15" s="236"/>
      <c r="AR15" s="834"/>
      <c r="AS15" s="834"/>
      <c r="AT15" s="834"/>
      <c r="AU15" s="834"/>
      <c r="AV15" s="834"/>
      <c r="AW15" s="282">
        <v>1</v>
      </c>
      <c r="AX15" s="283" t="s">
        <v>543</v>
      </c>
      <c r="AY15" s="283"/>
      <c r="AZ15" s="283"/>
      <c r="BA15" s="283"/>
      <c r="BB15" s="279"/>
      <c r="BC15" s="279"/>
      <c r="BD15" s="394"/>
      <c r="BE15" s="288">
        <v>1</v>
      </c>
      <c r="BF15" s="212" t="s">
        <v>412</v>
      </c>
      <c r="BM15" s="96">
        <v>1</v>
      </c>
      <c r="BN15" s="251"/>
      <c r="BO15" s="208"/>
      <c r="BP15" s="49"/>
      <c r="BQ15" s="49"/>
      <c r="BR15" s="49"/>
      <c r="BS15" s="49"/>
      <c r="BT15" s="49"/>
      <c r="BU15" s="282">
        <v>1</v>
      </c>
      <c r="BV15" s="8" t="s">
        <v>447</v>
      </c>
      <c r="CC15" s="166">
        <f t="shared" ref="CC15:CC32" si="0">+CC14+1</f>
        <v>2</v>
      </c>
      <c r="CD15" s="98"/>
      <c r="CE15" s="183"/>
      <c r="CF15" s="258"/>
      <c r="CG15" s="258"/>
      <c r="CH15" s="258"/>
      <c r="CI15" s="258"/>
      <c r="CJ15" s="258"/>
    </row>
    <row r="16" spans="1:90" x14ac:dyDescent="0.25">
      <c r="A16" s="16">
        <f t="shared" ref="A16:A37" si="1">+A15+1</f>
        <v>2</v>
      </c>
      <c r="B16" s="121" t="s">
        <v>522</v>
      </c>
      <c r="C16" s="121"/>
      <c r="D16" s="276">
        <f>+'[14]Lead E'!D10</f>
        <v>79334191.840000004</v>
      </c>
      <c r="E16" s="276">
        <f>+'[14]Lead E'!E10</f>
        <v>79334191.840000004</v>
      </c>
      <c r="F16" s="276">
        <f t="shared" ref="F16:F23" si="2">+E16-D16</f>
        <v>0</v>
      </c>
      <c r="G16" s="276">
        <f>+'[14]Lead E'!G10</f>
        <v>37464673.568808615</v>
      </c>
      <c r="H16" s="277">
        <f t="shared" ref="H16:H23" si="3">+G16-E16</f>
        <v>-41869518.271191388</v>
      </c>
      <c r="I16" s="96">
        <f t="shared" ref="I16:I22" si="4">+I15+1</f>
        <v>2</v>
      </c>
      <c r="J16" s="246" t="s">
        <v>486</v>
      </c>
      <c r="K16" s="45"/>
      <c r="L16" s="277">
        <f>+[15]Lead!D10</f>
        <v>1346484.56</v>
      </c>
      <c r="M16" s="277">
        <f>+[15]Lead!E10</f>
        <v>1433345.375</v>
      </c>
      <c r="N16" s="277">
        <f>+M16-L16</f>
        <v>86860.814999999944</v>
      </c>
      <c r="O16" s="874">
        <v>771545.60670272447</v>
      </c>
      <c r="P16" s="277">
        <f>+O16-M16</f>
        <v>-661799.76829727553</v>
      </c>
      <c r="Q16" s="282">
        <f t="shared" ref="Q16:Q27" si="5">+Q15+1</f>
        <v>2</v>
      </c>
      <c r="R16" s="213" t="s">
        <v>99</v>
      </c>
      <c r="S16" s="213"/>
      <c r="T16" s="277">
        <f>'[16]Lead E'!$D$14</f>
        <v>4539000</v>
      </c>
      <c r="U16" s="277">
        <f>'[16]Lead E'!$E$14</f>
        <v>0</v>
      </c>
      <c r="V16" s="277">
        <f>U16-T16</f>
        <v>-4539000</v>
      </c>
      <c r="W16" s="277">
        <f>U16</f>
        <v>0</v>
      </c>
      <c r="X16" s="277">
        <f>W16-U16</f>
        <v>0</v>
      </c>
      <c r="Y16" s="282">
        <f t="shared" ref="Y16:Y23" si="6">Y15+1</f>
        <v>2</v>
      </c>
      <c r="Z16" s="7"/>
      <c r="AA16" s="7"/>
      <c r="AB16" s="482"/>
      <c r="AC16" s="482"/>
      <c r="AD16" s="482"/>
      <c r="AE16" s="482"/>
      <c r="AF16" s="482"/>
      <c r="AG16" s="96">
        <v>2</v>
      </c>
      <c r="AH16" s="95"/>
      <c r="AI16" s="95"/>
      <c r="AJ16" s="95"/>
      <c r="AK16" s="95"/>
      <c r="AL16" s="95"/>
      <c r="AM16" s="95"/>
      <c r="AN16" s="95"/>
      <c r="AO16" s="135">
        <f t="shared" ref="AO16:AO63" si="7">AO15+1</f>
        <v>2</v>
      </c>
      <c r="AP16" s="182" t="s">
        <v>113</v>
      </c>
      <c r="AQ16" s="182"/>
      <c r="AR16" s="184">
        <f>+'[17]Lead E'!D14</f>
        <v>45753.08</v>
      </c>
      <c r="AS16" s="184">
        <f t="shared" ref="AS16:AS30" si="8">+AR16</f>
        <v>45753.08</v>
      </c>
      <c r="AT16" s="184">
        <f t="shared" ref="AT16:AT30" si="9">+AS16-AR16</f>
        <v>0</v>
      </c>
      <c r="AU16" s="184">
        <f>+'[17]Lead E'!G14</f>
        <v>45753.145111108061</v>
      </c>
      <c r="AV16" s="184">
        <f t="shared" ref="AV16:AV30" si="10">+AU16-AS16</f>
        <v>6.5111108058772516E-2</v>
      </c>
      <c r="AW16" s="282">
        <f t="shared" ref="AW16:AW43" si="11">AW15+1</f>
        <v>2</v>
      </c>
      <c r="AX16" s="283"/>
      <c r="AY16" s="283"/>
      <c r="AZ16" s="283"/>
      <c r="BA16" s="283"/>
      <c r="BB16" s="279"/>
      <c r="BC16" s="279"/>
      <c r="BD16" s="394"/>
      <c r="BE16" s="288">
        <f t="shared" ref="BE16:BE28" si="12">+BE15+1</f>
        <v>2</v>
      </c>
      <c r="BF16" s="212" t="s">
        <v>270</v>
      </c>
      <c r="BM16" s="96">
        <v>2</v>
      </c>
      <c r="BN16" s="251" t="s">
        <v>270</v>
      </c>
      <c r="BO16" s="252"/>
      <c r="BP16" s="252"/>
      <c r="BQ16" s="252"/>
      <c r="BR16" s="252"/>
      <c r="BS16" s="285"/>
      <c r="BT16" s="252"/>
      <c r="BU16" s="282">
        <f t="shared" ref="BU16:BU29" si="13">BU15+1</f>
        <v>2</v>
      </c>
      <c r="BV16" s="8" t="s">
        <v>472</v>
      </c>
      <c r="CC16" s="166">
        <f t="shared" si="0"/>
        <v>3</v>
      </c>
      <c r="CD16" s="246"/>
      <c r="CE16" s="183"/>
      <c r="CF16" s="259"/>
      <c r="CG16" s="259"/>
      <c r="CH16" s="259"/>
      <c r="CI16" s="259"/>
      <c r="CJ16" s="259"/>
    </row>
    <row r="17" spans="1:88" x14ac:dyDescent="0.25">
      <c r="A17" s="16">
        <f t="shared" si="1"/>
        <v>3</v>
      </c>
      <c r="B17" s="121" t="s">
        <v>523</v>
      </c>
      <c r="D17" s="122">
        <f>+'[14]Lead E'!D11</f>
        <v>124839938.45000002</v>
      </c>
      <c r="E17" s="122">
        <f>+'[14]Lead E'!E11</f>
        <v>125903300.81000002</v>
      </c>
      <c r="F17" s="122">
        <f t="shared" si="2"/>
        <v>1063362.3599999994</v>
      </c>
      <c r="G17" s="122">
        <f>+'[14]Lead E'!G11</f>
        <v>143861738.84365448</v>
      </c>
      <c r="H17" s="254">
        <f t="shared" si="3"/>
        <v>17958438.033654466</v>
      </c>
      <c r="I17" s="96">
        <f t="shared" si="4"/>
        <v>3</v>
      </c>
      <c r="J17" s="246" t="s">
        <v>142</v>
      </c>
      <c r="K17" s="246"/>
      <c r="L17" s="455">
        <f>+L16</f>
        <v>1346484.56</v>
      </c>
      <c r="M17" s="455">
        <f>+M16</f>
        <v>1433345.375</v>
      </c>
      <c r="N17" s="455">
        <f>+N16</f>
        <v>86860.814999999944</v>
      </c>
      <c r="O17" s="455">
        <f>+O16</f>
        <v>771545.60670272447</v>
      </c>
      <c r="P17" s="455">
        <f>+P16</f>
        <v>-661799.76829727553</v>
      </c>
      <c r="Q17" s="282">
        <f t="shared" si="5"/>
        <v>3</v>
      </c>
      <c r="R17" s="213" t="s">
        <v>100</v>
      </c>
      <c r="S17" s="213"/>
      <c r="T17" s="480">
        <f>'[16]Lead E'!$D$15</f>
        <v>-2120000</v>
      </c>
      <c r="U17" s="480">
        <f>'[16]Lead E'!$E$15</f>
        <v>0</v>
      </c>
      <c r="V17" s="480">
        <f>U17-T17</f>
        <v>2120000</v>
      </c>
      <c r="W17" s="480">
        <f>U17</f>
        <v>0</v>
      </c>
      <c r="X17" s="480">
        <f>W17-U17</f>
        <v>0</v>
      </c>
      <c r="Y17" s="282">
        <f t="shared" si="6"/>
        <v>3</v>
      </c>
      <c r="Z17" s="2" t="s">
        <v>107</v>
      </c>
      <c r="AA17" s="2"/>
      <c r="AB17" s="316">
        <f>SUM(AB15:AB16)</f>
        <v>-41661500.859999999</v>
      </c>
      <c r="AC17" s="316">
        <f>SUM(AC15:AC16)</f>
        <v>0</v>
      </c>
      <c r="AD17" s="316">
        <f>SUM(AD15:AD16)</f>
        <v>41661500.859999999</v>
      </c>
      <c r="AE17" s="316">
        <f>SUM(AE15:AE16)</f>
        <v>0</v>
      </c>
      <c r="AF17" s="316">
        <f>SUM(AF15:AF16)</f>
        <v>0</v>
      </c>
      <c r="AG17" s="96">
        <v>3</v>
      </c>
      <c r="AH17" s="153" t="s">
        <v>400</v>
      </c>
      <c r="AI17" s="153"/>
      <c r="AJ17" s="270">
        <f>+[13]Top!$D$15</f>
        <v>588691.1</v>
      </c>
      <c r="AK17" s="270">
        <f>+[13]Top!$E$15</f>
        <v>481346.42333333328</v>
      </c>
      <c r="AL17" s="270">
        <f>+AK17-AJ17</f>
        <v>-107344.6766666667</v>
      </c>
      <c r="AM17" s="270">
        <f>+AK17</f>
        <v>481346.42333333328</v>
      </c>
      <c r="AN17" s="58">
        <f>+AM17-AK17</f>
        <v>0</v>
      </c>
      <c r="AO17" s="135">
        <f t="shared" si="7"/>
        <v>3</v>
      </c>
      <c r="AP17" s="182" t="s">
        <v>114</v>
      </c>
      <c r="AQ17" s="182"/>
      <c r="AR17" s="191">
        <f>+'[17]Lead E'!D15</f>
        <v>62723.02</v>
      </c>
      <c r="AS17" s="262">
        <f t="shared" si="8"/>
        <v>62723.02</v>
      </c>
      <c r="AT17" s="262">
        <f t="shared" si="9"/>
        <v>0</v>
      </c>
      <c r="AU17" s="191">
        <f>+'[17]Lead E'!G15</f>
        <v>62723.058252429</v>
      </c>
      <c r="AV17" s="191">
        <f t="shared" si="10"/>
        <v>3.8252429003478028E-2</v>
      </c>
      <c r="AW17" s="282">
        <f t="shared" si="11"/>
        <v>3</v>
      </c>
      <c r="AX17" s="395" t="s">
        <v>29</v>
      </c>
      <c r="AY17" s="285"/>
      <c r="BE17" s="288">
        <f t="shared" si="12"/>
        <v>3</v>
      </c>
      <c r="BF17" s="213" t="s">
        <v>99</v>
      </c>
      <c r="BG17" s="213"/>
      <c r="BH17" s="384">
        <f>+[18]Lead!D15</f>
        <v>16990239.199999999</v>
      </c>
      <c r="BI17" s="384">
        <f>+BH17</f>
        <v>16990239.199999999</v>
      </c>
      <c r="BJ17" s="384">
        <f>BI17-BH17</f>
        <v>0</v>
      </c>
      <c r="BK17" s="384">
        <v>0</v>
      </c>
      <c r="BL17" s="384">
        <f>BK17-BI17</f>
        <v>-16990239.199999999</v>
      </c>
      <c r="BM17" s="96">
        <v>4</v>
      </c>
      <c r="BN17" s="213" t="s">
        <v>99</v>
      </c>
      <c r="BO17" s="252"/>
      <c r="BP17" s="384">
        <v>0</v>
      </c>
      <c r="BQ17" s="384">
        <f>+BP17</f>
        <v>0</v>
      </c>
      <c r="BR17" s="384">
        <f>BQ17-BP17</f>
        <v>0</v>
      </c>
      <c r="BS17" s="384">
        <v>0</v>
      </c>
      <c r="BT17" s="384">
        <f>BS17-BR17</f>
        <v>0</v>
      </c>
      <c r="BU17" s="282">
        <f t="shared" si="13"/>
        <v>3</v>
      </c>
      <c r="BV17" s="234" t="s">
        <v>693</v>
      </c>
      <c r="BX17" s="384">
        <f>'[19]Lead E'!D16</f>
        <v>0</v>
      </c>
      <c r="BY17" s="384">
        <f>'[19]Lead E'!E16</f>
        <v>0</v>
      </c>
      <c r="BZ17" s="384">
        <f>'[19]Lead E'!F16</f>
        <v>0</v>
      </c>
      <c r="CA17" s="384">
        <f>'[19]Lead E'!G16</f>
        <v>9659116.8499999996</v>
      </c>
      <c r="CB17" s="384">
        <f>CA17-BY17</f>
        <v>9659116.8499999996</v>
      </c>
      <c r="CC17" s="166">
        <f t="shared" si="0"/>
        <v>4</v>
      </c>
      <c r="CD17" s="247"/>
      <c r="CE17" s="247"/>
      <c r="CF17" s="252"/>
      <c r="CG17" s="252"/>
      <c r="CH17" s="252"/>
      <c r="CI17" s="252"/>
      <c r="CJ17" s="252"/>
    </row>
    <row r="18" spans="1:88" x14ac:dyDescent="0.25">
      <c r="A18" s="16">
        <f t="shared" si="1"/>
        <v>4</v>
      </c>
      <c r="B18" s="121" t="s">
        <v>524</v>
      </c>
      <c r="C18" s="121"/>
      <c r="D18" s="122">
        <f>+'[14]Lead E'!D12</f>
        <v>574163746.96999896</v>
      </c>
      <c r="E18" s="122">
        <f>+'[14]Lead E'!E12</f>
        <v>583907969.91446161</v>
      </c>
      <c r="F18" s="122">
        <f t="shared" si="2"/>
        <v>9744222.944462657</v>
      </c>
      <c r="G18" s="122">
        <f>+'[14]Lead E'!G12</f>
        <v>433447888.18948001</v>
      </c>
      <c r="H18" s="254">
        <f t="shared" si="3"/>
        <v>-150460081.72498161</v>
      </c>
      <c r="I18" s="96">
        <f t="shared" si="4"/>
        <v>4</v>
      </c>
      <c r="J18" s="246" t="s">
        <v>487</v>
      </c>
      <c r="K18" s="875">
        <v>0.95580194826410314</v>
      </c>
      <c r="L18" s="99">
        <f>+[15]Lead!D12</f>
        <v>0</v>
      </c>
      <c r="M18" s="99">
        <f>+[15]Lead!E12</f>
        <v>0</v>
      </c>
      <c r="N18" s="99">
        <f>+M18-L18</f>
        <v>0</v>
      </c>
      <c r="O18" s="99">
        <f>-(1-K18)*O17</f>
        <v>-34100.812641650948</v>
      </c>
      <c r="P18" s="99">
        <f>+O18-M18</f>
        <v>-34100.812641650948</v>
      </c>
      <c r="Q18" s="282">
        <f t="shared" si="5"/>
        <v>4</v>
      </c>
      <c r="R18" s="213" t="s">
        <v>101</v>
      </c>
      <c r="S18" s="213"/>
      <c r="T18" s="480">
        <f>'[16]Lead E'!$D$16</f>
        <v>-803628.57</v>
      </c>
      <c r="U18" s="480">
        <f>'[16]Lead E'!$E$16</f>
        <v>0</v>
      </c>
      <c r="V18" s="480">
        <f>U18-T18</f>
        <v>803628.57</v>
      </c>
      <c r="W18" s="480">
        <f>U18</f>
        <v>0</v>
      </c>
      <c r="X18" s="480">
        <f>W18-U18</f>
        <v>0</v>
      </c>
      <c r="Y18" s="282">
        <f t="shared" si="6"/>
        <v>4</v>
      </c>
      <c r="Z18" s="246"/>
      <c r="AA18" s="246"/>
      <c r="AB18" s="482"/>
      <c r="AC18" s="482"/>
      <c r="AD18" s="482"/>
      <c r="AE18" s="482"/>
      <c r="AF18" s="482"/>
      <c r="AG18" s="96">
        <v>4</v>
      </c>
      <c r="AH18" s="154"/>
      <c r="AI18" s="155"/>
      <c r="AJ18" s="239"/>
      <c r="AK18" s="239"/>
      <c r="AL18" s="239"/>
      <c r="AM18" s="239"/>
      <c r="AN18" s="271"/>
      <c r="AO18" s="135">
        <f t="shared" si="7"/>
        <v>4</v>
      </c>
      <c r="AP18" s="182" t="s">
        <v>233</v>
      </c>
      <c r="AQ18" s="182"/>
      <c r="AR18" s="191">
        <f>+'[17]Lead E'!D16</f>
        <v>11208560.349999998</v>
      </c>
      <c r="AS18" s="262">
        <f t="shared" si="8"/>
        <v>11208560.349999998</v>
      </c>
      <c r="AT18" s="262">
        <f t="shared" si="9"/>
        <v>0</v>
      </c>
      <c r="AU18" s="191">
        <f>+'[17]Lead E'!G16</f>
        <v>7052483.424195189</v>
      </c>
      <c r="AV18" s="191">
        <f t="shared" si="10"/>
        <v>-4156076.9258048087</v>
      </c>
      <c r="AW18" s="282">
        <f t="shared" si="11"/>
        <v>4</v>
      </c>
      <c r="AX18" s="396" t="s">
        <v>544</v>
      </c>
      <c r="AY18" s="285"/>
      <c r="AZ18" s="285">
        <f>'[20]Lead Electric'!$D$16</f>
        <v>18794237.945987001</v>
      </c>
      <c r="BA18" s="280">
        <f>'[20]Lead Electric'!$E$16</f>
        <v>0</v>
      </c>
      <c r="BB18" s="384">
        <f>BA18-AZ18</f>
        <v>-18794237.945987001</v>
      </c>
      <c r="BC18" s="280">
        <f>'[20]Lead Electric'!$G$16</f>
        <v>0</v>
      </c>
      <c r="BD18" s="281">
        <f>BC18-BA18</f>
        <v>0</v>
      </c>
      <c r="BE18" s="288">
        <f t="shared" si="12"/>
        <v>4</v>
      </c>
      <c r="BF18" s="213" t="s">
        <v>100</v>
      </c>
      <c r="BG18" s="213"/>
      <c r="BH18" s="480">
        <f>+[18]Lead!D16</f>
        <v>-12688074.934416663</v>
      </c>
      <c r="BI18" s="480">
        <f>+BH18</f>
        <v>-12688074.934416663</v>
      </c>
      <c r="BJ18" s="480">
        <f>BI18-BH18</f>
        <v>0</v>
      </c>
      <c r="BK18" s="480">
        <v>0</v>
      </c>
      <c r="BL18" s="480">
        <f>BK18-BI18</f>
        <v>12688074.934416663</v>
      </c>
      <c r="BM18" s="96">
        <v>5</v>
      </c>
      <c r="BN18" s="213" t="s">
        <v>100</v>
      </c>
      <c r="BO18" s="252"/>
      <c r="BP18" s="253">
        <v>0</v>
      </c>
      <c r="BQ18" s="253">
        <f>+BP18</f>
        <v>0</v>
      </c>
      <c r="BR18" s="253">
        <f>BQ18-BP18</f>
        <v>0</v>
      </c>
      <c r="BS18" s="253">
        <v>0</v>
      </c>
      <c r="BT18" s="62">
        <f>BS18-BR18</f>
        <v>0</v>
      </c>
      <c r="BU18" s="282">
        <f t="shared" si="13"/>
        <v>4</v>
      </c>
      <c r="BV18" s="235" t="s">
        <v>100</v>
      </c>
      <c r="BX18" s="253">
        <f>'[19]Lead E'!D17</f>
        <v>0</v>
      </c>
      <c r="BY18" s="253">
        <f>'[19]Lead E'!E17</f>
        <v>0</v>
      </c>
      <c r="BZ18" s="253">
        <f>'[19]Lead E'!F17</f>
        <v>0</v>
      </c>
      <c r="CA18" s="253">
        <f>'[19]Lead E'!G17</f>
        <v>-5277574.0231666667</v>
      </c>
      <c r="CB18" s="62">
        <f>CA18-BY18</f>
        <v>-5277574.0231666667</v>
      </c>
      <c r="CC18" s="166">
        <f t="shared" si="0"/>
        <v>5</v>
      </c>
      <c r="CD18" s="247"/>
      <c r="CE18" s="247"/>
      <c r="CF18" s="258"/>
      <c r="CG18" s="258"/>
      <c r="CH18" s="258"/>
      <c r="CI18" s="258"/>
      <c r="CJ18" s="258"/>
    </row>
    <row r="19" spans="1:88" x14ac:dyDescent="0.25">
      <c r="A19" s="16">
        <f t="shared" si="1"/>
        <v>5</v>
      </c>
      <c r="B19" s="121" t="s">
        <v>525</v>
      </c>
      <c r="C19" s="121"/>
      <c r="D19" s="122">
        <f>+'[14]Lead E'!D13</f>
        <v>17232385.379999902</v>
      </c>
      <c r="E19" s="122">
        <f>+'[14]Lead E'!E13</f>
        <v>11072849.4899999</v>
      </c>
      <c r="F19" s="122">
        <f t="shared" si="2"/>
        <v>-6159535.8900000025</v>
      </c>
      <c r="G19" s="122">
        <f>+'[14]Lead E'!G13</f>
        <v>7832796.3799999999</v>
      </c>
      <c r="H19" s="254">
        <f t="shared" si="3"/>
        <v>-3240053.1099998998</v>
      </c>
      <c r="I19" s="96">
        <f t="shared" si="4"/>
        <v>5</v>
      </c>
      <c r="J19" s="247" t="s">
        <v>691</v>
      </c>
      <c r="K19"/>
      <c r="L19" s="455">
        <f>SUM(L17:L18)</f>
        <v>1346484.56</v>
      </c>
      <c r="M19" s="455">
        <f>SUM(M17:M18)</f>
        <v>1433345.375</v>
      </c>
      <c r="N19" s="455">
        <f>SUM(N17:N18)</f>
        <v>86860.814999999944</v>
      </c>
      <c r="O19" s="455">
        <f>SUM(O17:O18)</f>
        <v>737444.79406107357</v>
      </c>
      <c r="P19" s="455">
        <f>SUM(P17:P18)</f>
        <v>-695900.58093892643</v>
      </c>
      <c r="Q19" s="282">
        <f t="shared" si="5"/>
        <v>5</v>
      </c>
      <c r="R19" s="214" t="s">
        <v>271</v>
      </c>
      <c r="S19" s="214"/>
      <c r="T19" s="481">
        <f>SUM(T16:T18)</f>
        <v>1615371.4300000002</v>
      </c>
      <c r="U19" s="481">
        <f>SUM(U16:U18)</f>
        <v>0</v>
      </c>
      <c r="V19" s="481">
        <f>SUM(V16:V18)</f>
        <v>-1615371.4300000002</v>
      </c>
      <c r="W19" s="481">
        <f>SUM(W16:W18)</f>
        <v>0</v>
      </c>
      <c r="X19" s="481">
        <f>SUM(X16:X18)</f>
        <v>0</v>
      </c>
      <c r="Y19" s="282">
        <f t="shared" si="6"/>
        <v>5</v>
      </c>
      <c r="Z19" s="246" t="s">
        <v>108</v>
      </c>
      <c r="AA19" s="246"/>
      <c r="AB19" s="316">
        <f>-AB17</f>
        <v>41661500.859999999</v>
      </c>
      <c r="AC19" s="316">
        <f>-AC17</f>
        <v>0</v>
      </c>
      <c r="AD19" s="316">
        <f>-AD17</f>
        <v>-41661500.859999999</v>
      </c>
      <c r="AE19" s="316">
        <f>-AE17</f>
        <v>0</v>
      </c>
      <c r="AF19" s="316">
        <f>-AF17</f>
        <v>0</v>
      </c>
      <c r="AG19" s="96">
        <v>5</v>
      </c>
      <c r="AH19" s="154" t="s">
        <v>491</v>
      </c>
      <c r="AI19" s="155"/>
      <c r="AJ19" s="66">
        <f>SUM(AJ15:AJ17)</f>
        <v>10293732.289999999</v>
      </c>
      <c r="AK19" s="66">
        <f>SUM(AK15:AK17)</f>
        <v>10307657.413333334</v>
      </c>
      <c r="AL19" s="66">
        <f>SUM(AL15:AL17)</f>
        <v>13925.12333333405</v>
      </c>
      <c r="AM19" s="66">
        <f>SUM(AM15:AM17)</f>
        <v>10307657.413333334</v>
      </c>
      <c r="AN19" s="272">
        <f>SUM(AN15:AN17)</f>
        <v>0</v>
      </c>
      <c r="AO19" s="135">
        <f t="shared" si="7"/>
        <v>5</v>
      </c>
      <c r="AP19" s="182" t="s">
        <v>234</v>
      </c>
      <c r="AQ19" s="182"/>
      <c r="AR19" s="191">
        <f>+'[17]Lead E'!D17</f>
        <v>78745060.849999994</v>
      </c>
      <c r="AS19" s="262">
        <f t="shared" si="8"/>
        <v>78745060.849999994</v>
      </c>
      <c r="AT19" s="262">
        <f t="shared" si="9"/>
        <v>0</v>
      </c>
      <c r="AU19" s="191">
        <f>+'[17]Lead E'!G17</f>
        <v>67042925.304987572</v>
      </c>
      <c r="AV19" s="191">
        <f t="shared" si="10"/>
        <v>-11702135.545012422</v>
      </c>
      <c r="AW19" s="282">
        <f t="shared" si="11"/>
        <v>5</v>
      </c>
      <c r="AX19" s="397" t="s">
        <v>545</v>
      </c>
      <c r="AY19" s="286">
        <v>0.21</v>
      </c>
      <c r="AZ19" s="290">
        <f>-AZ18*$AY19</f>
        <v>-3946789.9686572701</v>
      </c>
      <c r="BA19" s="290">
        <f>-BA18*$AY19</f>
        <v>0</v>
      </c>
      <c r="BB19" s="290">
        <f>+BA19-AZ19</f>
        <v>3946789.9686572701</v>
      </c>
      <c r="BC19" s="290">
        <f>BA19</f>
        <v>0</v>
      </c>
      <c r="BD19" s="290">
        <f>-(BD33+BD18)*$AY$18</f>
        <v>0</v>
      </c>
      <c r="BE19" s="288">
        <f t="shared" si="12"/>
        <v>5</v>
      </c>
      <c r="BF19" s="213" t="s">
        <v>101</v>
      </c>
      <c r="BG19" s="213"/>
      <c r="BH19" s="480">
        <f>+[18]Lead!D17</f>
        <v>-980694.34861275041</v>
      </c>
      <c r="BI19" s="480">
        <f>+BH19</f>
        <v>-980694.34861275041</v>
      </c>
      <c r="BJ19" s="480">
        <f>BI19-BH19</f>
        <v>0</v>
      </c>
      <c r="BK19" s="480">
        <v>0</v>
      </c>
      <c r="BL19" s="480">
        <f>BK19-BI19</f>
        <v>980694.34861275041</v>
      </c>
      <c r="BM19" s="96">
        <v>6</v>
      </c>
      <c r="BN19" s="9" t="s">
        <v>445</v>
      </c>
      <c r="BO19" s="252"/>
      <c r="BP19" s="253">
        <v>0</v>
      </c>
      <c r="BQ19" s="253">
        <f>+BP19</f>
        <v>0</v>
      </c>
      <c r="BR19" s="253">
        <f>BQ19-BP19</f>
        <v>0</v>
      </c>
      <c r="BS19" s="253">
        <v>0</v>
      </c>
      <c r="BT19" s="62">
        <f>BS19-BR19</f>
        <v>0</v>
      </c>
      <c r="BU19" s="282">
        <f t="shared" si="13"/>
        <v>5</v>
      </c>
      <c r="BV19" s="235" t="s">
        <v>593</v>
      </c>
      <c r="BX19" s="253">
        <f>'[19]Lead E'!D18</f>
        <v>0</v>
      </c>
      <c r="BY19" s="253">
        <f>'[19]Lead E'!E18</f>
        <v>0</v>
      </c>
      <c r="BZ19" s="253">
        <f>'[19]Lead E'!F18</f>
        <v>0</v>
      </c>
      <c r="CA19" s="253">
        <f>'[19]Lead E'!G18</f>
        <v>263117.82048999966</v>
      </c>
      <c r="CB19" s="62">
        <f>CA19-BY19</f>
        <v>263117.82048999966</v>
      </c>
      <c r="CC19" s="166">
        <f t="shared" si="0"/>
        <v>6</v>
      </c>
      <c r="CD19" s="247"/>
      <c r="CE19" s="247"/>
      <c r="CF19" s="259"/>
      <c r="CG19" s="259"/>
      <c r="CH19" s="259"/>
      <c r="CI19" s="259"/>
      <c r="CJ19" s="259"/>
    </row>
    <row r="20" spans="1:88" ht="15.75" thickBot="1" x14ac:dyDescent="0.3">
      <c r="A20" s="16">
        <f t="shared" si="1"/>
        <v>6</v>
      </c>
      <c r="B20" s="288" t="s">
        <v>694</v>
      </c>
      <c r="D20" s="122">
        <f>+'[14]Lead E'!D14</f>
        <v>446665.22</v>
      </c>
      <c r="E20" s="122">
        <f>+'[14]Lead E'!E14</f>
        <v>446665.22</v>
      </c>
      <c r="F20" s="122">
        <f t="shared" si="2"/>
        <v>0</v>
      </c>
      <c r="G20" s="122">
        <f>+'[14]Lead E'!G14</f>
        <v>426253.88751197996</v>
      </c>
      <c r="H20" s="254">
        <f t="shared" si="3"/>
        <v>-20411.332488020009</v>
      </c>
      <c r="I20" s="96">
        <f t="shared" si="4"/>
        <v>6</v>
      </c>
      <c r="J20" s="247"/>
      <c r="K20" s="247"/>
      <c r="Q20" s="282">
        <f t="shared" si="5"/>
        <v>6</v>
      </c>
      <c r="R20" s="214"/>
      <c r="S20" s="214"/>
      <c r="T20" s="209"/>
      <c r="U20" s="209"/>
      <c r="V20" s="128"/>
      <c r="W20" s="209"/>
      <c r="X20" s="209"/>
      <c r="Y20" s="282">
        <f t="shared" si="6"/>
        <v>6</v>
      </c>
      <c r="Z20" s="246"/>
      <c r="AA20" s="246"/>
      <c r="AB20" s="316"/>
      <c r="AC20" s="316"/>
      <c r="AD20" s="316"/>
      <c r="AE20" s="316"/>
      <c r="AF20" s="316"/>
      <c r="AG20" s="96">
        <v>12</v>
      </c>
      <c r="AH20" s="10"/>
      <c r="AI20" s="155"/>
      <c r="AJ20" s="66"/>
      <c r="AK20" s="66"/>
      <c r="AL20" s="66"/>
      <c r="AM20" s="66"/>
      <c r="AN20" s="109"/>
      <c r="AO20" s="135">
        <f t="shared" si="7"/>
        <v>6</v>
      </c>
      <c r="AP20" s="182" t="s">
        <v>235</v>
      </c>
      <c r="AQ20" s="182"/>
      <c r="AR20" s="191">
        <f>+'[17]Lead E'!D18</f>
        <v>18500000</v>
      </c>
      <c r="AS20" s="262">
        <f t="shared" si="8"/>
        <v>18500000</v>
      </c>
      <c r="AT20" s="262">
        <f t="shared" si="9"/>
        <v>0</v>
      </c>
      <c r="AU20" s="191">
        <f>+'[17]Lead E'!G18</f>
        <v>18500000</v>
      </c>
      <c r="AV20" s="191">
        <f t="shared" si="10"/>
        <v>0</v>
      </c>
      <c r="AW20" s="282">
        <f t="shared" si="11"/>
        <v>6</v>
      </c>
      <c r="AX20" s="396" t="s">
        <v>546</v>
      </c>
      <c r="AY20" s="285"/>
      <c r="AZ20" s="290">
        <f>'[20]Lead Electric'!D18</f>
        <v>-2160614.81</v>
      </c>
      <c r="BA20" s="290">
        <f>'[20]Lead Electric'!E18</f>
        <v>0</v>
      </c>
      <c r="BB20" s="290">
        <f>+BA20-AZ20</f>
        <v>2160614.81</v>
      </c>
      <c r="BC20" s="290">
        <f>BA20</f>
        <v>0</v>
      </c>
      <c r="BD20" s="290">
        <f>+BC20-BA20</f>
        <v>0</v>
      </c>
      <c r="BE20" s="288">
        <f t="shared" si="12"/>
        <v>6</v>
      </c>
      <c r="BF20" s="214" t="s">
        <v>692</v>
      </c>
      <c r="BG20" s="214"/>
      <c r="BH20" s="484">
        <f>SUM(BH17:BH19)</f>
        <v>3321469.9169705859</v>
      </c>
      <c r="BI20" s="484">
        <f>SUM(BI17:BI19)</f>
        <v>3321469.9169705859</v>
      </c>
      <c r="BJ20" s="484">
        <f>SUM(BJ17:BJ19)</f>
        <v>0</v>
      </c>
      <c r="BK20" s="484">
        <f>SUM(BK17:BK19)</f>
        <v>0</v>
      </c>
      <c r="BL20" s="484">
        <f>SUM(BL17:BL19)</f>
        <v>-3321469.9169705859</v>
      </c>
      <c r="BM20" s="96">
        <v>7</v>
      </c>
      <c r="BN20" s="214" t="s">
        <v>446</v>
      </c>
      <c r="BO20" s="252"/>
      <c r="BP20" s="399">
        <f>SUM(BP17:BP19)</f>
        <v>0</v>
      </c>
      <c r="BQ20" s="399">
        <f>SUM(BQ17:BQ19)</f>
        <v>0</v>
      </c>
      <c r="BR20" s="399">
        <f>+BP20</f>
        <v>0</v>
      </c>
      <c r="BS20" s="72">
        <f>SUM(BS17:BS19)</f>
        <v>0</v>
      </c>
      <c r="BT20" s="72">
        <f>SUM(BT17:BT19)</f>
        <v>0</v>
      </c>
      <c r="BU20" s="282">
        <f t="shared" si="13"/>
        <v>6</v>
      </c>
      <c r="BV20" s="182" t="s">
        <v>454</v>
      </c>
      <c r="BX20" s="399">
        <f>SUM(BX17:BX19)</f>
        <v>0</v>
      </c>
      <c r="BY20" s="399">
        <f>SUM(BY17:BY19)</f>
        <v>0</v>
      </c>
      <c r="BZ20" s="399">
        <f>SUM(BZ17:BZ19)</f>
        <v>0</v>
      </c>
      <c r="CA20" s="72">
        <f>SUM(CA17:CA19)</f>
        <v>4644660.6473233327</v>
      </c>
      <c r="CB20" s="72">
        <f>CA20-BY20</f>
        <v>4644660.6473233327</v>
      </c>
      <c r="CC20" s="166">
        <f t="shared" si="0"/>
        <v>7</v>
      </c>
      <c r="CD20" s="247"/>
      <c r="CE20" s="247"/>
      <c r="CF20" s="258"/>
      <c r="CG20" s="258"/>
      <c r="CH20" s="258"/>
      <c r="CI20" s="258"/>
      <c r="CJ20" s="258"/>
    </row>
    <row r="21" spans="1:88" ht="16.5" thickTop="1" thickBot="1" x14ac:dyDescent="0.3">
      <c r="A21" s="16">
        <f t="shared" si="1"/>
        <v>7</v>
      </c>
      <c r="B21" s="121" t="s">
        <v>526</v>
      </c>
      <c r="C21" s="121"/>
      <c r="D21" s="122">
        <f>+'[14]Lead E'!D15</f>
        <v>115807777.5999999</v>
      </c>
      <c r="E21" s="122">
        <f>+'[14]Lead E'!E15</f>
        <v>115807777.5999999</v>
      </c>
      <c r="F21" s="122">
        <f t="shared" si="2"/>
        <v>0</v>
      </c>
      <c r="G21" s="122">
        <f>+'[14]Lead E'!G15</f>
        <v>112334321.32462588</v>
      </c>
      <c r="H21" s="254">
        <f t="shared" si="3"/>
        <v>-3473456.2753740251</v>
      </c>
      <c r="I21" s="96">
        <f t="shared" si="4"/>
        <v>7</v>
      </c>
      <c r="J21" s="247" t="s">
        <v>146</v>
      </c>
      <c r="K21" s="260">
        <v>0.21</v>
      </c>
      <c r="L21" s="262">
        <f>-L19*$K$21</f>
        <v>-282761.75760000001</v>
      </c>
      <c r="M21" s="262">
        <f>-M19*$K$21</f>
        <v>-301002.52875</v>
      </c>
      <c r="N21" s="262">
        <f>-N19*$K$21</f>
        <v>-18240.771149999986</v>
      </c>
      <c r="O21" s="262">
        <f>-O19*$K$21</f>
        <v>-154863.40675282545</v>
      </c>
      <c r="P21" s="262">
        <f>-P19*$K$21</f>
        <v>146139.12199717454</v>
      </c>
      <c r="Q21" s="282">
        <f t="shared" si="5"/>
        <v>7</v>
      </c>
      <c r="R21" s="212" t="s">
        <v>272</v>
      </c>
      <c r="S21" s="212"/>
      <c r="Y21" s="282">
        <f t="shared" si="6"/>
        <v>7</v>
      </c>
      <c r="Z21" s="246" t="s">
        <v>154</v>
      </c>
      <c r="AA21" s="156">
        <f>+FIT_E</f>
        <v>0.21</v>
      </c>
      <c r="AB21" s="316">
        <f>+AB19*$AA21</f>
        <v>8748915.1805999987</v>
      </c>
      <c r="AC21" s="316">
        <f>+AC19*$AA21</f>
        <v>0</v>
      </c>
      <c r="AD21" s="316">
        <f>+AD19*$AA21</f>
        <v>-8748915.1805999987</v>
      </c>
      <c r="AE21" s="316">
        <f>+AE19*$AA21</f>
        <v>0</v>
      </c>
      <c r="AF21" s="316">
        <f>+AF19*$AA21</f>
        <v>0</v>
      </c>
      <c r="AG21" s="96">
        <v>13</v>
      </c>
      <c r="AH21" s="10" t="s">
        <v>401</v>
      </c>
      <c r="AI21" s="155"/>
      <c r="AJ21" s="66">
        <f>+[13]Top!$D$19</f>
        <v>25322916</v>
      </c>
      <c r="AK21" s="66">
        <f>+AJ21</f>
        <v>25322916</v>
      </c>
      <c r="AL21" s="66">
        <f>+AK21-AJ21</f>
        <v>0</v>
      </c>
      <c r="AM21" s="66">
        <f>+[13]Top!$G$19</f>
        <v>38844187.800000004</v>
      </c>
      <c r="AN21" s="109">
        <f>+AM21-AK21</f>
        <v>13521271.800000004</v>
      </c>
      <c r="AO21" s="135">
        <f t="shared" si="7"/>
        <v>7</v>
      </c>
      <c r="AP21" s="182" t="s">
        <v>236</v>
      </c>
      <c r="AQ21" s="182"/>
      <c r="AR21" s="191">
        <f>+'[17]Lead E'!D19</f>
        <v>499999.67</v>
      </c>
      <c r="AS21" s="262">
        <f t="shared" si="8"/>
        <v>499999.67</v>
      </c>
      <c r="AT21" s="262">
        <f t="shared" si="9"/>
        <v>0</v>
      </c>
      <c r="AU21" s="191">
        <f>+'[17]Lead E'!G19</f>
        <v>0</v>
      </c>
      <c r="AV21" s="191">
        <f t="shared" si="10"/>
        <v>-499999.67</v>
      </c>
      <c r="AW21" s="282">
        <f t="shared" si="11"/>
        <v>7</v>
      </c>
      <c r="AX21" s="396" t="s">
        <v>95</v>
      </c>
      <c r="AY21" s="287"/>
      <c r="AZ21" s="55">
        <f>-SUM(AZ17:AZ20)</f>
        <v>-12686833.16732973</v>
      </c>
      <c r="BA21" s="55">
        <f>-SUM(BA17:BA20)</f>
        <v>0</v>
      </c>
      <c r="BB21" s="55">
        <f>-SUM(BB17:BB20)</f>
        <v>12686833.16732973</v>
      </c>
      <c r="BC21" s="55">
        <f>-SUM(BC17:BC20)</f>
        <v>0</v>
      </c>
      <c r="BD21" s="55">
        <f>-SUM(BD17:BD20)</f>
        <v>0</v>
      </c>
      <c r="BE21" s="288">
        <f t="shared" si="12"/>
        <v>7</v>
      </c>
      <c r="BF21" s="214"/>
      <c r="BG21" s="214"/>
      <c r="BH21" s="485"/>
      <c r="BI21" s="485"/>
      <c r="BJ21" s="486"/>
      <c r="BK21" s="485"/>
      <c r="BL21" s="485"/>
      <c r="BM21" s="96">
        <v>8</v>
      </c>
      <c r="BN21"/>
      <c r="BO21"/>
      <c r="BP21" s="491"/>
      <c r="BQ21" s="491"/>
      <c r="BR21" s="491"/>
      <c r="BS21" s="491"/>
      <c r="BT21" s="491"/>
      <c r="BU21" s="282">
        <f t="shared" si="13"/>
        <v>7</v>
      </c>
      <c r="BX21" s="491"/>
      <c r="BY21" s="491"/>
      <c r="BZ21" s="491"/>
      <c r="CA21" s="491"/>
      <c r="CB21" s="491"/>
      <c r="CC21" s="166">
        <f t="shared" si="0"/>
        <v>8</v>
      </c>
      <c r="CD21" s="247"/>
      <c r="CE21" s="260"/>
      <c r="CF21" s="258"/>
      <c r="CG21" s="258"/>
      <c r="CH21" s="258"/>
      <c r="CI21" s="258"/>
      <c r="CJ21" s="258"/>
    </row>
    <row r="22" spans="1:88" ht="16.5" thickTop="1" thickBot="1" x14ac:dyDescent="0.3">
      <c r="A22" s="16">
        <f t="shared" si="1"/>
        <v>8</v>
      </c>
      <c r="B22" s="121" t="s">
        <v>527</v>
      </c>
      <c r="C22" s="121"/>
      <c r="D22" s="122">
        <f>+'[14]Lead E'!D16</f>
        <v>-155333122.24000001</v>
      </c>
      <c r="E22" s="122">
        <f>+'[14]Lead E'!E16</f>
        <v>-155333122.24000001</v>
      </c>
      <c r="F22" s="122">
        <f t="shared" si="2"/>
        <v>0</v>
      </c>
      <c r="G22" s="122">
        <f>+'[14]Lead E'!G16</f>
        <v>-5469488.0226492053</v>
      </c>
      <c r="H22" s="254">
        <f t="shared" si="3"/>
        <v>149863634.21735081</v>
      </c>
      <c r="I22" s="96">
        <f t="shared" si="4"/>
        <v>8</v>
      </c>
      <c r="J22" s="247" t="s">
        <v>121</v>
      </c>
      <c r="K22" s="247"/>
      <c r="L22" s="104">
        <f>-L19-L21</f>
        <v>-1063722.8023999999</v>
      </c>
      <c r="M22" s="104">
        <f>-M19-M21</f>
        <v>-1132342.8462499999</v>
      </c>
      <c r="N22" s="104">
        <f>-N19-N21</f>
        <v>-68620.043849999958</v>
      </c>
      <c r="O22" s="104">
        <f>-O19-O21</f>
        <v>-582581.38730824809</v>
      </c>
      <c r="P22" s="104">
        <f>-P19-P21</f>
        <v>549761.45894175186</v>
      </c>
      <c r="Q22" s="282">
        <f t="shared" si="5"/>
        <v>8</v>
      </c>
      <c r="R22" s="215" t="s">
        <v>102</v>
      </c>
      <c r="S22" s="215"/>
      <c r="T22" s="480">
        <f>'[16]Lead E'!$D$20</f>
        <v>212064</v>
      </c>
      <c r="U22" s="480">
        <f>'[16]Lead E'!$E$20</f>
        <v>0</v>
      </c>
      <c r="V22" s="480">
        <f>U22-T22</f>
        <v>-212064</v>
      </c>
      <c r="W22" s="480">
        <f>U22</f>
        <v>0</v>
      </c>
      <c r="X22" s="480">
        <f>W22-U22</f>
        <v>0</v>
      </c>
      <c r="Y22" s="282">
        <f t="shared" si="6"/>
        <v>8</v>
      </c>
      <c r="Z22" s="155"/>
      <c r="AA22" s="155"/>
      <c r="AB22" s="482"/>
      <c r="AC22" s="482"/>
      <c r="AD22" s="482"/>
      <c r="AE22" s="482"/>
      <c r="AF22" s="482"/>
      <c r="AG22" s="96">
        <v>14</v>
      </c>
      <c r="AH22" s="10"/>
      <c r="AI22" s="155"/>
      <c r="AJ22" s="239"/>
      <c r="AK22" s="239"/>
      <c r="AL22" s="239"/>
      <c r="AM22" s="239"/>
      <c r="AN22" s="239"/>
      <c r="AO22" s="135">
        <f t="shared" si="7"/>
        <v>8</v>
      </c>
      <c r="AP22" s="182" t="s">
        <v>237</v>
      </c>
      <c r="AQ22" s="182"/>
      <c r="AR22" s="191">
        <f>+'[17]Lead E'!D20</f>
        <v>59411377.369999997</v>
      </c>
      <c r="AS22" s="262">
        <f t="shared" si="8"/>
        <v>59411377.369999997</v>
      </c>
      <c r="AT22" s="262">
        <f t="shared" si="9"/>
        <v>0</v>
      </c>
      <c r="AU22" s="191">
        <f>+'[17]Lead E'!G20</f>
        <v>52182863.023084156</v>
      </c>
      <c r="AV22" s="191">
        <f t="shared" si="10"/>
        <v>-7228514.3469158411</v>
      </c>
      <c r="AW22" s="282">
        <f t="shared" si="11"/>
        <v>8</v>
      </c>
      <c r="AX22" s="396"/>
      <c r="AY22" s="287"/>
      <c r="AZ22" s="106"/>
      <c r="BA22" s="106"/>
      <c r="BB22" s="106"/>
      <c r="BC22" s="106"/>
      <c r="BD22" s="106"/>
      <c r="BE22" s="288">
        <f t="shared" si="12"/>
        <v>8</v>
      </c>
      <c r="BF22" s="212" t="s">
        <v>420</v>
      </c>
      <c r="BG22" s="212"/>
      <c r="BH22" s="487"/>
      <c r="BI22" s="487"/>
      <c r="BJ22" s="487"/>
      <c r="BK22" s="487"/>
      <c r="BL22" s="487"/>
      <c r="BM22" s="96">
        <v>9</v>
      </c>
      <c r="BN22" s="236" t="s">
        <v>451</v>
      </c>
      <c r="BO22" s="236"/>
      <c r="BP22" s="491"/>
      <c r="BQ22" s="491"/>
      <c r="BR22" s="491"/>
      <c r="BS22" s="491"/>
      <c r="BT22" s="491"/>
      <c r="BU22" s="282">
        <f t="shared" si="13"/>
        <v>8</v>
      </c>
      <c r="BV22" s="236" t="s">
        <v>451</v>
      </c>
      <c r="BX22" s="491"/>
      <c r="BY22" s="491"/>
      <c r="BZ22" s="491"/>
      <c r="CA22" s="491"/>
      <c r="CB22" s="491"/>
      <c r="CC22" s="166">
        <f t="shared" si="0"/>
        <v>9</v>
      </c>
      <c r="CD22" s="247"/>
      <c r="CE22" s="247"/>
      <c r="CF22" s="274"/>
      <c r="CG22" s="274"/>
      <c r="CH22" s="274"/>
      <c r="CI22" s="274"/>
      <c r="CJ22" s="274"/>
    </row>
    <row r="23" spans="1:88" ht="16.5" thickTop="1" thickBot="1" x14ac:dyDescent="0.3">
      <c r="A23" s="16">
        <f t="shared" si="1"/>
        <v>9</v>
      </c>
      <c r="B23" s="121" t="s">
        <v>528</v>
      </c>
      <c r="C23" s="121"/>
      <c r="D23" s="122">
        <f>+'[14]Lead E'!D17</f>
        <v>-69470811.980000019</v>
      </c>
      <c r="E23" s="122">
        <f>+'[14]Lead E'!E17</f>
        <v>-69470811.980000019</v>
      </c>
      <c r="F23" s="122">
        <f t="shared" si="2"/>
        <v>0</v>
      </c>
      <c r="G23" s="122">
        <f>+'[14]Lead E'!G17</f>
        <v>-21415123.754653782</v>
      </c>
      <c r="H23" s="254">
        <f t="shared" si="3"/>
        <v>48055688.225346237</v>
      </c>
      <c r="Q23" s="282">
        <f t="shared" si="5"/>
        <v>9</v>
      </c>
      <c r="R23" s="215"/>
      <c r="S23" s="215"/>
      <c r="T23" s="97"/>
      <c r="U23" s="97"/>
      <c r="V23" s="97"/>
      <c r="W23" s="97"/>
      <c r="X23" s="97"/>
      <c r="Y23" s="282">
        <f t="shared" si="6"/>
        <v>9</v>
      </c>
      <c r="Z23" s="246" t="s">
        <v>95</v>
      </c>
      <c r="AA23" s="246"/>
      <c r="AB23" s="483">
        <f>+AB19-AB21</f>
        <v>32912585.679400001</v>
      </c>
      <c r="AC23" s="483">
        <f>+AC19-AC21</f>
        <v>0</v>
      </c>
      <c r="AD23" s="483">
        <f>+AD19-AD21</f>
        <v>-32912585.679400001</v>
      </c>
      <c r="AE23" s="483">
        <f>+AE19-AE21</f>
        <v>0</v>
      </c>
      <c r="AF23" s="483">
        <f>+AF19-AF21</f>
        <v>0</v>
      </c>
      <c r="AG23" s="96">
        <v>15</v>
      </c>
      <c r="AH23" s="10" t="s">
        <v>107</v>
      </c>
      <c r="AI23" s="155"/>
      <c r="AJ23" s="66">
        <f>SUM(AJ19:AJ22)</f>
        <v>35616648.289999999</v>
      </c>
      <c r="AK23" s="66">
        <f>SUM(AK19:AK22)</f>
        <v>35630573.413333334</v>
      </c>
      <c r="AL23" s="66">
        <f>SUM(AL19:AL22)</f>
        <v>13925.12333333405</v>
      </c>
      <c r="AM23" s="66">
        <f>SUM(AM19:AM22)</f>
        <v>49151845.213333338</v>
      </c>
      <c r="AN23" s="66">
        <f>SUM(AN19:AN22)</f>
        <v>13521271.800000004</v>
      </c>
      <c r="AO23" s="135">
        <f t="shared" si="7"/>
        <v>9</v>
      </c>
      <c r="AP23" s="182" t="s">
        <v>238</v>
      </c>
      <c r="AQ23" s="182"/>
      <c r="AR23" s="191">
        <f>+'[17]Lead E'!D21</f>
        <v>8147050.7999999998</v>
      </c>
      <c r="AS23" s="262">
        <f t="shared" si="8"/>
        <v>8147050.7999999998</v>
      </c>
      <c r="AT23" s="262">
        <f t="shared" si="9"/>
        <v>0</v>
      </c>
      <c r="AU23" s="191">
        <f>+'[17]Lead E'!G21</f>
        <v>7424114.27447436</v>
      </c>
      <c r="AV23" s="191">
        <f t="shared" si="10"/>
        <v>-722936.52552563976</v>
      </c>
      <c r="AW23" s="282">
        <f t="shared" si="11"/>
        <v>9</v>
      </c>
      <c r="AX23" s="396"/>
      <c r="AY23" s="287"/>
      <c r="AZ23" s="106"/>
      <c r="BA23" s="106"/>
      <c r="BB23" s="106"/>
      <c r="BC23" s="106"/>
      <c r="BD23" s="106"/>
      <c r="BE23" s="288">
        <f t="shared" si="12"/>
        <v>9</v>
      </c>
      <c r="BF23" s="215" t="s">
        <v>102</v>
      </c>
      <c r="BG23" s="215"/>
      <c r="BH23" s="480">
        <f>+[18]Lead!D21</f>
        <v>5669283.3340000007</v>
      </c>
      <c r="BI23" s="480">
        <f>+BH23</f>
        <v>5669283.3340000007</v>
      </c>
      <c r="BJ23" s="480">
        <f>BI23-BH23</f>
        <v>0</v>
      </c>
      <c r="BK23" s="480">
        <v>0</v>
      </c>
      <c r="BL23" s="480">
        <f>BK23-BI23</f>
        <v>-5669283.3340000007</v>
      </c>
      <c r="BM23" s="96">
        <v>10</v>
      </c>
      <c r="BN23" s="397" t="s">
        <v>102</v>
      </c>
      <c r="BO23" s="397"/>
      <c r="BP23" s="145">
        <v>0</v>
      </c>
      <c r="BQ23" s="145">
        <v>0</v>
      </c>
      <c r="BR23" s="145">
        <f>BQ23-BP23</f>
        <v>0</v>
      </c>
      <c r="BS23" s="48">
        <v>0</v>
      </c>
      <c r="BT23" s="48">
        <f>BS23-BR23</f>
        <v>0</v>
      </c>
      <c r="BU23" s="282">
        <f t="shared" si="13"/>
        <v>9</v>
      </c>
      <c r="BV23" s="397" t="s">
        <v>594</v>
      </c>
      <c r="BX23" s="145">
        <f>'[19]Lead E'!D29</f>
        <v>0</v>
      </c>
      <c r="BY23" s="145">
        <f>'[19]Lead E'!E29</f>
        <v>0</v>
      </c>
      <c r="BZ23" s="145">
        <f>'[19]Lead E'!F29</f>
        <v>0</v>
      </c>
      <c r="CA23" s="48">
        <f>'[19]Lead E'!G24</f>
        <v>3090056.355</v>
      </c>
      <c r="CB23" s="48">
        <f>CA23-BY23</f>
        <v>3090056.355</v>
      </c>
      <c r="CC23" s="166">
        <f t="shared" si="0"/>
        <v>10</v>
      </c>
      <c r="CD23" s="289"/>
      <c r="CE23" s="289"/>
      <c r="CF23" s="289"/>
      <c r="CG23" s="289"/>
      <c r="CH23" s="289"/>
      <c r="CI23" s="289"/>
      <c r="CJ23" s="289"/>
    </row>
    <row r="24" spans="1:88" ht="15.75" thickTop="1" x14ac:dyDescent="0.25">
      <c r="A24" s="16">
        <f t="shared" si="1"/>
        <v>10</v>
      </c>
      <c r="B24" s="112" t="s">
        <v>529</v>
      </c>
      <c r="C24" s="7"/>
      <c r="D24" s="464">
        <f>SUM(D16:D23)</f>
        <v>687020771.23999882</v>
      </c>
      <c r="E24" s="464">
        <f>SUM(E16:E23)</f>
        <v>691668820.6544615</v>
      </c>
      <c r="F24" s="464">
        <f>SUM(F16:F23)</f>
        <v>4648049.4144626539</v>
      </c>
      <c r="G24" s="464">
        <f>SUM(G16:G23)</f>
        <v>708483060.41677797</v>
      </c>
      <c r="H24" s="464">
        <f>SUM(H16:H23)</f>
        <v>16814239.762316585</v>
      </c>
      <c r="Q24" s="282">
        <f t="shared" si="5"/>
        <v>10</v>
      </c>
      <c r="R24" s="112" t="s">
        <v>103</v>
      </c>
      <c r="S24" s="112"/>
      <c r="T24" s="481">
        <f>SUM(T22:T23)</f>
        <v>212064</v>
      </c>
      <c r="U24" s="481">
        <f>SUM(U22:U23)</f>
        <v>0</v>
      </c>
      <c r="V24" s="481">
        <f>SUM(V22:V23)</f>
        <v>-212064</v>
      </c>
      <c r="W24" s="481">
        <f>SUM(W22:W23)</f>
        <v>0</v>
      </c>
      <c r="X24" s="481">
        <f>SUM(X22:X23)</f>
        <v>0</v>
      </c>
      <c r="Y24" s="282"/>
      <c r="Z24" s="289"/>
      <c r="AA24" s="289"/>
      <c r="AB24" s="289"/>
      <c r="AC24" s="289"/>
      <c r="AD24" s="289"/>
      <c r="AE24" s="289"/>
      <c r="AF24" s="289"/>
      <c r="AG24" s="96">
        <v>16</v>
      </c>
      <c r="AH24" s="10"/>
      <c r="AI24" s="155"/>
      <c r="AJ24" s="66"/>
      <c r="AK24" s="66"/>
      <c r="AL24" s="66"/>
      <c r="AM24" s="66"/>
      <c r="AN24" s="109"/>
      <c r="AO24" s="135">
        <f t="shared" si="7"/>
        <v>10</v>
      </c>
      <c r="AP24" s="182" t="s">
        <v>239</v>
      </c>
      <c r="AQ24" s="182"/>
      <c r="AR24" s="191">
        <f>+'[17]Lead E'!D22</f>
        <v>-78555.81</v>
      </c>
      <c r="AS24" s="262">
        <f t="shared" si="8"/>
        <v>-78555.81</v>
      </c>
      <c r="AT24" s="262">
        <f t="shared" si="9"/>
        <v>0</v>
      </c>
      <c r="AU24" s="191">
        <f>+'[17]Lead E'!G22</f>
        <v>-78558.319307994898</v>
      </c>
      <c r="AV24" s="191">
        <f t="shared" si="10"/>
        <v>-2.5093079949001549</v>
      </c>
      <c r="AW24" s="282">
        <f t="shared" si="11"/>
        <v>10</v>
      </c>
      <c r="AX24" s="395" t="s">
        <v>74</v>
      </c>
      <c r="AY24" s="287"/>
      <c r="AZ24" s="106"/>
      <c r="BA24" s="106"/>
      <c r="BB24" s="106"/>
      <c r="BC24" s="106"/>
      <c r="BD24" s="106"/>
      <c r="BE24" s="288">
        <f t="shared" si="12"/>
        <v>10</v>
      </c>
      <c r="BF24" s="215"/>
      <c r="BG24" s="215"/>
      <c r="BH24" s="488"/>
      <c r="BI24" s="488"/>
      <c r="BJ24" s="488"/>
      <c r="BK24" s="488"/>
      <c r="BL24" s="488"/>
      <c r="BM24" s="96">
        <v>11</v>
      </c>
      <c r="BN24" s="397" t="s">
        <v>453</v>
      </c>
      <c r="BO24" s="397"/>
      <c r="BP24" s="239">
        <f t="shared" ref="BP24:BQ24" si="14">SUM(BP23)</f>
        <v>0</v>
      </c>
      <c r="BQ24" s="239">
        <f t="shared" si="14"/>
        <v>0</v>
      </c>
      <c r="BR24" s="239">
        <f>SUM(BR23)</f>
        <v>0</v>
      </c>
      <c r="BS24" s="239">
        <f>SUM(BS23)</f>
        <v>0</v>
      </c>
      <c r="BT24" s="239">
        <f>SUM(BT23)</f>
        <v>0</v>
      </c>
      <c r="BU24" s="282">
        <f t="shared" si="13"/>
        <v>10</v>
      </c>
      <c r="BV24" s="397" t="s">
        <v>453</v>
      </c>
      <c r="BX24" s="239">
        <f>+BX23</f>
        <v>0</v>
      </c>
      <c r="BY24" s="239">
        <f>+BY23</f>
        <v>0</v>
      </c>
      <c r="BZ24" s="239">
        <f>+BZ23</f>
        <v>0</v>
      </c>
      <c r="CA24" s="239">
        <f>+CA23</f>
        <v>3090056.355</v>
      </c>
      <c r="CB24" s="239">
        <f>+CB23</f>
        <v>3090056.355</v>
      </c>
      <c r="CC24" s="166">
        <f t="shared" si="0"/>
        <v>11</v>
      </c>
      <c r="CD24" s="289"/>
      <c r="CE24" s="289"/>
      <c r="CF24" s="289"/>
      <c r="CG24" s="289"/>
      <c r="CH24" s="289"/>
      <c r="CI24" s="289"/>
      <c r="CJ24" s="289"/>
    </row>
    <row r="25" spans="1:88" ht="15.75" x14ac:dyDescent="0.25">
      <c r="A25" s="16">
        <f t="shared" si="1"/>
        <v>11</v>
      </c>
      <c r="B25" s="7" t="s">
        <v>341</v>
      </c>
      <c r="C25" s="7"/>
      <c r="D25" s="165"/>
      <c r="E25" s="165"/>
      <c r="F25" s="165"/>
      <c r="G25" s="165"/>
      <c r="H25" s="165"/>
      <c r="Q25" s="282">
        <f t="shared" si="5"/>
        <v>11</v>
      </c>
      <c r="R25" s="112"/>
      <c r="S25" s="112"/>
      <c r="Y25" s="282"/>
      <c r="Z25" s="289"/>
      <c r="AA25" s="289"/>
      <c r="AB25" s="289"/>
      <c r="AC25" s="289"/>
      <c r="AD25" s="289"/>
      <c r="AE25" s="289"/>
      <c r="AF25" s="289"/>
      <c r="AG25" s="96">
        <v>19</v>
      </c>
      <c r="AH25" s="10" t="s">
        <v>128</v>
      </c>
      <c r="AI25" s="156">
        <f>+FIT_E</f>
        <v>0.21</v>
      </c>
      <c r="AJ25" s="66">
        <f>-AJ23*$AI25</f>
        <v>-7479496.1409</v>
      </c>
      <c r="AK25" s="66">
        <f>-AK23*$AI25</f>
        <v>-7482420.4167999998</v>
      </c>
      <c r="AL25" s="66">
        <f>-AL23*$AI25</f>
        <v>-2924.2759000001502</v>
      </c>
      <c r="AM25" s="66">
        <f>-AM23*$AI25</f>
        <v>-10321887.494800001</v>
      </c>
      <c r="AN25" s="66">
        <f>-AN23*$AI25</f>
        <v>-2839467.0780000007</v>
      </c>
      <c r="AO25" s="135">
        <f t="shared" si="7"/>
        <v>11</v>
      </c>
      <c r="AP25" s="182" t="s">
        <v>240</v>
      </c>
      <c r="AQ25" s="182"/>
      <c r="AR25" s="191">
        <f>+'[17]Lead E'!D23</f>
        <v>-308479.03999999998</v>
      </c>
      <c r="AS25" s="262">
        <f t="shared" si="8"/>
        <v>-308479.03999999998</v>
      </c>
      <c r="AT25" s="262">
        <f t="shared" si="9"/>
        <v>0</v>
      </c>
      <c r="AU25" s="191">
        <f>+'[17]Lead E'!G23</f>
        <v>-308483.94047545741</v>
      </c>
      <c r="AV25" s="191">
        <f t="shared" si="10"/>
        <v>-4.9004754574270919</v>
      </c>
      <c r="AW25" s="282">
        <f t="shared" si="11"/>
        <v>11</v>
      </c>
      <c r="AX25" s="852" t="s">
        <v>950</v>
      </c>
      <c r="AY25" s="857"/>
      <c r="AZ25" s="858">
        <f>-'[7]Table 7C'!F10</f>
        <v>111946494.45999984</v>
      </c>
      <c r="BA25" s="859">
        <v>0</v>
      </c>
      <c r="BB25" s="860">
        <f>BA25-AZ25</f>
        <v>-111946494.45999984</v>
      </c>
      <c r="BC25" s="859">
        <v>0</v>
      </c>
      <c r="BD25" s="861">
        <f>BC25-BA25</f>
        <v>0</v>
      </c>
      <c r="BE25" s="288">
        <f t="shared" si="12"/>
        <v>11</v>
      </c>
      <c r="BF25" s="112" t="s">
        <v>103</v>
      </c>
      <c r="BG25" s="112"/>
      <c r="BH25" s="480">
        <f>SUM(BH23:BH24)</f>
        <v>5669283.3340000007</v>
      </c>
      <c r="BI25" s="480">
        <f>SUM(BI23:BI24)</f>
        <v>5669283.3340000007</v>
      </c>
      <c r="BJ25" s="480">
        <f>SUM(BJ23:BJ24)</f>
        <v>0</v>
      </c>
      <c r="BK25" s="480">
        <f>SUM(BK23:BK24)</f>
        <v>0</v>
      </c>
      <c r="BL25" s="480">
        <f>SUM(BL23:BL24)</f>
        <v>-5669283.3340000007</v>
      </c>
      <c r="BM25" s="96">
        <v>12</v>
      </c>
      <c r="BN25" s="242"/>
      <c r="BO25" s="242"/>
      <c r="BP25" s="492"/>
      <c r="BQ25" s="492"/>
      <c r="BR25" s="473"/>
      <c r="BS25" s="492"/>
      <c r="BT25" s="473"/>
      <c r="BU25" s="282">
        <f t="shared" si="13"/>
        <v>11</v>
      </c>
      <c r="BX25" s="492"/>
      <c r="BY25" s="492"/>
      <c r="BZ25" s="473"/>
      <c r="CA25" s="492"/>
      <c r="CB25" s="473"/>
      <c r="CC25" s="166">
        <f t="shared" si="0"/>
        <v>12</v>
      </c>
      <c r="CD25" s="289"/>
      <c r="CE25" s="289"/>
      <c r="CF25" s="289"/>
      <c r="CG25" s="289"/>
      <c r="CH25" s="289"/>
      <c r="CI25" s="289"/>
      <c r="CJ25" s="289"/>
    </row>
    <row r="26" spans="1:88" x14ac:dyDescent="0.25">
      <c r="A26" s="16">
        <f t="shared" si="1"/>
        <v>12</v>
      </c>
      <c r="B26" s="120" t="s">
        <v>530</v>
      </c>
      <c r="C26" s="7"/>
      <c r="D26" s="165"/>
      <c r="E26" s="165"/>
      <c r="F26" s="165"/>
      <c r="G26" s="165"/>
      <c r="H26" s="165"/>
      <c r="Q26" s="282">
        <f t="shared" si="5"/>
        <v>12</v>
      </c>
      <c r="R26" s="155" t="s">
        <v>128</v>
      </c>
      <c r="S26" s="78">
        <v>0.21</v>
      </c>
      <c r="T26" s="480">
        <f>'[16]Lead E'!$D$24</f>
        <v>-44533.439999999995</v>
      </c>
      <c r="U26" s="480">
        <f>'[16]Lead E'!$E$24</f>
        <v>0</v>
      </c>
      <c r="V26" s="480">
        <f>U26-T26</f>
        <v>44533.439999999995</v>
      </c>
      <c r="W26" s="480">
        <f>U26</f>
        <v>0</v>
      </c>
      <c r="X26" s="480">
        <f>W26-U26</f>
        <v>0</v>
      </c>
      <c r="Y26" s="388"/>
      <c r="Z26" s="389"/>
      <c r="AA26" s="389"/>
      <c r="AB26" s="389"/>
      <c r="AC26" s="389"/>
      <c r="AD26" s="389"/>
      <c r="AE26" s="389"/>
      <c r="AF26" s="389"/>
      <c r="AG26" s="96">
        <v>20</v>
      </c>
      <c r="AH26" s="10"/>
      <c r="AI26" s="155"/>
      <c r="AJ26" s="269"/>
      <c r="AK26" s="269"/>
      <c r="AL26" s="269"/>
      <c r="AM26" s="269"/>
      <c r="AN26" s="269"/>
      <c r="AO26" s="135">
        <f t="shared" si="7"/>
        <v>12</v>
      </c>
      <c r="AP26" s="182" t="s">
        <v>241</v>
      </c>
      <c r="AQ26" s="182"/>
      <c r="AR26" s="191">
        <f>+'[17]Lead E'!D24</f>
        <v>1815699.5799999998</v>
      </c>
      <c r="AS26" s="262">
        <f t="shared" si="8"/>
        <v>1815699.5799999998</v>
      </c>
      <c r="AT26" s="262">
        <f t="shared" si="9"/>
        <v>0</v>
      </c>
      <c r="AU26" s="191">
        <f>+'[17]Lead E'!G24</f>
        <v>-1160240.5572003927</v>
      </c>
      <c r="AV26" s="191">
        <f t="shared" si="10"/>
        <v>-2975940.1372003928</v>
      </c>
      <c r="AW26" s="282">
        <f t="shared" si="11"/>
        <v>12</v>
      </c>
      <c r="AX26" s="852" t="s">
        <v>951</v>
      </c>
      <c r="AY26" s="857"/>
      <c r="AZ26" s="862">
        <v>0</v>
      </c>
      <c r="BA26" s="855">
        <f>+'[7]Table 7C'!F13</f>
        <v>98349714</v>
      </c>
      <c r="BB26" s="856">
        <f>BA26-AZ26</f>
        <v>98349714</v>
      </c>
      <c r="BC26" s="855">
        <f>+BA26</f>
        <v>98349714</v>
      </c>
      <c r="BD26" s="861">
        <f>BC26-BA26</f>
        <v>0</v>
      </c>
      <c r="BE26" s="288">
        <f t="shared" si="12"/>
        <v>12</v>
      </c>
      <c r="BF26" s="112"/>
      <c r="BG26" s="112"/>
      <c r="BH26" s="489"/>
      <c r="BI26" s="489"/>
      <c r="BJ26" s="490"/>
      <c r="BK26" s="489"/>
      <c r="BL26" s="489"/>
      <c r="BM26" s="96">
        <v>13</v>
      </c>
      <c r="BN26" s="7" t="s">
        <v>103</v>
      </c>
      <c r="BO26" s="7"/>
      <c r="BP26" s="109">
        <f t="shared" ref="BP26:BS26" si="15">BP24</f>
        <v>0</v>
      </c>
      <c r="BQ26" s="109">
        <f t="shared" si="15"/>
        <v>0</v>
      </c>
      <c r="BR26" s="109">
        <f t="shared" si="15"/>
        <v>0</v>
      </c>
      <c r="BS26" s="109">
        <f t="shared" si="15"/>
        <v>0</v>
      </c>
      <c r="BT26" s="109">
        <f>BT24</f>
        <v>0</v>
      </c>
      <c r="BU26" s="282">
        <f t="shared" si="13"/>
        <v>12</v>
      </c>
      <c r="BV26" s="7" t="s">
        <v>103</v>
      </c>
      <c r="BX26" s="109">
        <f t="shared" ref="BX26:CA26" si="16">+BX24</f>
        <v>0</v>
      </c>
      <c r="BY26" s="109">
        <f t="shared" si="16"/>
        <v>0</v>
      </c>
      <c r="BZ26" s="109">
        <f t="shared" si="16"/>
        <v>0</v>
      </c>
      <c r="CA26" s="109">
        <f t="shared" si="16"/>
        <v>3090056.355</v>
      </c>
      <c r="CB26" s="109">
        <f>+CB24</f>
        <v>3090056.355</v>
      </c>
      <c r="CC26" s="166">
        <f t="shared" si="0"/>
        <v>13</v>
      </c>
      <c r="CD26" s="289"/>
      <c r="CE26" s="289"/>
      <c r="CF26" s="289"/>
      <c r="CG26" s="289"/>
      <c r="CH26" s="289"/>
      <c r="CI26" s="289"/>
      <c r="CJ26" s="289"/>
    </row>
    <row r="27" spans="1:88" ht="15.75" thickBot="1" x14ac:dyDescent="0.3">
      <c r="A27" s="16">
        <f t="shared" si="1"/>
        <v>13</v>
      </c>
      <c r="B27" s="108" t="s">
        <v>531</v>
      </c>
      <c r="C27" s="7"/>
      <c r="D27" s="122">
        <f>+'[14]Lead E'!D21</f>
        <v>127167992.89</v>
      </c>
      <c r="E27" s="122">
        <f>+'[14]Lead E'!E21</f>
        <v>127167992.89</v>
      </c>
      <c r="F27" s="122">
        <f>+E27-D27</f>
        <v>0</v>
      </c>
      <c r="G27" s="122">
        <f>+'[14]Lead E'!G21</f>
        <v>108520132.47835678</v>
      </c>
      <c r="H27" s="254">
        <f>+G27-E27</f>
        <v>-18647860.411643222</v>
      </c>
      <c r="I27" s="282"/>
      <c r="Q27" s="282">
        <f t="shared" si="5"/>
        <v>13</v>
      </c>
      <c r="R27" s="246" t="s">
        <v>95</v>
      </c>
      <c r="S27" s="246"/>
      <c r="T27" s="478">
        <f>-T24-T26</f>
        <v>-167530.56</v>
      </c>
      <c r="U27" s="478">
        <f>-U24-U26</f>
        <v>0</v>
      </c>
      <c r="V27" s="478">
        <f>-V24-V26</f>
        <v>167530.56</v>
      </c>
      <c r="W27" s="478">
        <f>-W24-W26</f>
        <v>0</v>
      </c>
      <c r="X27" s="478">
        <f>-X24-X26</f>
        <v>0</v>
      </c>
      <c r="Y27" s="282"/>
      <c r="Z27" s="289"/>
      <c r="AA27" s="289"/>
      <c r="AB27" s="289"/>
      <c r="AC27" s="289"/>
      <c r="AD27" s="289"/>
      <c r="AE27" s="289"/>
      <c r="AF27" s="289"/>
      <c r="AG27" s="96">
        <v>21</v>
      </c>
      <c r="AH27" s="10" t="s">
        <v>95</v>
      </c>
      <c r="AI27" s="155"/>
      <c r="AJ27" s="273">
        <f>-SUM(AJ23:AJ26)</f>
        <v>-28137152.149099998</v>
      </c>
      <c r="AK27" s="273">
        <f>-SUM(AK23:AK26)</f>
        <v>-28148152.996533334</v>
      </c>
      <c r="AL27" s="273">
        <f>-SUM(AL23:AL26)</f>
        <v>-11000.8474333339</v>
      </c>
      <c r="AM27" s="273">
        <f>-SUM(AM23:AM26)</f>
        <v>-38829957.718533337</v>
      </c>
      <c r="AN27" s="273">
        <f>-SUM(AN23:AN26)</f>
        <v>-10681804.722000003</v>
      </c>
      <c r="AO27" s="135">
        <f t="shared" si="7"/>
        <v>13</v>
      </c>
      <c r="AP27" s="182" t="s">
        <v>242</v>
      </c>
      <c r="AQ27" s="182"/>
      <c r="AR27" s="191">
        <f>+'[17]Lead E'!D25</f>
        <v>56004.06</v>
      </c>
      <c r="AS27" s="262">
        <f t="shared" si="8"/>
        <v>56004.06</v>
      </c>
      <c r="AT27" s="262">
        <f t="shared" si="9"/>
        <v>0</v>
      </c>
      <c r="AU27" s="191">
        <f>+'[17]Lead E'!G25</f>
        <v>56004.31279906194</v>
      </c>
      <c r="AV27" s="191">
        <f t="shared" si="10"/>
        <v>0.25279906194191426</v>
      </c>
      <c r="AW27" s="282">
        <f t="shared" si="11"/>
        <v>13</v>
      </c>
      <c r="AX27" s="852" t="s">
        <v>952</v>
      </c>
      <c r="AY27" s="857"/>
      <c r="AZ27" s="863">
        <v>0</v>
      </c>
      <c r="BA27" s="864">
        <f>+'[7]Table 7C'!F15</f>
        <v>-98349714</v>
      </c>
      <c r="BB27" s="863">
        <f>BA27-AZ27</f>
        <v>-98349714</v>
      </c>
      <c r="BC27" s="864">
        <f>+BA27</f>
        <v>-98349714</v>
      </c>
      <c r="BD27" s="861">
        <f>BC27-BA27</f>
        <v>0</v>
      </c>
      <c r="BE27" s="288">
        <f t="shared" si="12"/>
        <v>13</v>
      </c>
      <c r="BF27" s="155" t="s">
        <v>249</v>
      </c>
      <c r="BG27" s="216">
        <f>+FIT_E</f>
        <v>0.21</v>
      </c>
      <c r="BH27" s="480">
        <f>+$BG$27*BH25</f>
        <v>1190549.5001400001</v>
      </c>
      <c r="BI27" s="480">
        <f>+$BG$27*BI25</f>
        <v>1190549.5001400001</v>
      </c>
      <c r="BJ27" s="480">
        <f>+$BG$27*BJ25</f>
        <v>0</v>
      </c>
      <c r="BK27" s="480">
        <f>+$BG$27*BK25</f>
        <v>0</v>
      </c>
      <c r="BL27" s="480">
        <f>+$BG$27*BL25</f>
        <v>-1190549.5001400001</v>
      </c>
      <c r="BM27" s="96">
        <v>14</v>
      </c>
      <c r="BN27" s="7"/>
      <c r="BO27" s="7"/>
      <c r="BP27" s="109"/>
      <c r="BQ27" s="109"/>
      <c r="BR27" s="109"/>
      <c r="BS27" s="109"/>
      <c r="BT27" s="109"/>
      <c r="BU27" s="282">
        <f t="shared" si="13"/>
        <v>13</v>
      </c>
      <c r="BV27" s="7"/>
      <c r="BX27" s="109"/>
      <c r="BY27" s="109"/>
      <c r="BZ27" s="109"/>
      <c r="CA27" s="109"/>
      <c r="CB27" s="109"/>
      <c r="CC27" s="166">
        <f t="shared" si="0"/>
        <v>14</v>
      </c>
      <c r="CD27" s="289"/>
      <c r="CE27" s="289"/>
      <c r="CF27" s="289"/>
      <c r="CG27" s="289"/>
      <c r="CH27" s="289"/>
      <c r="CI27" s="289"/>
      <c r="CJ27" s="289"/>
    </row>
    <row r="28" spans="1:88" ht="16.5" thickTop="1" thickBot="1" x14ac:dyDescent="0.3">
      <c r="A28" s="16">
        <f t="shared" si="1"/>
        <v>14</v>
      </c>
      <c r="B28" s="112" t="s">
        <v>532</v>
      </c>
      <c r="C28" s="7"/>
      <c r="D28" s="122">
        <f>+'[14]Lead E'!D22</f>
        <v>876514.03</v>
      </c>
      <c r="E28" s="122">
        <f>+'[14]Lead E'!E22</f>
        <v>876514.03</v>
      </c>
      <c r="F28" s="122">
        <f>+E28-D28</f>
        <v>0</v>
      </c>
      <c r="G28" s="122">
        <f>+'[14]Lead E'!G22</f>
        <v>876514.03</v>
      </c>
      <c r="H28" s="254">
        <f>+G28-E28</f>
        <v>0</v>
      </c>
      <c r="I28" s="282"/>
      <c r="Y28" s="289"/>
      <c r="Z28" s="289"/>
      <c r="AA28" s="289"/>
      <c r="AB28" s="289"/>
      <c r="AC28" s="289"/>
      <c r="AD28" s="289"/>
      <c r="AE28" s="289"/>
      <c r="AF28" s="289"/>
      <c r="AG28" s="282"/>
      <c r="AO28" s="135">
        <f t="shared" si="7"/>
        <v>14</v>
      </c>
      <c r="AP28" s="182" t="s">
        <v>243</v>
      </c>
      <c r="AQ28" s="182"/>
      <c r="AR28" s="191">
        <f>+'[17]Lead E'!D26</f>
        <v>193459.84</v>
      </c>
      <c r="AS28" s="262">
        <f t="shared" si="8"/>
        <v>193459.84</v>
      </c>
      <c r="AT28" s="262">
        <f t="shared" si="9"/>
        <v>0</v>
      </c>
      <c r="AU28" s="191">
        <f>+'[17]Lead E'!G26</f>
        <v>193459.2403868956</v>
      </c>
      <c r="AV28" s="191">
        <f t="shared" si="10"/>
        <v>-0.59961310439393856</v>
      </c>
      <c r="AW28" s="282">
        <f t="shared" si="11"/>
        <v>14</v>
      </c>
      <c r="AX28" s="852" t="s">
        <v>396</v>
      </c>
      <c r="AY28" s="857"/>
      <c r="AZ28" s="862">
        <f>+SUM(AZ25:AZ27)</f>
        <v>111946494.45999984</v>
      </c>
      <c r="BA28" s="862">
        <f>+SUM(BA25:BA27)</f>
        <v>0</v>
      </c>
      <c r="BB28" s="862">
        <f>+SUM(BB25:BB27)</f>
        <v>-111946494.45999984</v>
      </c>
      <c r="BC28" s="862">
        <f>+SUM(BC25:BC27)</f>
        <v>0</v>
      </c>
      <c r="BD28" s="862">
        <f>+SUM(BD25:BD27)</f>
        <v>0</v>
      </c>
      <c r="BE28" s="288">
        <f t="shared" si="12"/>
        <v>14</v>
      </c>
      <c r="BF28" s="246" t="s">
        <v>95</v>
      </c>
      <c r="BG28" s="246"/>
      <c r="BH28" s="478">
        <f>-BH25--BH27</f>
        <v>-4478733.8338600006</v>
      </c>
      <c r="BI28" s="478">
        <f>-BI25--BI27</f>
        <v>-4478733.8338600006</v>
      </c>
      <c r="BJ28" s="478">
        <f>-BJ25--BJ27</f>
        <v>0</v>
      </c>
      <c r="BK28" s="478">
        <f>-BK25--BK27</f>
        <v>0</v>
      </c>
      <c r="BL28" s="478">
        <f>-BL25--BL27</f>
        <v>4478733.8338600006</v>
      </c>
      <c r="BM28" s="96">
        <v>15</v>
      </c>
      <c r="BN28" s="7" t="s">
        <v>128</v>
      </c>
      <c r="BO28" s="113">
        <f>FIT_E</f>
        <v>0.21</v>
      </c>
      <c r="BP28" s="250">
        <f t="shared" ref="BP28:BS28" si="17">-BP26*$BO$28</f>
        <v>0</v>
      </c>
      <c r="BQ28" s="250">
        <f t="shared" si="17"/>
        <v>0</v>
      </c>
      <c r="BR28" s="250">
        <f t="shared" si="17"/>
        <v>0</v>
      </c>
      <c r="BS28" s="250">
        <f t="shared" si="17"/>
        <v>0</v>
      </c>
      <c r="BT28" s="250">
        <f>-BT26*$BO$28</f>
        <v>0</v>
      </c>
      <c r="BU28" s="282">
        <f t="shared" si="13"/>
        <v>14</v>
      </c>
      <c r="BV28" s="7" t="s">
        <v>128</v>
      </c>
      <c r="BW28" s="216">
        <f>+FIT_E</f>
        <v>0.21</v>
      </c>
      <c r="BX28" s="250">
        <f t="shared" ref="BX28:CA28" si="18">-BX26*$BW$28</f>
        <v>0</v>
      </c>
      <c r="BY28" s="250">
        <f t="shared" si="18"/>
        <v>0</v>
      </c>
      <c r="BZ28" s="250">
        <f t="shared" si="18"/>
        <v>0</v>
      </c>
      <c r="CA28" s="250">
        <f t="shared" si="18"/>
        <v>-648911.83455000003</v>
      </c>
      <c r="CB28" s="250">
        <f>-CB26*$BW$28</f>
        <v>-648911.83455000003</v>
      </c>
      <c r="CC28" s="166">
        <f t="shared" si="0"/>
        <v>15</v>
      </c>
      <c r="CD28" s="289"/>
      <c r="CE28" s="289"/>
      <c r="CF28" s="289"/>
      <c r="CG28" s="289"/>
      <c r="CH28" s="289"/>
      <c r="CI28" s="289"/>
      <c r="CJ28" s="289"/>
    </row>
    <row r="29" spans="1:88" ht="16.5" thickTop="1" thickBot="1" x14ac:dyDescent="0.3">
      <c r="A29" s="16">
        <f t="shared" si="1"/>
        <v>15</v>
      </c>
      <c r="B29" s="112" t="s">
        <v>533</v>
      </c>
      <c r="C29" s="7"/>
      <c r="D29" s="122">
        <f>+'[14]Lead E'!D23</f>
        <v>-7201724.9500000002</v>
      </c>
      <c r="E29" s="122">
        <f>+'[14]Lead E'!E23</f>
        <v>-7201724.9500000002</v>
      </c>
      <c r="F29" s="122">
        <f>+E29-D29</f>
        <v>0</v>
      </c>
      <c r="G29" s="122">
        <f>+'[14]Lead E'!G23</f>
        <v>-8666881.7085096519</v>
      </c>
      <c r="H29" s="254">
        <f>+G29-E29</f>
        <v>-1465156.7585096518</v>
      </c>
      <c r="I29" s="282"/>
      <c r="AG29" s="282"/>
      <c r="AO29" s="135">
        <f t="shared" si="7"/>
        <v>15</v>
      </c>
      <c r="AP29" s="182" t="s">
        <v>244</v>
      </c>
      <c r="AQ29" s="182"/>
      <c r="AR29" s="191">
        <f>+'[17]Lead E'!D27</f>
        <v>-530083.09</v>
      </c>
      <c r="AS29" s="262">
        <f t="shared" si="8"/>
        <v>-530083.09</v>
      </c>
      <c r="AT29" s="262">
        <f t="shared" si="9"/>
        <v>0</v>
      </c>
      <c r="AU29" s="191">
        <f>+'[17]Lead E'!G27</f>
        <v>-530083.1594999989</v>
      </c>
      <c r="AV29" s="191">
        <f t="shared" si="10"/>
        <v>-6.9499998935498297E-2</v>
      </c>
      <c r="AW29" s="282">
        <f t="shared" si="11"/>
        <v>15</v>
      </c>
      <c r="AX29" s="396"/>
      <c r="AY29" s="287"/>
      <c r="AZ29" s="106"/>
      <c r="BA29" s="106"/>
      <c r="BB29" s="106"/>
      <c r="BC29" s="106"/>
      <c r="BD29" s="106"/>
      <c r="BM29" s="96">
        <v>16</v>
      </c>
      <c r="BN29" s="7" t="s">
        <v>95</v>
      </c>
      <c r="BO29" s="7"/>
      <c r="BP29" s="55">
        <f t="shared" ref="BP29:BS29" si="19">-BP26-BP28</f>
        <v>0</v>
      </c>
      <c r="BQ29" s="55">
        <f t="shared" si="19"/>
        <v>0</v>
      </c>
      <c r="BR29" s="55">
        <f t="shared" si="19"/>
        <v>0</v>
      </c>
      <c r="BS29" s="55">
        <f t="shared" si="19"/>
        <v>0</v>
      </c>
      <c r="BT29" s="55">
        <f>-BT26-BT28</f>
        <v>0</v>
      </c>
      <c r="BU29" s="282">
        <f t="shared" si="13"/>
        <v>15</v>
      </c>
      <c r="BV29" s="7" t="s">
        <v>95</v>
      </c>
      <c r="BX29" s="55">
        <f t="shared" ref="BX29:CA29" si="20">-BX26-BX28</f>
        <v>0</v>
      </c>
      <c r="BY29" s="55">
        <f t="shared" si="20"/>
        <v>0</v>
      </c>
      <c r="BZ29" s="55">
        <f t="shared" si="20"/>
        <v>0</v>
      </c>
      <c r="CA29" s="55">
        <f t="shared" si="20"/>
        <v>-2441144.5204499997</v>
      </c>
      <c r="CB29" s="55">
        <f>-CB26-CB28</f>
        <v>-2441144.5204499997</v>
      </c>
      <c r="CC29" s="166">
        <f t="shared" si="0"/>
        <v>16</v>
      </c>
      <c r="CD29" s="289"/>
      <c r="CE29" s="289"/>
      <c r="CF29" s="289"/>
      <c r="CG29" s="289"/>
      <c r="CH29" s="289"/>
      <c r="CI29" s="289"/>
      <c r="CJ29" s="289"/>
    </row>
    <row r="30" spans="1:88" ht="15.75" thickTop="1" x14ac:dyDescent="0.25">
      <c r="A30" s="16">
        <f t="shared" si="1"/>
        <v>16</v>
      </c>
      <c r="B30" s="112" t="s">
        <v>534</v>
      </c>
      <c r="C30" s="7"/>
      <c r="D30" s="122">
        <f>+'[14]Lead E'!D24</f>
        <v>0</v>
      </c>
      <c r="E30" s="122">
        <f>+'[14]Lead E'!E24</f>
        <v>4958988.8</v>
      </c>
      <c r="F30" s="122">
        <f>+E30-D30</f>
        <v>4958988.8</v>
      </c>
      <c r="G30" s="122">
        <f>+'[14]Lead E'!G24</f>
        <v>4733258.1026060628</v>
      </c>
      <c r="H30" s="254">
        <f>+G30-E30</f>
        <v>-225730.69739393704</v>
      </c>
      <c r="I30" s="282"/>
      <c r="AG30" s="282"/>
      <c r="AO30" s="135">
        <f t="shared" si="7"/>
        <v>16</v>
      </c>
      <c r="AP30" s="182" t="s">
        <v>359</v>
      </c>
      <c r="AQ30" s="182"/>
      <c r="AR30" s="457">
        <f>+'[17]Lead E'!D28</f>
        <v>-5453015.8817438316</v>
      </c>
      <c r="AS30" s="262">
        <f t="shared" si="8"/>
        <v>-5453015.8817438316</v>
      </c>
      <c r="AT30" s="262">
        <f t="shared" si="9"/>
        <v>0</v>
      </c>
      <c r="AU30" s="191">
        <f>+'[17]Lead E'!G28</f>
        <v>-1559296.9123478986</v>
      </c>
      <c r="AV30" s="191">
        <f t="shared" si="10"/>
        <v>3893718.9693959327</v>
      </c>
      <c r="AW30" s="282">
        <f t="shared" si="11"/>
        <v>16</v>
      </c>
      <c r="AX30" s="283" t="s">
        <v>547</v>
      </c>
      <c r="BM30" s="99"/>
      <c r="BU30" s="282"/>
      <c r="CC30" s="166">
        <f t="shared" si="0"/>
        <v>17</v>
      </c>
      <c r="CD30" s="289"/>
      <c r="CE30" s="289"/>
      <c r="CF30" s="289"/>
      <c r="CG30" s="289"/>
      <c r="CH30" s="289"/>
      <c r="CI30" s="289"/>
      <c r="CJ30" s="289"/>
    </row>
    <row r="31" spans="1:88" x14ac:dyDescent="0.25">
      <c r="A31" s="16">
        <f t="shared" si="1"/>
        <v>17</v>
      </c>
      <c r="B31" s="112" t="s">
        <v>529</v>
      </c>
      <c r="C31" s="7"/>
      <c r="D31" s="464">
        <f>SUM(D24:D30)</f>
        <v>807863553.20999873</v>
      </c>
      <c r="E31" s="464">
        <f>SUM(E24:E30)</f>
        <v>817470591.42446136</v>
      </c>
      <c r="F31" s="464">
        <f>SUM(F24:F30)</f>
        <v>9607038.2144626528</v>
      </c>
      <c r="G31" s="464">
        <f>SUM(G24:G30)</f>
        <v>813946083.31923103</v>
      </c>
      <c r="H31" s="464">
        <f>SUM(H24:H30)</f>
        <v>-3524508.1052302262</v>
      </c>
      <c r="I31" s="282"/>
      <c r="AG31" s="282"/>
      <c r="AO31" s="135">
        <f t="shared" si="7"/>
        <v>17</v>
      </c>
      <c r="AP31" s="182" t="s">
        <v>245</v>
      </c>
      <c r="AQ31" s="182"/>
      <c r="AR31" s="834">
        <f>SUM(AR16:AR30)</f>
        <v>172315554.79825622</v>
      </c>
      <c r="AS31" s="835">
        <f>SUM(AS16:AS30)</f>
        <v>172315554.79825622</v>
      </c>
      <c r="AT31" s="835">
        <f>SUM(AT16:AT30)</f>
        <v>0</v>
      </c>
      <c r="AU31" s="835">
        <f>SUM(AU16:AU30)</f>
        <v>148923662.89445901</v>
      </c>
      <c r="AV31" s="835">
        <f>SUM(AV16:AV30)</f>
        <v>-23391891.903797135</v>
      </c>
      <c r="AW31" s="282">
        <f t="shared" si="11"/>
        <v>17</v>
      </c>
      <c r="AX31" s="283"/>
      <c r="AY31" s="289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282"/>
      <c r="BV31" s="103"/>
      <c r="BW31" s="103"/>
      <c r="BX31" s="103"/>
      <c r="BY31" s="103"/>
      <c r="BZ31" s="103"/>
      <c r="CA31" s="103"/>
      <c r="CB31" s="103"/>
      <c r="CC31" s="166">
        <f t="shared" si="0"/>
        <v>18</v>
      </c>
      <c r="CD31" s="289"/>
      <c r="CE31" s="289"/>
      <c r="CF31" s="289"/>
      <c r="CG31" s="289"/>
      <c r="CH31" s="289"/>
      <c r="CI31" s="289"/>
      <c r="CJ31" s="289"/>
    </row>
    <row r="32" spans="1:88" x14ac:dyDescent="0.25">
      <c r="A32" s="16">
        <f t="shared" si="1"/>
        <v>18</v>
      </c>
      <c r="B32" s="71" t="s">
        <v>341</v>
      </c>
      <c r="C32" s="71"/>
      <c r="D32" s="71"/>
      <c r="E32" s="71"/>
      <c r="F32" s="71"/>
      <c r="G32" s="71"/>
      <c r="H32" s="254">
        <f>+G32-E32</f>
        <v>0</v>
      </c>
      <c r="I32" s="282"/>
      <c r="AG32" s="282"/>
      <c r="AO32" s="135">
        <f t="shared" si="7"/>
        <v>18</v>
      </c>
      <c r="AS32" s="262">
        <f>+AR32</f>
        <v>0</v>
      </c>
      <c r="AW32" s="282">
        <f t="shared" si="11"/>
        <v>18</v>
      </c>
      <c r="AX32" s="395" t="s">
        <v>29</v>
      </c>
      <c r="AY32" s="289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66">
        <f t="shared" si="0"/>
        <v>19</v>
      </c>
      <c r="CD32" s="289"/>
      <c r="CE32" s="289"/>
      <c r="CF32" s="289"/>
      <c r="CG32" s="289"/>
      <c r="CH32" s="289"/>
      <c r="CI32" s="289"/>
      <c r="CJ32" s="289"/>
    </row>
    <row r="33" spans="1:88" x14ac:dyDescent="0.25">
      <c r="A33" s="135">
        <f t="shared" si="1"/>
        <v>19</v>
      </c>
      <c r="B33" s="846" t="s">
        <v>535</v>
      </c>
      <c r="C33" s="187">
        <f>+'[12]COC, Def, ConvF'!$L$14</f>
        <v>3.8733999999999998E-2</v>
      </c>
      <c r="D33" s="847">
        <f>-$C$33*D29</f>
        <v>278951.6142133</v>
      </c>
      <c r="E33" s="847">
        <f>-$C$33*E29</f>
        <v>278951.6142133</v>
      </c>
      <c r="F33" s="847">
        <f>-$C$33*F29</f>
        <v>0</v>
      </c>
      <c r="G33" s="847">
        <f>-$C$33*G29</f>
        <v>335702.99609741283</v>
      </c>
      <c r="H33" s="847">
        <f>-$C$33*H29</f>
        <v>56751.381884112845</v>
      </c>
      <c r="I33" s="282"/>
      <c r="AG33" s="282"/>
      <c r="AO33" s="135">
        <f t="shared" si="7"/>
        <v>19</v>
      </c>
      <c r="AS33" s="262">
        <f>+AR33</f>
        <v>0</v>
      </c>
      <c r="AW33" s="282">
        <f t="shared" si="11"/>
        <v>19</v>
      </c>
      <c r="AX33" s="396" t="s">
        <v>548</v>
      </c>
      <c r="AZ33" s="285">
        <f>'[20]Lead Electric'!$D$24</f>
        <v>23551517.436357476</v>
      </c>
      <c r="BA33" s="280">
        <f>'[20]Lead Electric'!$E$24</f>
        <v>39996900.554010905</v>
      </c>
      <c r="BB33" s="384">
        <f>BA33-AZ33</f>
        <v>16445383.11765343</v>
      </c>
      <c r="BC33" s="280">
        <f>+BA33</f>
        <v>39996900.554010905</v>
      </c>
      <c r="BD33" s="281">
        <f>BC33-BA33</f>
        <v>0</v>
      </c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289"/>
      <c r="CD33" s="289"/>
      <c r="CE33" s="289"/>
      <c r="CF33" s="289"/>
      <c r="CG33" s="289"/>
      <c r="CH33" s="289"/>
      <c r="CI33" s="289"/>
      <c r="CJ33" s="289"/>
    </row>
    <row r="34" spans="1:88" x14ac:dyDescent="0.25">
      <c r="A34" s="135">
        <f t="shared" si="1"/>
        <v>20</v>
      </c>
      <c r="B34" s="182" t="s">
        <v>536</v>
      </c>
      <c r="C34" s="187"/>
      <c r="D34" s="848">
        <f>SUM(D31:D33)</f>
        <v>808142504.82421207</v>
      </c>
      <c r="E34" s="848">
        <f>SUM(E31:E33)</f>
        <v>817749543.03867471</v>
      </c>
      <c r="F34" s="848">
        <f>SUM(F31:F33)</f>
        <v>9607038.2144626528</v>
      </c>
      <c r="G34" s="848">
        <f>SUM(G31:G33)</f>
        <v>814281786.31532848</v>
      </c>
      <c r="H34" s="848">
        <f>SUM(H31:H33)</f>
        <v>-3467756.7233461132</v>
      </c>
      <c r="I34" s="282"/>
      <c r="AE34" s="289"/>
      <c r="AG34" s="282"/>
      <c r="AO34" s="135">
        <f t="shared" si="7"/>
        <v>20</v>
      </c>
      <c r="AP34" s="236" t="s">
        <v>115</v>
      </c>
      <c r="AQ34" s="236"/>
      <c r="AR34" s="191"/>
      <c r="AS34" s="262">
        <f>+AR34</f>
        <v>0</v>
      </c>
      <c r="AU34" s="191"/>
      <c r="AV34" s="191"/>
      <c r="AW34" s="282">
        <f t="shared" si="11"/>
        <v>20</v>
      </c>
      <c r="AX34" s="852" t="s">
        <v>949</v>
      </c>
      <c r="AY34" s="853"/>
      <c r="AZ34" s="854">
        <v>0</v>
      </c>
      <c r="BA34" s="855">
        <f>+'[7]Table 8C'!F14</f>
        <v>-26739954.831603054</v>
      </c>
      <c r="BB34" s="856">
        <f>BA34-AZ34</f>
        <v>-26739954.831603054</v>
      </c>
      <c r="BC34" s="855">
        <f>+BA34</f>
        <v>-26739954.831603054</v>
      </c>
      <c r="BD34" s="854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289"/>
      <c r="CD34" s="289"/>
      <c r="CE34" s="289"/>
      <c r="CF34" s="289"/>
      <c r="CG34" s="289"/>
      <c r="CH34" s="289"/>
      <c r="CI34" s="289"/>
      <c r="CJ34" s="289"/>
    </row>
    <row r="35" spans="1:88" x14ac:dyDescent="0.25">
      <c r="A35" s="135">
        <f t="shared" si="1"/>
        <v>21</v>
      </c>
      <c r="B35" s="846" t="s">
        <v>341</v>
      </c>
      <c r="C35" s="187"/>
      <c r="D35" s="191"/>
      <c r="E35" s="191"/>
      <c r="F35" s="191"/>
      <c r="G35" s="191"/>
      <c r="H35" s="191"/>
      <c r="I35" s="282"/>
      <c r="AG35" s="282"/>
      <c r="AO35" s="135">
        <f t="shared" si="7"/>
        <v>21</v>
      </c>
      <c r="AP35" s="182" t="s">
        <v>113</v>
      </c>
      <c r="AQ35" s="182"/>
      <c r="AR35" s="836" t="s">
        <v>246</v>
      </c>
      <c r="AS35" s="262"/>
      <c r="AT35" s="262"/>
      <c r="AU35" s="837"/>
      <c r="AV35" s="838"/>
      <c r="AW35" s="282">
        <f t="shared" si="11"/>
        <v>21</v>
      </c>
      <c r="AX35" s="396" t="s">
        <v>549</v>
      </c>
      <c r="AY35" s="286">
        <f>'[20]Lead Electric'!$C25</f>
        <v>0.21</v>
      </c>
      <c r="AZ35" s="290">
        <f>-SUM(AZ33:AZ34)*$AY35</f>
        <v>-4945818.6616350701</v>
      </c>
      <c r="BA35" s="290">
        <f>-SUM(BA33:BA34)*$AY35</f>
        <v>-2783958.6017056485</v>
      </c>
      <c r="BB35" s="290">
        <f>-SUM(BB33:BB34)*$AY35</f>
        <v>2161860.0599294212</v>
      </c>
      <c r="BC35" s="290">
        <f>-SUM(BC33:BC34)*$AY35</f>
        <v>-2783958.6017056485</v>
      </c>
      <c r="BD35" s="290">
        <f>+BC35-BA35</f>
        <v>0</v>
      </c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289"/>
      <c r="CD35" s="289"/>
      <c r="CE35" s="289"/>
      <c r="CF35" s="289"/>
      <c r="CG35" s="289"/>
      <c r="CH35" s="289"/>
      <c r="CI35" s="289"/>
      <c r="CJ35" s="289"/>
    </row>
    <row r="36" spans="1:88" x14ac:dyDescent="0.25">
      <c r="A36" s="135">
        <f t="shared" si="1"/>
        <v>22</v>
      </c>
      <c r="B36" s="187" t="s">
        <v>537</v>
      </c>
      <c r="C36" s="843">
        <v>0.21</v>
      </c>
      <c r="D36" s="191">
        <f>-D34*$C$36</f>
        <v>-169709926.01308453</v>
      </c>
      <c r="E36" s="191">
        <f>-E34*$C$36</f>
        <v>-171727404.03812167</v>
      </c>
      <c r="F36" s="191">
        <f>-F34*$C$36</f>
        <v>-2017478.0250371571</v>
      </c>
      <c r="G36" s="191">
        <f>-G34*$C$36</f>
        <v>-170999175.12621897</v>
      </c>
      <c r="H36" s="191">
        <f>-H34*$C$36</f>
        <v>728228.91190268379</v>
      </c>
      <c r="I36" s="282"/>
      <c r="AG36" s="282"/>
      <c r="AO36" s="135">
        <f t="shared" si="7"/>
        <v>22</v>
      </c>
      <c r="AP36" s="182" t="s">
        <v>114</v>
      </c>
      <c r="AQ36" s="182"/>
      <c r="AR36" s="836" t="s">
        <v>246</v>
      </c>
      <c r="AS36" s="262"/>
      <c r="AT36" s="262"/>
      <c r="AU36" s="837"/>
      <c r="AV36" s="838"/>
      <c r="AW36" s="282">
        <f t="shared" si="11"/>
        <v>22</v>
      </c>
      <c r="AX36" s="396" t="s">
        <v>567</v>
      </c>
      <c r="AY36" s="286">
        <f>'[20]Lead Electric'!$C26</f>
        <v>0.12000000000000002</v>
      </c>
      <c r="AZ36" s="290">
        <f>-SUM(AZ33:AZ34)*$AY36</f>
        <v>-2826182.0923628975</v>
      </c>
      <c r="BA36" s="290">
        <f>-SUM(BA33:BA34)*$AY36</f>
        <v>-1590833.4866889424</v>
      </c>
      <c r="BB36" s="290">
        <f t="shared" ref="BB36:BC36" si="21">-SUM(BB33:BB34)*$AY36</f>
        <v>1235348.6056739553</v>
      </c>
      <c r="BC36" s="290">
        <f t="shared" si="21"/>
        <v>-1590833.4866889424</v>
      </c>
      <c r="BD36" s="290">
        <f>+BC36-BA36</f>
        <v>0</v>
      </c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289"/>
      <c r="CD36" s="289"/>
      <c r="CE36" s="289"/>
      <c r="CF36" s="289"/>
      <c r="CG36" s="289"/>
      <c r="CH36" s="289"/>
      <c r="CI36" s="289"/>
      <c r="CJ36" s="289"/>
    </row>
    <row r="37" spans="1:88" ht="15.75" thickBot="1" x14ac:dyDescent="0.3">
      <c r="A37" s="135">
        <f t="shared" si="1"/>
        <v>23</v>
      </c>
      <c r="B37" s="187" t="s">
        <v>538</v>
      </c>
      <c r="C37" s="187"/>
      <c r="D37" s="104">
        <f>-D34-D36</f>
        <v>-638432578.81112754</v>
      </c>
      <c r="E37" s="104">
        <f>-E34-E36</f>
        <v>-646022139.00055301</v>
      </c>
      <c r="F37" s="104">
        <f>-F34-F36</f>
        <v>-7589560.1894254955</v>
      </c>
      <c r="G37" s="104">
        <f>-G34-G36</f>
        <v>-643282611.18910956</v>
      </c>
      <c r="H37" s="104">
        <f>-H34-H36</f>
        <v>2739527.8114434294</v>
      </c>
      <c r="I37" s="282"/>
      <c r="AG37" s="282"/>
      <c r="AO37" s="135">
        <f t="shared" si="7"/>
        <v>23</v>
      </c>
      <c r="AP37" s="182" t="s">
        <v>233</v>
      </c>
      <c r="AQ37" s="182"/>
      <c r="AR37" s="191">
        <f>+'[17]Lead E'!D35</f>
        <v>2885052</v>
      </c>
      <c r="AS37" s="262">
        <f>+AR37</f>
        <v>2885052</v>
      </c>
      <c r="AT37" s="262">
        <f>+AS37-AR37</f>
        <v>0</v>
      </c>
      <c r="AU37" s="191">
        <f>+'[17]Lead E'!G35</f>
        <v>2885052</v>
      </c>
      <c r="AV37" s="191">
        <f>+AU37-AS37</f>
        <v>0</v>
      </c>
      <c r="AW37" s="282">
        <f t="shared" si="11"/>
        <v>23</v>
      </c>
      <c r="AX37" s="396" t="s">
        <v>95</v>
      </c>
      <c r="AY37" s="285"/>
      <c r="AZ37" s="399">
        <f>-AZ33+AZ34-AZ35-AZ36</f>
        <v>-15779516.682359507</v>
      </c>
      <c r="BA37" s="399">
        <f t="shared" ref="BA37:BD37" si="22">-BA33+BA34-BA35-BA36</f>
        <v>-62362063.297219373</v>
      </c>
      <c r="BB37" s="399">
        <f t="shared" si="22"/>
        <v>-46582546.614859857</v>
      </c>
      <c r="BC37" s="399">
        <f t="shared" si="22"/>
        <v>-62362063.297219373</v>
      </c>
      <c r="BD37" s="399">
        <f t="shared" si="22"/>
        <v>0</v>
      </c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289"/>
      <c r="CD37" s="289"/>
      <c r="CE37" s="289"/>
      <c r="CF37" s="289"/>
      <c r="CG37" s="289"/>
      <c r="CH37" s="289"/>
      <c r="CI37" s="289"/>
      <c r="CJ37" s="289"/>
    </row>
    <row r="38" spans="1:88" ht="15.75" thickTop="1" x14ac:dyDescent="0.25">
      <c r="A38" s="282"/>
      <c r="I38" s="282"/>
      <c r="AG38" s="282"/>
      <c r="AO38" s="135">
        <f t="shared" si="7"/>
        <v>24</v>
      </c>
      <c r="AP38" s="182" t="s">
        <v>234</v>
      </c>
      <c r="AQ38" s="182"/>
      <c r="AR38" s="836" t="s">
        <v>246</v>
      </c>
      <c r="AS38" s="262"/>
      <c r="AT38" s="262"/>
      <c r="AU38" s="838"/>
      <c r="AV38" s="838"/>
      <c r="AW38" s="282">
        <f t="shared" si="11"/>
        <v>24</v>
      </c>
      <c r="AX38" s="284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289"/>
      <c r="CD38" s="289"/>
      <c r="CE38" s="289"/>
      <c r="CF38" s="289"/>
      <c r="CG38" s="289"/>
      <c r="CH38" s="289"/>
      <c r="CI38" s="289"/>
      <c r="CJ38" s="289"/>
    </row>
    <row r="39" spans="1:88" x14ac:dyDescent="0.25">
      <c r="A39" s="282"/>
      <c r="C39" s="288"/>
      <c r="D39" s="288"/>
      <c r="E39" s="288"/>
      <c r="F39" s="288"/>
      <c r="G39" s="288"/>
      <c r="I39" s="282"/>
      <c r="AG39" s="282"/>
      <c r="AO39" s="135">
        <f t="shared" si="7"/>
        <v>25</v>
      </c>
      <c r="AP39" s="182" t="s">
        <v>236</v>
      </c>
      <c r="AQ39" s="182"/>
      <c r="AR39" s="836" t="s">
        <v>246</v>
      </c>
      <c r="AS39" s="262"/>
      <c r="AT39" s="262"/>
      <c r="AU39" s="838"/>
      <c r="AV39" s="838"/>
      <c r="AW39" s="282">
        <f t="shared" si="11"/>
        <v>25</v>
      </c>
      <c r="AX39" s="395" t="s">
        <v>74</v>
      </c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289"/>
      <c r="CD39" s="289"/>
      <c r="CE39" s="289"/>
      <c r="CF39" s="289"/>
      <c r="CG39" s="289"/>
      <c r="CH39" s="289"/>
      <c r="CI39" s="289"/>
      <c r="CJ39" s="289"/>
    </row>
    <row r="40" spans="1:88" x14ac:dyDescent="0.25">
      <c r="A40" s="282"/>
      <c r="C40" s="288"/>
      <c r="D40" s="288"/>
      <c r="E40" s="262"/>
      <c r="F40" s="288"/>
      <c r="G40" s="262"/>
      <c r="I40" s="282"/>
      <c r="AG40" s="282"/>
      <c r="AO40" s="135">
        <f t="shared" si="7"/>
        <v>26</v>
      </c>
      <c r="AP40" s="182" t="s">
        <v>237</v>
      </c>
      <c r="AQ40" s="182"/>
      <c r="AR40" s="836" t="s">
        <v>246</v>
      </c>
      <c r="AS40" s="262"/>
      <c r="AT40" s="262"/>
      <c r="AU40" s="838"/>
      <c r="AV40" s="838"/>
      <c r="AW40" s="282">
        <f t="shared" si="11"/>
        <v>26</v>
      </c>
      <c r="AX40" s="849" t="s">
        <v>550</v>
      </c>
      <c r="AY40" s="834"/>
      <c r="AZ40" s="850">
        <f>-SUM(AZ33,AZ34/2)</f>
        <v>-23551517.436357476</v>
      </c>
      <c r="BA40" s="850">
        <f>-SUM(BA33,BA34/2)</f>
        <v>-26626923.13820938</v>
      </c>
      <c r="BB40" s="184">
        <f>BA40-AZ40</f>
        <v>-3075405.7018519044</v>
      </c>
      <c r="BC40" s="850">
        <f>-SUM(BC33,BC34/2)</f>
        <v>-26626923.13820938</v>
      </c>
      <c r="BD40" s="850">
        <f>-BD34</f>
        <v>0</v>
      </c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</row>
    <row r="41" spans="1:88" x14ac:dyDescent="0.25">
      <c r="A41" s="282"/>
      <c r="C41" s="288"/>
      <c r="D41" s="288"/>
      <c r="E41" s="288"/>
      <c r="F41" s="288"/>
      <c r="G41" s="288"/>
      <c r="I41" s="282"/>
      <c r="AG41" s="282"/>
      <c r="AO41" s="135">
        <f t="shared" si="7"/>
        <v>27</v>
      </c>
      <c r="AP41" s="182" t="s">
        <v>238</v>
      </c>
      <c r="AQ41" s="182"/>
      <c r="AR41" s="191">
        <f>+'[17]Lead E'!D39</f>
        <v>687420</v>
      </c>
      <c r="AS41" s="262">
        <f t="shared" ref="AS41:AS48" si="23">+AR41</f>
        <v>687420</v>
      </c>
      <c r="AT41" s="262">
        <f t="shared" ref="AT41:AT48" si="24">+AS41-AR41</f>
        <v>0</v>
      </c>
      <c r="AU41" s="191">
        <f>+'[17]Lead E'!G39</f>
        <v>687420</v>
      </c>
      <c r="AV41" s="191">
        <f t="shared" ref="AV41:AV48" si="25">+AU41-AS41</f>
        <v>0</v>
      </c>
      <c r="AW41" s="282">
        <f t="shared" si="11"/>
        <v>27</v>
      </c>
      <c r="AX41" s="398" t="s">
        <v>551</v>
      </c>
      <c r="AY41" s="117"/>
      <c r="AZ41" s="316">
        <f>-AZ35</f>
        <v>4945818.6616350701</v>
      </c>
      <c r="BA41" s="316">
        <f>-BA35</f>
        <v>2783958.6017056485</v>
      </c>
      <c r="BB41" s="316">
        <f>+BA41-AZ41</f>
        <v>-2161860.0599294216</v>
      </c>
      <c r="BC41" s="316">
        <f>BA41</f>
        <v>2783958.6017056485</v>
      </c>
      <c r="BD41" s="316">
        <f>+BC41-BA41</f>
        <v>0</v>
      </c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</row>
    <row r="42" spans="1:88" x14ac:dyDescent="0.25">
      <c r="A42" s="282"/>
      <c r="I42" s="282"/>
      <c r="AG42" s="282"/>
      <c r="AO42" s="135">
        <f t="shared" si="7"/>
        <v>28</v>
      </c>
      <c r="AP42" s="182" t="s">
        <v>239</v>
      </c>
      <c r="AQ42" s="182"/>
      <c r="AR42" s="191">
        <f>+'[17]Lead E'!D40</f>
        <v>561126.34087998548</v>
      </c>
      <c r="AS42" s="262">
        <f t="shared" si="23"/>
        <v>561126.34087998548</v>
      </c>
      <c r="AT42" s="262">
        <f t="shared" si="24"/>
        <v>0</v>
      </c>
      <c r="AU42" s="191">
        <f>+'[17]Lead E'!G40</f>
        <v>0</v>
      </c>
      <c r="AV42" s="191">
        <f t="shared" si="25"/>
        <v>-561126.34087998548</v>
      </c>
      <c r="AW42" s="282">
        <f t="shared" si="11"/>
        <v>28</v>
      </c>
      <c r="AX42" s="398" t="s">
        <v>568</v>
      </c>
      <c r="AY42" s="289"/>
      <c r="AZ42" s="316">
        <f>-AZ36</f>
        <v>2826182.0923628975</v>
      </c>
      <c r="BA42" s="316">
        <f>-BA36</f>
        <v>1590833.4866889424</v>
      </c>
      <c r="BB42" s="316">
        <f>+BA42-AZ42</f>
        <v>-1235348.6056739551</v>
      </c>
      <c r="BC42" s="316">
        <f>BA42</f>
        <v>1590833.4866889424</v>
      </c>
      <c r="BD42" s="316">
        <f>+BC42-BA42</f>
        <v>0</v>
      </c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</row>
    <row r="43" spans="1:88" ht="15.75" thickBot="1" x14ac:dyDescent="0.3">
      <c r="AG43" s="282"/>
      <c r="AO43" s="135">
        <f t="shared" si="7"/>
        <v>29</v>
      </c>
      <c r="AP43" s="182" t="s">
        <v>240</v>
      </c>
      <c r="AQ43" s="182"/>
      <c r="AR43" s="191">
        <f>+'[17]Lead E'!D41</f>
        <v>2203436.1529896799</v>
      </c>
      <c r="AS43" s="262">
        <f t="shared" si="23"/>
        <v>2203436.1529896799</v>
      </c>
      <c r="AT43" s="262">
        <f t="shared" si="24"/>
        <v>0</v>
      </c>
      <c r="AU43" s="191">
        <f>+'[17]Lead E'!G41</f>
        <v>0</v>
      </c>
      <c r="AV43" s="191">
        <f t="shared" si="25"/>
        <v>-2203436.1529896799</v>
      </c>
      <c r="AW43" s="282">
        <f t="shared" si="11"/>
        <v>29</v>
      </c>
      <c r="AX43" s="396" t="s">
        <v>396</v>
      </c>
      <c r="AZ43" s="291">
        <f>SUM(AZ41:AZ42)</f>
        <v>7772000.7539979676</v>
      </c>
      <c r="BA43" s="291">
        <f>SUM(BA41:BA42)</f>
        <v>4374792.0883945907</v>
      </c>
      <c r="BB43" s="291">
        <f>SUM(BB41:BB42)</f>
        <v>-3397208.6656033769</v>
      </c>
      <c r="BC43" s="291">
        <f>SUM(BC41:BC42)</f>
        <v>4374792.0883945907</v>
      </c>
      <c r="BD43" s="291">
        <f>SUM(BD41:BD42)</f>
        <v>0</v>
      </c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</row>
    <row r="44" spans="1:88" ht="15.75" thickTop="1" x14ac:dyDescent="0.25">
      <c r="AG44" s="282"/>
      <c r="AO44" s="135">
        <f t="shared" si="7"/>
        <v>30</v>
      </c>
      <c r="AP44" s="182" t="s">
        <v>241</v>
      </c>
      <c r="AQ44" s="182"/>
      <c r="AR44" s="191">
        <f>+'[17]Lead E'!D42</f>
        <v>4520422.508572978</v>
      </c>
      <c r="AS44" s="262">
        <f t="shared" si="23"/>
        <v>4520422.508572978</v>
      </c>
      <c r="AT44" s="262">
        <f t="shared" si="24"/>
        <v>0</v>
      </c>
      <c r="AU44" s="191">
        <f>+'[17]Lead E'!G42</f>
        <v>0</v>
      </c>
      <c r="AV44" s="191">
        <f t="shared" si="25"/>
        <v>-4520422.508572978</v>
      </c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</row>
    <row r="45" spans="1:88" x14ac:dyDescent="0.25">
      <c r="AG45" s="282"/>
      <c r="AO45" s="135">
        <f t="shared" si="7"/>
        <v>31</v>
      </c>
      <c r="AP45" s="182" t="s">
        <v>242</v>
      </c>
      <c r="AQ45" s="182"/>
      <c r="AR45" s="191">
        <f>+'[17]Lead E'!D43</f>
        <v>-400029</v>
      </c>
      <c r="AS45" s="262">
        <f t="shared" si="23"/>
        <v>-400029</v>
      </c>
      <c r="AT45" s="262">
        <f t="shared" si="24"/>
        <v>0</v>
      </c>
      <c r="AU45" s="191">
        <f>+'[17]Lead E'!G43</f>
        <v>0</v>
      </c>
      <c r="AV45" s="191">
        <f t="shared" si="25"/>
        <v>400029</v>
      </c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</row>
    <row r="46" spans="1:88" x14ac:dyDescent="0.25">
      <c r="AG46" s="282"/>
      <c r="AO46" s="135">
        <f t="shared" si="7"/>
        <v>32</v>
      </c>
      <c r="AP46" s="182" t="s">
        <v>243</v>
      </c>
      <c r="AQ46" s="182"/>
      <c r="AR46" s="191">
        <f>+'[17]Lead E'!D44</f>
        <v>-1381856</v>
      </c>
      <c r="AS46" s="262">
        <f t="shared" si="23"/>
        <v>-1381856</v>
      </c>
      <c r="AT46" s="262">
        <f t="shared" si="24"/>
        <v>0</v>
      </c>
      <c r="AU46" s="191">
        <f>+'[17]Lead E'!G44</f>
        <v>0</v>
      </c>
      <c r="AV46" s="191">
        <f t="shared" si="25"/>
        <v>1381856</v>
      </c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</row>
    <row r="47" spans="1:88" x14ac:dyDescent="0.25">
      <c r="AG47" s="282"/>
      <c r="AO47" s="135">
        <f t="shared" si="7"/>
        <v>33</v>
      </c>
      <c r="AP47" s="182" t="s">
        <v>495</v>
      </c>
      <c r="AQ47" s="182"/>
      <c r="AR47" s="191">
        <f>+'[17]Lead E'!D45</f>
        <v>6689176.5497812955</v>
      </c>
      <c r="AS47" s="262">
        <f t="shared" si="23"/>
        <v>6689176.5497812955</v>
      </c>
      <c r="AT47" s="262">
        <f t="shared" si="24"/>
        <v>0</v>
      </c>
      <c r="AU47" s="191">
        <f>+'[17]Lead E'!G45</f>
        <v>4459451.03318753</v>
      </c>
      <c r="AV47" s="191">
        <f t="shared" si="25"/>
        <v>-2229725.5165937655</v>
      </c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</row>
    <row r="48" spans="1:88" x14ac:dyDescent="0.25">
      <c r="AG48" s="282"/>
      <c r="AO48" s="135">
        <f t="shared" si="7"/>
        <v>34</v>
      </c>
      <c r="AP48" s="182" t="s">
        <v>494</v>
      </c>
      <c r="AQ48" s="182"/>
      <c r="AR48" s="191">
        <f>+'[17]Lead E'!D46</f>
        <v>3786308</v>
      </c>
      <c r="AS48" s="262">
        <f t="shared" si="23"/>
        <v>3786308</v>
      </c>
      <c r="AT48" s="262">
        <f t="shared" si="24"/>
        <v>0</v>
      </c>
      <c r="AU48" s="191">
        <f>+'[17]Lead E'!G46</f>
        <v>0</v>
      </c>
      <c r="AV48" s="191">
        <f t="shared" si="25"/>
        <v>-3786308</v>
      </c>
      <c r="AW48" s="282"/>
      <c r="AX48" s="99"/>
      <c r="AY48" s="99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</row>
    <row r="49" spans="2:80" x14ac:dyDescent="0.25">
      <c r="AG49" s="282"/>
      <c r="AO49" s="135">
        <f t="shared" si="7"/>
        <v>35</v>
      </c>
      <c r="AP49" s="187" t="s">
        <v>247</v>
      </c>
      <c r="AQ49" s="187"/>
      <c r="AR49" s="839">
        <f>SUM(AR35:AR48)</f>
        <v>19551056.552223939</v>
      </c>
      <c r="AS49" s="839">
        <f>SUM(AS35:AS48)</f>
        <v>19551056.552223939</v>
      </c>
      <c r="AT49" s="839">
        <f>SUM(AT35:AT48)</f>
        <v>0</v>
      </c>
      <c r="AU49" s="839">
        <f>SUM(AU35:AU48)</f>
        <v>8031923.03318753</v>
      </c>
      <c r="AV49" s="839">
        <f>SUM(AV35:AV48)</f>
        <v>-11519133.519036409</v>
      </c>
      <c r="AW49" s="282"/>
      <c r="AX49" s="61"/>
      <c r="AY49" s="61"/>
      <c r="AZ49" s="61"/>
      <c r="BA49" s="61"/>
      <c r="BB49" s="61"/>
      <c r="BC49" s="61"/>
      <c r="BD49" s="6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</row>
    <row r="50" spans="2:80" x14ac:dyDescent="0.25">
      <c r="AG50" s="282"/>
      <c r="AO50" s="135">
        <f t="shared" si="7"/>
        <v>36</v>
      </c>
      <c r="AW50" s="282"/>
      <c r="AX50" s="61"/>
      <c r="AY50" s="61"/>
      <c r="AZ50" s="61"/>
      <c r="BA50" s="61"/>
      <c r="BB50" s="61"/>
      <c r="BC50" s="61"/>
      <c r="BD50" s="61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</row>
    <row r="51" spans="2:80" x14ac:dyDescent="0.25">
      <c r="AG51" s="282"/>
      <c r="AO51" s="135">
        <f t="shared" si="7"/>
        <v>37</v>
      </c>
      <c r="AP51" s="187" t="s">
        <v>248</v>
      </c>
      <c r="AQ51" s="187"/>
      <c r="AU51" s="840"/>
      <c r="AV51" s="841">
        <f>AV49</f>
        <v>-11519133.519036409</v>
      </c>
      <c r="AW51" s="282"/>
      <c r="AX51" s="99"/>
      <c r="AY51" s="99"/>
      <c r="AZ51" s="99"/>
      <c r="BA51" s="99"/>
      <c r="BB51" s="99"/>
      <c r="BC51" s="99"/>
      <c r="BD51" s="99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2:80" x14ac:dyDescent="0.25">
      <c r="AG52" s="282"/>
      <c r="AO52" s="135">
        <f t="shared" si="7"/>
        <v>38</v>
      </c>
      <c r="AP52" s="187"/>
      <c r="AQ52" s="187"/>
      <c r="AU52" s="840"/>
      <c r="AV52" s="842"/>
      <c r="AW52" s="282"/>
      <c r="AX52" s="61"/>
      <c r="AY52" s="61"/>
      <c r="AZ52" s="61"/>
      <c r="BA52" s="61"/>
      <c r="BB52" s="61"/>
      <c r="BC52" s="61"/>
      <c r="BD52" s="61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</row>
    <row r="53" spans="2:80" x14ac:dyDescent="0.25">
      <c r="AG53" s="282"/>
      <c r="AO53" s="135">
        <f t="shared" si="7"/>
        <v>39</v>
      </c>
      <c r="AP53" s="187" t="s">
        <v>249</v>
      </c>
      <c r="AQ53" s="843">
        <v>0.21</v>
      </c>
      <c r="AV53" s="844">
        <f>-AV51*AQ53</f>
        <v>2419018.0389976455</v>
      </c>
      <c r="AW53" s="282"/>
      <c r="AX53" s="61"/>
      <c r="AY53" s="61"/>
      <c r="AZ53" s="61"/>
      <c r="BA53" s="61"/>
      <c r="BB53" s="61"/>
      <c r="BC53" s="61"/>
      <c r="BD53" s="61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</row>
    <row r="54" spans="2:80" x14ac:dyDescent="0.25">
      <c r="AG54" s="282"/>
      <c r="AO54" s="135">
        <f t="shared" si="7"/>
        <v>40</v>
      </c>
      <c r="AP54" s="187"/>
      <c r="AQ54" s="187"/>
      <c r="AS54" s="187"/>
      <c r="AU54" s="187"/>
      <c r="AV54" s="187"/>
      <c r="AW54" s="282"/>
      <c r="AX54" s="61"/>
      <c r="AY54" s="61"/>
      <c r="AZ54" s="61"/>
      <c r="BA54" s="61"/>
      <c r="BB54" s="61"/>
      <c r="BC54" s="61"/>
      <c r="BD54" s="61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</row>
    <row r="55" spans="2:80" ht="15.75" thickBot="1" x14ac:dyDescent="0.3">
      <c r="AO55" s="135">
        <f t="shared" si="7"/>
        <v>41</v>
      </c>
      <c r="AP55" s="187" t="s">
        <v>95</v>
      </c>
      <c r="AQ55" s="187"/>
      <c r="AS55" s="187"/>
      <c r="AU55" s="834"/>
      <c r="AV55" s="845">
        <f>-AV51-AV53</f>
        <v>9100115.4800387621</v>
      </c>
      <c r="AW55" s="282"/>
      <c r="AX55" s="99"/>
      <c r="AY55" s="99"/>
      <c r="AZ55" s="99"/>
      <c r="BA55" s="99"/>
      <c r="BB55" s="99"/>
      <c r="BC55" s="99"/>
      <c r="BD55" s="99"/>
    </row>
    <row r="56" spans="2:80" ht="15.75" thickTop="1" x14ac:dyDescent="0.25">
      <c r="AO56" s="135">
        <f t="shared" si="7"/>
        <v>42</v>
      </c>
      <c r="AW56" s="282"/>
      <c r="AX56" s="99"/>
      <c r="AY56" s="99"/>
      <c r="AZ56" s="99"/>
      <c r="BA56" s="99"/>
      <c r="BB56" s="99"/>
      <c r="BC56" s="99"/>
      <c r="BD56" s="99"/>
    </row>
    <row r="57" spans="2:80" x14ac:dyDescent="0.25">
      <c r="AO57" s="135">
        <f t="shared" si="7"/>
        <v>43</v>
      </c>
      <c r="AP57" s="397" t="s">
        <v>595</v>
      </c>
      <c r="AQ57" s="397"/>
      <c r="AW57" s="282"/>
      <c r="AX57" s="99"/>
      <c r="AY57" s="99"/>
      <c r="AZ57" s="99"/>
      <c r="BA57" s="99"/>
      <c r="BB57" s="99"/>
      <c r="BC57" s="99"/>
      <c r="BD57" s="99"/>
    </row>
    <row r="58" spans="2:80" x14ac:dyDescent="0.25">
      <c r="AO58" s="135">
        <f t="shared" si="7"/>
        <v>44</v>
      </c>
      <c r="AP58" s="397" t="s">
        <v>596</v>
      </c>
      <c r="AQ58" s="397"/>
      <c r="AW58" s="282"/>
      <c r="AX58" s="99"/>
      <c r="AY58" s="99"/>
      <c r="AZ58" s="99"/>
      <c r="BA58" s="99"/>
      <c r="BB58" s="99"/>
      <c r="BC58" s="99"/>
      <c r="BD58" s="99"/>
    </row>
    <row r="59" spans="2:80" x14ac:dyDescent="0.25">
      <c r="AO59" s="135">
        <f t="shared" si="7"/>
        <v>45</v>
      </c>
      <c r="AP59" s="397"/>
      <c r="AQ59" s="397"/>
      <c r="AW59" s="282"/>
      <c r="AX59" s="99"/>
      <c r="AY59" s="99"/>
      <c r="AZ59" s="99"/>
      <c r="BA59" s="99"/>
      <c r="BB59" s="99"/>
      <c r="BC59" s="99"/>
      <c r="BD59" s="99"/>
    </row>
    <row r="60" spans="2:80" x14ac:dyDescent="0.25">
      <c r="AO60" s="135">
        <f t="shared" si="7"/>
        <v>46</v>
      </c>
      <c r="AP60" s="397" t="s">
        <v>597</v>
      </c>
      <c r="AW60" s="282"/>
      <c r="AX60" s="99"/>
      <c r="AY60" s="99"/>
      <c r="AZ60" s="99"/>
      <c r="BA60" s="99"/>
      <c r="BB60" s="99"/>
      <c r="BC60" s="99"/>
      <c r="BD60" s="99"/>
    </row>
    <row r="61" spans="2:80" x14ac:dyDescent="0.25">
      <c r="AO61" s="135">
        <f t="shared" si="7"/>
        <v>47</v>
      </c>
      <c r="AP61" s="397" t="s">
        <v>598</v>
      </c>
      <c r="AQ61" s="397"/>
      <c r="AR61" s="191">
        <f>'[17]Lead E'!$D$59</f>
        <v>-31039847.298310034</v>
      </c>
      <c r="AW61" s="282"/>
      <c r="AX61" s="99"/>
      <c r="AY61" s="99"/>
      <c r="AZ61" s="99"/>
      <c r="BA61" s="99"/>
      <c r="BB61" s="99"/>
      <c r="BC61" s="99"/>
      <c r="BD61" s="99"/>
    </row>
    <row r="62" spans="2:80" x14ac:dyDescent="0.25">
      <c r="AO62" s="135">
        <f t="shared" si="7"/>
        <v>48</v>
      </c>
      <c r="AP62" s="397" t="s">
        <v>599</v>
      </c>
      <c r="AQ62" s="397"/>
      <c r="AR62" s="191">
        <f>'[17]Lead E'!$D$60</f>
        <v>7647955.3945128955</v>
      </c>
      <c r="AW62" s="282"/>
      <c r="AX62" s="64"/>
      <c r="AY62" s="64"/>
      <c r="AZ62" s="64"/>
      <c r="BA62" s="64"/>
      <c r="BB62" s="64"/>
      <c r="BC62" s="64"/>
      <c r="BD62" s="64"/>
    </row>
    <row r="63" spans="2:80" ht="15.75" thickBot="1" x14ac:dyDescent="0.3">
      <c r="AO63" s="135">
        <f t="shared" si="7"/>
        <v>49</v>
      </c>
      <c r="AP63" s="397" t="s">
        <v>600</v>
      </c>
      <c r="AQ63" s="397"/>
      <c r="AR63" s="169">
        <f>SUM(AR61:AR62)</f>
        <v>-23391891.903797138</v>
      </c>
      <c r="AW63" s="282"/>
      <c r="AX63" s="101"/>
      <c r="AY63" s="101"/>
      <c r="AZ63" s="101"/>
      <c r="BA63" s="101"/>
      <c r="BB63" s="101"/>
      <c r="BC63" s="101"/>
      <c r="BD63" s="101"/>
    </row>
    <row r="64" spans="2:80" ht="15.75" thickTop="1" x14ac:dyDescent="0.25">
      <c r="B64" s="288" t="str">
        <f>UPPER(B38)</f>
        <v/>
      </c>
      <c r="AO64" s="135"/>
      <c r="AP64" s="397"/>
      <c r="AQ64" s="397"/>
      <c r="AW64" s="282"/>
      <c r="AX64" s="62"/>
      <c r="AY64" s="62"/>
      <c r="AZ64" s="62"/>
      <c r="BA64" s="62"/>
      <c r="BB64" s="62"/>
      <c r="BC64" s="62"/>
      <c r="BD64" s="62"/>
    </row>
    <row r="65" spans="2:56" x14ac:dyDescent="0.25">
      <c r="B65" s="288" t="str">
        <f>UPPER(B39)</f>
        <v/>
      </c>
      <c r="AW65" s="282"/>
      <c r="AX65" s="63"/>
      <c r="AY65" s="63"/>
      <c r="AZ65" s="63"/>
      <c r="BA65" s="63"/>
      <c r="BB65" s="63"/>
      <c r="BC65" s="63"/>
      <c r="BD65" s="63"/>
    </row>
    <row r="66" spans="2:56" x14ac:dyDescent="0.25">
      <c r="B66" s="288" t="str">
        <f>UPPER(B40)</f>
        <v/>
      </c>
      <c r="AW66" s="282"/>
      <c r="AX66" s="46"/>
      <c r="AY66" s="46"/>
      <c r="AZ66" s="46"/>
      <c r="BA66" s="46"/>
      <c r="BB66" s="46"/>
      <c r="BC66" s="46"/>
      <c r="BD66" s="46"/>
    </row>
    <row r="67" spans="2:56" x14ac:dyDescent="0.25">
      <c r="AW67" s="282"/>
      <c r="AX67" s="155"/>
      <c r="AY67" s="155"/>
      <c r="AZ67" s="155"/>
      <c r="BA67" s="155"/>
      <c r="BB67" s="155"/>
      <c r="BC67" s="155"/>
      <c r="BD67" s="155"/>
    </row>
    <row r="68" spans="2:56" x14ac:dyDescent="0.25">
      <c r="AO68" s="129"/>
      <c r="AP68" s="129"/>
      <c r="AQ68" s="129"/>
      <c r="AR68" s="129"/>
      <c r="AS68" s="129"/>
      <c r="AT68" s="129"/>
      <c r="AU68" s="129"/>
      <c r="AV68" s="129"/>
      <c r="AW68" s="282"/>
      <c r="AX68" s="103"/>
      <c r="AY68" s="103"/>
      <c r="AZ68" s="103"/>
      <c r="BA68" s="103"/>
      <c r="BB68" s="103"/>
      <c r="BC68" s="103"/>
      <c r="BD68" s="103"/>
    </row>
    <row r="69" spans="2:56" x14ac:dyDescent="0.25">
      <c r="AW69" s="282"/>
    </row>
    <row r="70" spans="2:56" x14ac:dyDescent="0.25">
      <c r="AW70" s="282"/>
    </row>
    <row r="71" spans="2:56" x14ac:dyDescent="0.25">
      <c r="AW71" s="282"/>
    </row>
    <row r="72" spans="2:56" x14ac:dyDescent="0.25">
      <c r="AW72" s="282"/>
    </row>
    <row r="73" spans="2:56" x14ac:dyDescent="0.25">
      <c r="D73" s="866"/>
      <c r="AW73" s="282"/>
    </row>
    <row r="74" spans="2:56" x14ac:dyDescent="0.25">
      <c r="AW74" s="282"/>
    </row>
    <row r="75" spans="2:56" x14ac:dyDescent="0.25">
      <c r="AW75" s="282"/>
    </row>
    <row r="76" spans="2:56" x14ac:dyDescent="0.25">
      <c r="AW76" s="282"/>
    </row>
  </sheetData>
  <conditionalFormatting sqref="AW1:CJ1 A1:AN1">
    <cfRule type="cellIs" dxfId="27" priority="17" operator="equal">
      <formula>0</formula>
    </cfRule>
    <cfRule type="cellIs" dxfId="26" priority="18" operator="notEqual">
      <formula>0</formula>
    </cfRule>
  </conditionalFormatting>
  <conditionalFormatting sqref="AS1">
    <cfRule type="cellIs" dxfId="25" priority="3" operator="equal">
      <formula>0</formula>
    </cfRule>
    <cfRule type="cellIs" dxfId="24" priority="4" operator="notEqual">
      <formula>0</formula>
    </cfRule>
  </conditionalFormatting>
  <conditionalFormatting sqref="AT1">
    <cfRule type="cellIs" dxfId="23" priority="1" operator="equal">
      <formula>0</formula>
    </cfRule>
    <cfRule type="cellIs" dxfId="22" priority="2" operator="notEqual">
      <formula>0</formula>
    </cfRule>
  </conditionalFormatting>
  <conditionalFormatting sqref="AU1:AV1 AO1:AR1">
    <cfRule type="cellIs" dxfId="21" priority="5" operator="equal">
      <formula>0</formula>
    </cfRule>
    <cfRule type="cellIs" dxfId="20" priority="6" operator="notEqual">
      <formula>0</formula>
    </cfRule>
  </conditionalFormatting>
  <pageMargins left="0.7" right="0.7" top="0.75" bottom="0.75" header="0.3" footer="0.3"/>
  <pageSetup scale="57" orientation="portrait" r:id="rId1"/>
  <colBreaks count="2" manualBreakCount="2">
    <brk id="48" min="3" max="42" man="1"/>
    <brk id="56" min="3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19DF5"/>
  </sheetPr>
  <dimension ref="A1:IF103"/>
  <sheetViews>
    <sheetView zoomScaleNormal="100" zoomScaleSheetLayoutView="85" workbookViewId="0">
      <pane xSplit="1" ySplit="1" topLeftCell="S5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5.42578125" style="288" customWidth="1"/>
    <col min="2" max="2" width="66.140625" style="288" customWidth="1"/>
    <col min="3" max="3" width="10.85546875" style="288" customWidth="1"/>
    <col min="4" max="4" width="12.5703125" style="288" customWidth="1"/>
    <col min="5" max="5" width="13" style="288" customWidth="1"/>
    <col min="6" max="6" width="13.85546875" style="288" customWidth="1"/>
    <col min="7" max="7" width="14.140625" style="288" customWidth="1"/>
    <col min="8" max="8" width="13.85546875" style="288" customWidth="1"/>
    <col min="9" max="9" width="5.42578125" style="288" hidden="1" customWidth="1"/>
    <col min="10" max="10" width="55.42578125" style="288" hidden="1" customWidth="1"/>
    <col min="11" max="11" width="9.140625" style="288" hidden="1" customWidth="1"/>
    <col min="12" max="13" width="14.28515625" style="288" hidden="1" customWidth="1"/>
    <col min="14" max="14" width="14.140625" style="288" hidden="1" customWidth="1"/>
    <col min="15" max="15" width="14.28515625" style="288" hidden="1" customWidth="1"/>
    <col min="16" max="16" width="15.42578125" style="288" hidden="1" customWidth="1"/>
    <col min="17" max="17" width="5.42578125" style="288" bestFit="1" customWidth="1"/>
    <col min="18" max="18" width="39.5703125" style="288" customWidth="1"/>
    <col min="19" max="19" width="4.5703125" style="288" bestFit="1" customWidth="1"/>
    <col min="20" max="22" width="17.5703125" style="288" customWidth="1"/>
    <col min="23" max="23" width="18.7109375" style="288" customWidth="1"/>
    <col min="24" max="24" width="16.28515625" style="288" customWidth="1"/>
    <col min="25" max="25" width="5.42578125" style="288" customWidth="1"/>
    <col min="26" max="26" width="37.85546875" style="288" customWidth="1"/>
    <col min="27" max="27" width="4.7109375" style="288" customWidth="1"/>
    <col min="28" max="32" width="18.5703125" style="288" customWidth="1"/>
    <col min="33" max="33" width="9.140625" style="288" hidden="1" customWidth="1"/>
    <col min="34" max="34" width="66" style="288" hidden="1" customWidth="1"/>
    <col min="35" max="35" width="9" style="288" hidden="1" customWidth="1"/>
    <col min="36" max="36" width="12.85546875" style="288" hidden="1" customWidth="1"/>
    <col min="37" max="38" width="13.28515625" style="288" hidden="1" customWidth="1"/>
    <col min="39" max="39" width="14" style="288" hidden="1" customWidth="1"/>
    <col min="40" max="40" width="16.28515625" style="288" hidden="1" customWidth="1"/>
    <col min="41" max="41" width="9.140625" style="288" hidden="1" customWidth="1"/>
    <col min="42" max="42" width="62.140625" style="288" hidden="1" customWidth="1"/>
    <col min="43" max="43" width="4.5703125" style="288" hidden="1" customWidth="1"/>
    <col min="44" max="45" width="16" style="288" hidden="1" customWidth="1"/>
    <col min="46" max="46" width="12.28515625" style="288" hidden="1" customWidth="1"/>
    <col min="47" max="47" width="12.140625" style="288" hidden="1" customWidth="1"/>
    <col min="48" max="48" width="13.140625" style="288" hidden="1" customWidth="1"/>
    <col min="49" max="49" width="5.42578125" style="288" hidden="1" customWidth="1"/>
    <col min="50" max="50" width="66.140625" style="288" hidden="1" customWidth="1"/>
    <col min="51" max="51" width="7.85546875" style="288" hidden="1" customWidth="1"/>
    <col min="52" max="53" width="14.7109375" style="288" hidden="1" customWidth="1"/>
    <col min="54" max="54" width="16.140625" style="288" hidden="1" customWidth="1"/>
    <col min="55" max="55" width="14.7109375" style="288" hidden="1" customWidth="1"/>
    <col min="56" max="56" width="14.85546875" style="288" hidden="1" customWidth="1"/>
    <col min="57" max="57" width="5.42578125" style="288" hidden="1" customWidth="1"/>
    <col min="58" max="58" width="41.140625" style="288" hidden="1" customWidth="1"/>
    <col min="59" max="59" width="4.28515625" style="288" hidden="1" customWidth="1"/>
    <col min="60" max="60" width="16.140625" style="288" hidden="1" customWidth="1"/>
    <col min="61" max="61" width="16.7109375" style="288" hidden="1" customWidth="1"/>
    <col min="62" max="62" width="17.7109375" style="288" hidden="1" customWidth="1"/>
    <col min="63" max="63" width="17.140625" style="288" hidden="1" customWidth="1"/>
    <col min="64" max="64" width="14.85546875" style="288" hidden="1" customWidth="1"/>
    <col min="65" max="65" width="9.140625" style="288" hidden="1" customWidth="1"/>
    <col min="66" max="66" width="54.7109375" style="288" hidden="1" customWidth="1"/>
    <col min="67" max="67" width="7.140625" style="288" hidden="1" customWidth="1"/>
    <col min="68" max="72" width="16.42578125" style="288" hidden="1" customWidth="1"/>
    <col min="73" max="73" width="5.42578125" style="288" hidden="1" customWidth="1"/>
    <col min="74" max="74" width="50.28515625" style="288" hidden="1" customWidth="1"/>
    <col min="75" max="75" width="6" style="288" hidden="1" customWidth="1"/>
    <col min="76" max="80" width="17.5703125" style="288" hidden="1" customWidth="1"/>
    <col min="81" max="81" width="5.42578125" style="288" hidden="1" customWidth="1"/>
    <col min="82" max="82" width="49.5703125" style="288" hidden="1" customWidth="1"/>
    <col min="83" max="83" width="9.7109375" style="288" hidden="1" customWidth="1"/>
    <col min="84" max="84" width="16.42578125" style="288" hidden="1" customWidth="1"/>
    <col min="85" max="85" width="17.42578125" style="288" hidden="1" customWidth="1"/>
    <col min="86" max="86" width="16.42578125" style="288" hidden="1" customWidth="1"/>
    <col min="87" max="87" width="12.42578125" style="288" hidden="1" customWidth="1"/>
    <col min="88" max="88" width="14.85546875" style="288" hidden="1" customWidth="1"/>
    <col min="89" max="89" width="5.42578125" style="288" hidden="1" customWidth="1"/>
    <col min="90" max="90" width="55.42578125" style="288" hidden="1" customWidth="1"/>
    <col min="91" max="91" width="6.85546875" style="288" hidden="1" customWidth="1"/>
    <col min="92" max="96" width="12" style="288" hidden="1" customWidth="1"/>
    <col min="97" max="97" width="9.140625" style="288" hidden="1" customWidth="1"/>
    <col min="98" max="98" width="46.28515625" style="288" hidden="1" customWidth="1"/>
    <col min="99" max="99" width="12.140625" style="288" hidden="1" customWidth="1"/>
    <col min="100" max="104" width="14.5703125" style="288" hidden="1" customWidth="1"/>
    <col min="105" max="105" width="5.42578125" style="288" hidden="1" customWidth="1"/>
    <col min="106" max="106" width="38.140625" style="288" hidden="1" customWidth="1"/>
    <col min="107" max="107" width="8.42578125" style="288" hidden="1" customWidth="1"/>
    <col min="108" max="108" width="17.28515625" style="288" hidden="1" customWidth="1"/>
    <col min="109" max="109" width="18.7109375" style="288" hidden="1" customWidth="1"/>
    <col min="110" max="110" width="18.42578125" style="288" hidden="1" customWidth="1"/>
    <col min="111" max="111" width="17" style="288" hidden="1" customWidth="1"/>
    <col min="112" max="112" width="18.7109375" style="288" hidden="1" customWidth="1"/>
    <col min="113" max="113" width="5" style="288" hidden="1" customWidth="1"/>
    <col min="114" max="114" width="33.5703125" style="288" hidden="1" customWidth="1"/>
    <col min="115" max="115" width="9.85546875" style="288" hidden="1" customWidth="1"/>
    <col min="116" max="116" width="17.85546875" style="288" hidden="1" customWidth="1"/>
    <col min="117" max="117" width="18.7109375" style="288" hidden="1" customWidth="1"/>
    <col min="118" max="118" width="15.28515625" style="288" hidden="1" customWidth="1"/>
    <col min="119" max="119" width="14" style="288" hidden="1" customWidth="1"/>
    <col min="120" max="120" width="18.28515625" style="288" hidden="1" customWidth="1"/>
    <col min="121" max="121" width="9.140625" style="288" hidden="1" customWidth="1"/>
    <col min="122" max="122" width="42.28515625" style="288" hidden="1" customWidth="1"/>
    <col min="123" max="123" width="11.28515625" style="288" hidden="1" customWidth="1"/>
    <col min="124" max="124" width="13.140625" style="288" hidden="1" customWidth="1"/>
    <col min="125" max="125" width="12.85546875" style="288" hidden="1" customWidth="1"/>
    <col min="126" max="126" width="15" style="288" hidden="1" customWidth="1"/>
    <col min="127" max="127" width="13.28515625" style="288" hidden="1" customWidth="1"/>
    <col min="128" max="128" width="15" style="288" hidden="1" customWidth="1"/>
    <col min="129" max="129" width="9.140625" style="288" hidden="1" customWidth="1"/>
    <col min="130" max="130" width="48.42578125" style="288" hidden="1" customWidth="1"/>
    <col min="131" max="131" width="7.140625" style="288" hidden="1" customWidth="1"/>
    <col min="132" max="132" width="16" style="288" hidden="1" customWidth="1"/>
    <col min="133" max="133" width="13.85546875" style="288" hidden="1" customWidth="1"/>
    <col min="134" max="134" width="15.5703125" style="288" hidden="1" customWidth="1"/>
    <col min="135" max="135" width="13.28515625" style="288" hidden="1" customWidth="1"/>
    <col min="136" max="136" width="15.140625" style="288" hidden="1" customWidth="1"/>
    <col min="137" max="137" width="5.5703125" style="288" hidden="1" customWidth="1"/>
    <col min="138" max="138" width="41.5703125" style="288" hidden="1" customWidth="1"/>
    <col min="139" max="139" width="4.28515625" style="288" hidden="1" customWidth="1"/>
    <col min="140" max="143" width="19.140625" style="288" hidden="1" customWidth="1"/>
    <col min="144" max="144" width="14.5703125" style="288" hidden="1" customWidth="1"/>
    <col min="145" max="145" width="5.5703125" style="288" hidden="1" customWidth="1"/>
    <col min="146" max="146" width="58.85546875" style="288" hidden="1" customWidth="1"/>
    <col min="147" max="147" width="6.5703125" style="288" hidden="1" customWidth="1"/>
    <col min="148" max="151" width="16.85546875" style="288" hidden="1" customWidth="1"/>
    <col min="152" max="152" width="13.42578125" style="288" hidden="1" customWidth="1"/>
    <col min="153" max="153" width="9.140625" style="288" hidden="1" customWidth="1"/>
    <col min="154" max="154" width="51.7109375" style="288" hidden="1" customWidth="1"/>
    <col min="155" max="155" width="4.5703125" style="288" hidden="1" customWidth="1"/>
    <col min="156" max="157" width="16.140625" style="288" hidden="1" customWidth="1"/>
    <col min="158" max="158" width="14.140625" style="288" hidden="1" customWidth="1"/>
    <col min="159" max="159" width="16.5703125" style="288" hidden="1" customWidth="1"/>
    <col min="160" max="160" width="16.7109375" style="288" hidden="1" customWidth="1"/>
    <col min="161" max="161" width="5.42578125" style="288" hidden="1" customWidth="1"/>
    <col min="162" max="162" width="87.28515625" style="288" hidden="1" customWidth="1"/>
    <col min="163" max="163" width="7.7109375" style="288" hidden="1" customWidth="1"/>
    <col min="164" max="164" width="14.140625" style="288" hidden="1" customWidth="1"/>
    <col min="165" max="165" width="12.85546875" style="288" hidden="1" customWidth="1"/>
    <col min="166" max="166" width="14.140625" style="288" hidden="1" customWidth="1"/>
    <col min="167" max="167" width="12.85546875" style="288" hidden="1" customWidth="1"/>
    <col min="168" max="168" width="14.140625" style="288" hidden="1" customWidth="1"/>
    <col min="169" max="169" width="9.5703125" style="288" hidden="1" customWidth="1"/>
    <col min="170" max="170" width="65.42578125" style="288" hidden="1" customWidth="1"/>
    <col min="171" max="171" width="8" style="288" hidden="1" customWidth="1"/>
    <col min="172" max="172" width="9.42578125" style="288" hidden="1" customWidth="1"/>
    <col min="173" max="173" width="11.140625" style="288" hidden="1" customWidth="1"/>
    <col min="174" max="176" width="14.140625" style="288" hidden="1" customWidth="1"/>
    <col min="177" max="177" width="8.140625" style="288" hidden="1" customWidth="1"/>
    <col min="178" max="178" width="51.7109375" style="288" hidden="1" customWidth="1"/>
    <col min="179" max="179" width="6.7109375" style="288" hidden="1" customWidth="1"/>
    <col min="180" max="180" width="13.7109375" style="288" hidden="1" customWidth="1"/>
    <col min="181" max="181" width="15.28515625" style="288" hidden="1" customWidth="1"/>
    <col min="182" max="182" width="14.7109375" style="288" hidden="1" customWidth="1"/>
    <col min="183" max="183" width="14" style="288" hidden="1" customWidth="1"/>
    <col min="184" max="184" width="16" style="288" hidden="1" customWidth="1"/>
    <col min="185" max="185" width="5.42578125" style="288" customWidth="1"/>
    <col min="186" max="186" width="52.42578125" style="288" customWidth="1"/>
    <col min="187" max="187" width="7" style="288" customWidth="1"/>
    <col min="188" max="192" width="16" style="288" customWidth="1"/>
    <col min="193" max="193" width="8.140625" style="288" hidden="1" customWidth="1"/>
    <col min="194" max="194" width="48.85546875" style="288" hidden="1" customWidth="1"/>
    <col min="195" max="195" width="5.28515625" style="288" hidden="1" customWidth="1"/>
    <col min="196" max="196" width="18.28515625" style="288" hidden="1" customWidth="1"/>
    <col min="197" max="197" width="18.42578125" style="288" hidden="1" customWidth="1"/>
    <col min="198" max="198" width="14.7109375" style="288" hidden="1" customWidth="1"/>
    <col min="199" max="199" width="19.85546875" style="288" hidden="1" customWidth="1"/>
    <col min="200" max="200" width="16" style="288" hidden="1" customWidth="1"/>
    <col min="201" max="201" width="5.42578125" style="288" hidden="1" customWidth="1"/>
    <col min="202" max="202" width="43.140625" style="288" hidden="1" customWidth="1"/>
    <col min="203" max="203" width="9.140625" style="288" hidden="1" customWidth="1"/>
    <col min="204" max="204" width="15.28515625" style="288" hidden="1" customWidth="1"/>
    <col min="205" max="205" width="19.42578125" style="288" hidden="1" customWidth="1"/>
    <col min="206" max="206" width="14.140625" style="288" hidden="1" customWidth="1"/>
    <col min="207" max="207" width="14.85546875" style="288" hidden="1" customWidth="1"/>
    <col min="208" max="208" width="17.140625" style="288" hidden="1" customWidth="1"/>
    <col min="209" max="209" width="5.42578125" style="288" customWidth="1"/>
    <col min="210" max="210" width="41.42578125" style="288" customWidth="1"/>
    <col min="211" max="211" width="4.5703125" style="288" customWidth="1"/>
    <col min="212" max="212" width="8.7109375" style="288" customWidth="1"/>
    <col min="213" max="213" width="10.85546875" style="288" customWidth="1"/>
    <col min="214" max="214" width="13.7109375" style="288" customWidth="1"/>
    <col min="215" max="215" width="12" style="288" customWidth="1"/>
    <col min="216" max="216" width="14.28515625" style="288" customWidth="1"/>
    <col min="217" max="217" width="5.42578125" style="288" hidden="1" customWidth="1"/>
    <col min="218" max="218" width="37.7109375" style="288" hidden="1" customWidth="1"/>
    <col min="219" max="219" width="9.140625" style="288" hidden="1" customWidth="1"/>
    <col min="220" max="221" width="12.85546875" style="288" hidden="1" customWidth="1"/>
    <col min="222" max="222" width="14.140625" style="288" hidden="1" customWidth="1"/>
    <col min="223" max="223" width="12.28515625" style="288" hidden="1" customWidth="1"/>
    <col min="224" max="224" width="13.28515625" style="288" hidden="1" customWidth="1"/>
    <col min="225" max="225" width="5.42578125" style="288" customWidth="1"/>
    <col min="226" max="226" width="47.85546875" style="288" customWidth="1"/>
    <col min="227" max="227" width="9.140625" style="288" customWidth="1"/>
    <col min="228" max="228" width="12.7109375" style="288" customWidth="1"/>
    <col min="229" max="229" width="12" style="288" customWidth="1"/>
    <col min="230" max="230" width="15.140625" style="288" customWidth="1"/>
    <col min="231" max="231" width="12.85546875" style="288" customWidth="1"/>
    <col min="232" max="232" width="13.28515625" style="288" customWidth="1"/>
    <col min="233" max="233" width="8.28515625" style="288" customWidth="1"/>
    <col min="234" max="234" width="34.5703125" style="288" bestFit="1" customWidth="1"/>
    <col min="235" max="235" width="6" style="288" customWidth="1"/>
    <col min="236" max="239" width="13.7109375" style="288" bestFit="1" customWidth="1"/>
    <col min="240" max="240" width="13.85546875" style="288" bestFit="1" customWidth="1"/>
    <col min="241" max="16384" width="9.140625" style="288"/>
  </cols>
  <sheetData>
    <row r="1" spans="1:240" ht="13.5" hidden="1" thickBot="1" x14ac:dyDescent="0.25">
      <c r="A1" s="94"/>
      <c r="B1" s="94"/>
      <c r="C1" s="94"/>
      <c r="D1" s="94"/>
      <c r="E1" s="94"/>
      <c r="F1" s="94">
        <f>'BGM-9 (2) Detailed Summary'!D46-'BGM-9 (3) Common Adj'!F50</f>
        <v>0</v>
      </c>
      <c r="G1" s="382"/>
      <c r="H1" s="382">
        <f>'BGM-9 (2) Detailed Summary'!AK46-'BGM-9 (3) Common Adj'!H50</f>
        <v>0</v>
      </c>
      <c r="I1" s="94"/>
      <c r="J1" s="94"/>
      <c r="K1" s="94"/>
      <c r="L1" s="94"/>
      <c r="M1" s="94"/>
      <c r="N1" s="94">
        <f>ROUND('BGM-9 (2) Detailed Summary'!E46-N28,0)</f>
        <v>0</v>
      </c>
      <c r="O1" s="94"/>
      <c r="P1" s="94">
        <f>ROUND(+'BGM-9 (2) Detailed Summary'!AL46-P28,0)</f>
        <v>0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>
        <f>ROUND(+'BGM-9 (2) Detailed Summary'!G46-AD22+AD24,0)</f>
        <v>0</v>
      </c>
      <c r="AE1" s="94"/>
      <c r="AF1" s="94">
        <f>ROUND(+'BGM-9 (2) Detailed Summary'!AM46-AF22,0)</f>
        <v>0</v>
      </c>
      <c r="AG1" s="94"/>
      <c r="AH1" s="94"/>
      <c r="AI1" s="94"/>
      <c r="AJ1" s="94"/>
      <c r="AK1" s="94"/>
      <c r="AL1" s="94">
        <f>ROUND('BGM-9 (2) Detailed Summary'!H46-'BGM-9 (3) Common Adj'!AL51,0)</f>
        <v>0</v>
      </c>
      <c r="AM1" s="94"/>
      <c r="AN1" s="94"/>
      <c r="AO1" s="94"/>
      <c r="AP1" s="94"/>
      <c r="AQ1" s="94"/>
      <c r="AR1" s="94"/>
      <c r="AS1" s="94"/>
      <c r="AT1" s="94">
        <f>ROUND(+'BGM-9 (2) Detailed Summary'!I46-AT21,0)</f>
        <v>0</v>
      </c>
      <c r="AU1" s="94"/>
      <c r="AV1" s="94"/>
      <c r="AW1" s="94"/>
      <c r="AX1" s="94"/>
      <c r="AY1" s="94"/>
      <c r="AZ1" s="94"/>
      <c r="BA1" s="94"/>
      <c r="BB1" s="94">
        <f>ROUND(+'BGM-9 (2) Detailed Summary'!J46-BB19,0)</f>
        <v>0</v>
      </c>
      <c r="BC1" s="94"/>
      <c r="BD1" s="94"/>
      <c r="BE1" s="94"/>
      <c r="BF1" s="94"/>
      <c r="BG1" s="94"/>
      <c r="BH1" s="94"/>
      <c r="BI1" s="94"/>
      <c r="BJ1" s="94">
        <f>ROUND(+'BGM-9 (2) Detailed Summary'!K46-BJ29,0)</f>
        <v>0</v>
      </c>
      <c r="BK1" s="94"/>
      <c r="BL1" s="94"/>
      <c r="BM1" s="94"/>
      <c r="BN1" s="94"/>
      <c r="BO1" s="94"/>
      <c r="BP1" s="94"/>
      <c r="BQ1" s="94"/>
      <c r="BR1" s="94">
        <f>ROUND(+'BGM-9 (2) Detailed Summary'!L46-BR20,0)</f>
        <v>0</v>
      </c>
      <c r="BS1" s="94"/>
      <c r="BT1" s="94"/>
      <c r="BU1" s="94"/>
      <c r="BV1" s="94"/>
      <c r="BW1" s="94"/>
      <c r="BX1" s="94"/>
      <c r="BY1" s="94"/>
      <c r="BZ1" s="94">
        <f>ROUND(+'BGM-9 (2) Detailed Summary'!M46-BZ21,0)</f>
        <v>0</v>
      </c>
      <c r="CA1" s="94"/>
      <c r="CB1" s="94">
        <f>ROUND(+'BGM-9 (2) Detailed Summary'!AO46-CB21,0)</f>
        <v>0</v>
      </c>
      <c r="CC1" s="94"/>
      <c r="CD1" s="94"/>
      <c r="CE1" s="94"/>
      <c r="CF1" s="94"/>
      <c r="CG1" s="94"/>
      <c r="CH1" s="94">
        <f>ROUND(+'BGM-9 (2) Detailed Summary'!N46-CH16,0)</f>
        <v>0</v>
      </c>
      <c r="CI1" s="94"/>
      <c r="CJ1" s="94"/>
      <c r="CK1" s="94"/>
      <c r="CL1" s="94"/>
      <c r="CM1" s="94"/>
      <c r="CN1" s="94"/>
      <c r="CO1" s="94"/>
      <c r="CP1" s="94">
        <f>ROUND(+'BGM-9 (2) Detailed Summary'!O46-CP23,0)</f>
        <v>0</v>
      </c>
      <c r="CQ1" s="94"/>
      <c r="CR1" s="94"/>
      <c r="CS1" s="94"/>
      <c r="CT1" s="94"/>
      <c r="CU1" s="94"/>
      <c r="CV1" s="94"/>
      <c r="CW1" s="94"/>
      <c r="CX1" s="94">
        <f>ROUND(+'BGM-9 (2) Detailed Summary'!P46-CX18,0)</f>
        <v>0</v>
      </c>
      <c r="CY1" s="94"/>
      <c r="CZ1" s="94"/>
      <c r="DA1" s="94"/>
      <c r="DB1" s="94"/>
      <c r="DC1" s="94"/>
      <c r="DD1" s="94"/>
      <c r="DE1" s="94"/>
      <c r="DF1" s="94">
        <f>ROUND(+'BGM-9 (2) Detailed Summary'!AP46-DH19,0)</f>
        <v>0</v>
      </c>
      <c r="DG1" s="94"/>
      <c r="DH1" s="94"/>
      <c r="DI1" s="94"/>
      <c r="DJ1" s="94"/>
      <c r="DK1" s="94"/>
      <c r="DL1" s="94"/>
      <c r="DM1" s="94"/>
      <c r="DN1" s="94">
        <f>ROUND(+'BGM-9 (2) Detailed Summary'!R46-DN30,0)</f>
        <v>0</v>
      </c>
      <c r="DO1" s="94"/>
      <c r="DP1" s="94">
        <f>ROUND(+'BGM-9 (2) Detailed Summary'!AQ46-DP30,0)</f>
        <v>0</v>
      </c>
      <c r="DQ1" s="94"/>
      <c r="DR1" s="94"/>
      <c r="DS1" s="94"/>
      <c r="DT1" s="94"/>
      <c r="DU1" s="94"/>
      <c r="DV1" s="94">
        <f>ROUND(+'BGM-9 (2) Detailed Summary'!S46-DV34,0)</f>
        <v>0</v>
      </c>
      <c r="DW1" s="94"/>
      <c r="DX1" s="94">
        <f>ROUND(+'BGM-9 (2) Detailed Summary'!AR46-DX34,0)</f>
        <v>0</v>
      </c>
      <c r="DY1" s="94"/>
      <c r="DZ1" s="94"/>
      <c r="EA1" s="94"/>
      <c r="EB1" s="94"/>
      <c r="EC1" s="94"/>
      <c r="ED1" s="94">
        <f>ROUND('BGM-9 (2) Detailed Summary'!T46-ED25,0)</f>
        <v>0</v>
      </c>
      <c r="EE1" s="94"/>
      <c r="EF1" s="94">
        <f>ROUND(+'BGM-9 (2) Detailed Summary'!AS46-EF25,0)</f>
        <v>0</v>
      </c>
      <c r="EG1" s="94"/>
      <c r="EH1" s="94"/>
      <c r="EI1" s="94"/>
      <c r="EJ1" s="94"/>
      <c r="EK1" s="94"/>
      <c r="EL1" s="94">
        <f>ROUND(+'BGM-9 (2) Detailed Summary'!U59-EL20,0)</f>
        <v>0</v>
      </c>
      <c r="EM1" s="94"/>
      <c r="EN1" s="94"/>
      <c r="EO1" s="94"/>
      <c r="EP1" s="94"/>
      <c r="EQ1" s="94"/>
      <c r="ER1" s="94"/>
      <c r="ES1" s="94"/>
      <c r="ET1" s="94">
        <f>ROUND(+'BGM-9 (2) Detailed Summary'!V46-ET27,0)</f>
        <v>0</v>
      </c>
      <c r="EU1" s="94">
        <f>ROUND(+'BGM-9 (2) Detailed Summary'!V59-ET32,0)</f>
        <v>0</v>
      </c>
      <c r="EV1" s="94"/>
      <c r="EW1" s="94"/>
      <c r="EX1" s="94"/>
      <c r="EY1" s="94"/>
      <c r="EZ1" s="94"/>
      <c r="FA1" s="94"/>
      <c r="FB1" s="94"/>
      <c r="FC1" s="94"/>
      <c r="FD1" s="94">
        <f>+'BGM-9 (2) Detailed Summary'!AT46-FD20</f>
        <v>0</v>
      </c>
      <c r="FE1" s="94"/>
      <c r="FF1" s="94"/>
      <c r="FG1" s="94"/>
      <c r="FH1" s="94"/>
      <c r="FI1" s="94"/>
      <c r="FJ1" s="94"/>
      <c r="FK1" s="94"/>
      <c r="FL1" s="94">
        <f>ROUND(+'BGM-9 (2) Detailed Summary'!AU46-FL19,0)</f>
        <v>0</v>
      </c>
      <c r="FM1" s="94"/>
      <c r="FN1" s="94"/>
      <c r="FO1" s="94"/>
      <c r="FP1" s="94"/>
      <c r="FQ1" s="94"/>
      <c r="FR1" s="94">
        <f>+'BGM-9 (2) Detailed Summary'!AV48-FT26</f>
        <v>0</v>
      </c>
      <c r="FS1" s="94">
        <f>+'BGM-9 (2) Detailed Summary'!AV59-FT26</f>
        <v>0</v>
      </c>
      <c r="FT1" s="94">
        <f>+'BGM-9 (2) Detailed Summary'!AV46-FT38</f>
        <v>0</v>
      </c>
      <c r="FU1" s="94"/>
      <c r="FV1" s="94"/>
      <c r="FW1" s="94"/>
      <c r="FX1" s="94"/>
      <c r="FY1" s="94"/>
      <c r="FZ1" s="94">
        <f>'BGM-9 (2) Detailed Summary'!AW48-GB33</f>
        <v>0</v>
      </c>
      <c r="GA1" s="94"/>
      <c r="GB1" s="94">
        <f>+'BGM-9 (2) Detailed Summary'!AW46-GB32</f>
        <v>0</v>
      </c>
      <c r="GC1" s="94"/>
      <c r="GD1" s="94"/>
      <c r="GE1" s="94"/>
      <c r="GF1" s="94"/>
      <c r="GG1" s="94"/>
      <c r="GH1" s="94"/>
      <c r="GI1" s="94">
        <f>+'BGM-9 (2) Detailed Summary'!AX59-GI27</f>
        <v>0</v>
      </c>
      <c r="GJ1" s="94">
        <f>+'BGM-9 (2) Detailed Summary'!AX46-GJ38</f>
        <v>0</v>
      </c>
      <c r="GK1" s="94"/>
      <c r="GL1" s="94"/>
      <c r="GM1" s="94"/>
      <c r="GN1" s="94"/>
      <c r="GO1" s="94"/>
      <c r="GP1" s="94"/>
      <c r="GQ1" s="94"/>
      <c r="GR1" s="94">
        <f>+'BGM-9 (2) Detailed Summary'!AY46-GR20</f>
        <v>0</v>
      </c>
      <c r="GS1" s="94"/>
      <c r="GT1" s="94"/>
      <c r="GU1" s="94"/>
      <c r="GV1" s="94"/>
      <c r="GW1" s="94"/>
      <c r="GX1" s="94"/>
      <c r="GY1" s="94">
        <f>'BGM-9 (2) Detailed Summary'!AZ59-GZ16</f>
        <v>0</v>
      </c>
      <c r="GZ1" s="94">
        <f>+'BGM-9 (2) Detailed Summary'!AZ46-GZ23</f>
        <v>0</v>
      </c>
      <c r="HA1" s="94"/>
      <c r="HB1" s="94"/>
      <c r="HC1" s="94"/>
      <c r="HD1" s="94"/>
      <c r="HE1" s="94"/>
      <c r="HF1" s="94"/>
      <c r="HG1" s="94">
        <f>+'BGM-9 (2) Detailed Summary'!BA48-HG18</f>
        <v>0</v>
      </c>
      <c r="HH1" s="94">
        <f>+'BGM-9 (2) Detailed Summary'!BA46-HH27</f>
        <v>0</v>
      </c>
      <c r="HI1" s="94"/>
      <c r="HJ1" s="94"/>
      <c r="HK1" s="94"/>
      <c r="HL1" s="94"/>
      <c r="HM1" s="94"/>
      <c r="HN1" s="94"/>
      <c r="HO1" s="94"/>
      <c r="HP1" s="94">
        <f>+'BGM-9 (2) Detailed Summary'!BB46-HP21</f>
        <v>0</v>
      </c>
      <c r="HQ1" s="94"/>
      <c r="HR1" s="94"/>
      <c r="HS1" s="94"/>
      <c r="HT1" s="94"/>
      <c r="HU1" s="94"/>
      <c r="HV1" s="94">
        <f>+'BGM-9 (2) Detailed Summary'!BC59-HX19</f>
        <v>0</v>
      </c>
      <c r="HW1" s="94">
        <f>+'BGM-9 (2) Detailed Summary'!BC48-HW21</f>
        <v>0</v>
      </c>
      <c r="HX1" s="94">
        <f>+'BGM-9 (2) Detailed Summary'!BC46-HX30</f>
        <v>0</v>
      </c>
      <c r="HY1" s="94"/>
      <c r="HZ1" s="94"/>
      <c r="IA1" s="94"/>
      <c r="IB1" s="94"/>
      <c r="IC1" s="94"/>
      <c r="ID1" s="94"/>
      <c r="IE1" s="94"/>
      <c r="IF1" s="94"/>
    </row>
    <row r="2" spans="1:240" hidden="1" x14ac:dyDescent="0.2">
      <c r="G2" s="372"/>
      <c r="H2" s="373" t="str">
        <f>DOCKETNUMBER_E</f>
        <v>UE-190529</v>
      </c>
      <c r="O2" s="372"/>
      <c r="P2" s="373" t="str">
        <f>DOCKETNUMBER_E</f>
        <v>UE-190529</v>
      </c>
      <c r="W2" s="372"/>
      <c r="X2" s="373" t="str">
        <f>DOCKETNUMBER_E</f>
        <v>UE-190529</v>
      </c>
      <c r="AE2" s="372"/>
      <c r="AF2" s="373" t="str">
        <f>DOCKETNUMBER_E</f>
        <v>UE-190529</v>
      </c>
      <c r="AM2" s="372"/>
      <c r="AN2" s="373" t="str">
        <f>DOCKETNUMBER_E</f>
        <v>UE-190529</v>
      </c>
      <c r="AU2" s="372"/>
      <c r="AV2" s="373" t="str">
        <f>DOCKETNUMBER_E</f>
        <v>UE-190529</v>
      </c>
      <c r="BC2" s="372"/>
      <c r="BD2" s="373" t="str">
        <f>DOCKETNUMBER_E</f>
        <v>UE-190529</v>
      </c>
      <c r="BK2" s="372"/>
      <c r="BL2" s="373" t="str">
        <f>DOCKETNUMBER_E</f>
        <v>UE-190529</v>
      </c>
      <c r="BS2" s="372"/>
      <c r="BT2" s="373" t="str">
        <f>DOCKETNUMBER_E</f>
        <v>UE-190529</v>
      </c>
      <c r="CA2" s="372"/>
      <c r="CB2" s="373" t="str">
        <f>DOCKETNUMBER_E</f>
        <v>UE-190529</v>
      </c>
      <c r="CI2" s="372"/>
      <c r="CJ2" s="373" t="str">
        <f>DOCKETNUMBER_E</f>
        <v>UE-190529</v>
      </c>
      <c r="CQ2" s="372"/>
      <c r="CR2" s="373" t="str">
        <f>DOCKETNUMBER_E</f>
        <v>UE-190529</v>
      </c>
      <c r="CY2" s="372"/>
      <c r="CZ2" s="373" t="str">
        <f>DOCKETNUMBER_E</f>
        <v>UE-190529</v>
      </c>
      <c r="DG2" s="372"/>
      <c r="DH2" s="373" t="str">
        <f>DOCKETNUMBER_E</f>
        <v>UE-190529</v>
      </c>
      <c r="DO2" s="372"/>
      <c r="DP2" s="373" t="str">
        <f>DOCKETNUMBER_E</f>
        <v>UE-190529</v>
      </c>
      <c r="DW2" s="372"/>
      <c r="DX2" s="373" t="str">
        <f>DOCKETNUMBER_E</f>
        <v>UE-190529</v>
      </c>
      <c r="EE2" s="372"/>
      <c r="EF2" s="373" t="str">
        <f>DOCKETNUMBER_E</f>
        <v>UE-190529</v>
      </c>
      <c r="EM2" s="372"/>
      <c r="EN2" s="373" t="str">
        <f>DOCKETNUMBER_E</f>
        <v>UE-190529</v>
      </c>
      <c r="EU2" s="372"/>
      <c r="EV2" s="373" t="str">
        <f>DOCKETNUMBER_E</f>
        <v>UE-190529</v>
      </c>
      <c r="FC2" s="372"/>
      <c r="FD2" s="373" t="str">
        <f>DOCKETNUMBER_E</f>
        <v>UE-190529</v>
      </c>
      <c r="FK2" s="372"/>
      <c r="FL2" s="373" t="str">
        <f>DOCKETNUMBER_E</f>
        <v>UE-190529</v>
      </c>
      <c r="FS2" s="372"/>
      <c r="FT2" s="373" t="str">
        <f>DOCKETNUMBER_E</f>
        <v>UE-190529</v>
      </c>
      <c r="GA2" s="372"/>
      <c r="GB2" s="373" t="str">
        <f>DOCKETNUMBER_E</f>
        <v>UE-190529</v>
      </c>
      <c r="GI2" s="372"/>
      <c r="GJ2" s="373" t="str">
        <f>DOCKETNUMBER_E</f>
        <v>UE-190529</v>
      </c>
      <c r="GQ2" s="372"/>
      <c r="GR2" s="373" t="str">
        <f>DOCKETNUMBER_E</f>
        <v>UE-190529</v>
      </c>
      <c r="GY2" s="372"/>
      <c r="GZ2" s="373" t="str">
        <f>DOCKETNUMBER_E</f>
        <v>UE-190529</v>
      </c>
      <c r="HG2" s="372"/>
      <c r="HH2" s="373" t="str">
        <f>DOCKETNUMBER_E</f>
        <v>UE-190529</v>
      </c>
      <c r="HO2" s="372"/>
      <c r="HP2" s="373" t="str">
        <f>DOCKETNUMBER_E</f>
        <v>UE-190529</v>
      </c>
      <c r="HW2" s="372"/>
      <c r="HX2" s="373" t="str">
        <f>DOCKETNUMBER_E</f>
        <v>UE-190529</v>
      </c>
      <c r="IE2" s="800"/>
      <c r="IF2" s="801" t="s">
        <v>963</v>
      </c>
    </row>
    <row r="3" spans="1:240" ht="13.5" hidden="1" thickBot="1" x14ac:dyDescent="0.25">
      <c r="G3" s="374"/>
      <c r="H3" s="371" t="s">
        <v>811</v>
      </c>
      <c r="O3" s="374"/>
      <c r="P3" s="371" t="s">
        <v>812</v>
      </c>
      <c r="W3" s="374"/>
      <c r="X3" s="371" t="s">
        <v>813</v>
      </c>
      <c r="AE3" s="374"/>
      <c r="AF3" s="371" t="s">
        <v>814</v>
      </c>
      <c r="AK3" s="145"/>
      <c r="AM3" s="374"/>
      <c r="AN3" s="371" t="s">
        <v>815</v>
      </c>
      <c r="AU3" s="374"/>
      <c r="AV3" s="371" t="s">
        <v>816</v>
      </c>
      <c r="BC3" s="374"/>
      <c r="BD3" s="371" t="s">
        <v>817</v>
      </c>
      <c r="BK3" s="374"/>
      <c r="BL3" s="371" t="s">
        <v>818</v>
      </c>
      <c r="BS3" s="374"/>
      <c r="BT3" s="371" t="s">
        <v>819</v>
      </c>
      <c r="CA3" s="374"/>
      <c r="CB3" s="371" t="s">
        <v>820</v>
      </c>
      <c r="CI3" s="374"/>
      <c r="CJ3" s="371" t="s">
        <v>821</v>
      </c>
      <c r="CQ3" s="374"/>
      <c r="CR3" s="371" t="s">
        <v>822</v>
      </c>
      <c r="CY3" s="374"/>
      <c r="CZ3" s="371" t="s">
        <v>823</v>
      </c>
      <c r="DG3" s="374"/>
      <c r="DH3" s="371" t="s">
        <v>824</v>
      </c>
      <c r="DN3" s="5"/>
      <c r="DO3" s="374"/>
      <c r="DP3" s="371" t="s">
        <v>825</v>
      </c>
      <c r="DV3" s="5"/>
      <c r="DW3" s="374"/>
      <c r="DX3" s="371" t="s">
        <v>826</v>
      </c>
      <c r="EE3" s="374"/>
      <c r="EF3" s="371" t="s">
        <v>827</v>
      </c>
      <c r="EM3" s="374"/>
      <c r="EN3" s="371" t="s">
        <v>828</v>
      </c>
      <c r="EU3" s="374"/>
      <c r="EV3" s="371" t="s">
        <v>829</v>
      </c>
      <c r="FC3" s="374"/>
      <c r="FD3" s="371" t="s">
        <v>830</v>
      </c>
      <c r="FK3" s="374"/>
      <c r="FL3" s="371" t="s">
        <v>831</v>
      </c>
      <c r="FS3" s="374"/>
      <c r="FT3" s="371" t="s">
        <v>832</v>
      </c>
      <c r="GA3" s="374"/>
      <c r="GB3" s="371" t="s">
        <v>833</v>
      </c>
      <c r="GI3" s="374"/>
      <c r="GJ3" s="371" t="s">
        <v>834</v>
      </c>
      <c r="GQ3" s="374"/>
      <c r="GR3" s="371" t="s">
        <v>835</v>
      </c>
      <c r="GY3" s="374"/>
      <c r="GZ3" s="371" t="s">
        <v>836</v>
      </c>
      <c r="HG3" s="374"/>
      <c r="HH3" s="371" t="s">
        <v>837</v>
      </c>
      <c r="HO3" s="374"/>
      <c r="HP3" s="371" t="s">
        <v>838</v>
      </c>
      <c r="HW3" s="374"/>
      <c r="HX3" s="371" t="s">
        <v>839</v>
      </c>
      <c r="IE3" s="802"/>
      <c r="IF3" s="802" t="s">
        <v>836</v>
      </c>
    </row>
    <row r="4" spans="1:240" hidden="1" x14ac:dyDescent="0.2">
      <c r="A4" s="18"/>
      <c r="B4" s="18"/>
      <c r="C4" s="18"/>
      <c r="D4" s="18"/>
      <c r="E4" s="18"/>
      <c r="F4" s="18"/>
      <c r="G4" s="375"/>
      <c r="O4" s="375"/>
      <c r="X4" s="375"/>
      <c r="AE4" s="375"/>
      <c r="AM4" s="375"/>
      <c r="AU4" s="375"/>
      <c r="BC4" s="375"/>
      <c r="BK4" s="375"/>
      <c r="BS4" s="375"/>
      <c r="CA4" s="375"/>
      <c r="CI4" s="375"/>
      <c r="CQ4" s="375"/>
      <c r="CY4" s="375"/>
      <c r="DG4" s="375"/>
      <c r="DO4" s="375"/>
      <c r="DV4" s="5"/>
      <c r="DW4" s="375"/>
      <c r="EE4" s="375"/>
      <c r="EM4" s="375"/>
      <c r="EU4" s="375"/>
      <c r="FC4" s="375"/>
      <c r="FK4" s="375"/>
      <c r="FS4" s="375"/>
      <c r="GA4" s="375"/>
      <c r="GI4" s="375"/>
      <c r="GQ4" s="375"/>
      <c r="GY4" s="375"/>
      <c r="HG4" s="375"/>
      <c r="HO4" s="375"/>
      <c r="HW4" s="375"/>
      <c r="HY4" s="91"/>
      <c r="HZ4" s="91"/>
      <c r="IA4" s="91"/>
      <c r="IB4" s="91"/>
      <c r="IC4" s="91"/>
      <c r="ID4" s="91"/>
      <c r="IE4" s="91"/>
      <c r="IF4" s="91"/>
    </row>
    <row r="5" spans="1:240" s="91" customFormat="1" x14ac:dyDescent="0.2">
      <c r="A5" s="90" t="str">
        <f>Comp_E</f>
        <v>PUGET SOUND ENERGY - ELECTRIC -AWEC CROSS ANSWERING</v>
      </c>
      <c r="B5" s="90"/>
      <c r="C5" s="90"/>
      <c r="D5" s="90"/>
      <c r="E5" s="90"/>
      <c r="F5" s="90"/>
      <c r="G5" s="90"/>
      <c r="H5" s="90"/>
      <c r="I5" s="90" t="str">
        <f>Comp_E</f>
        <v>PUGET SOUND ENERGY - ELECTRIC -AWEC CROSS ANSWERING</v>
      </c>
      <c r="J5" s="90"/>
      <c r="K5" s="90"/>
      <c r="L5" s="90"/>
      <c r="M5" s="90"/>
      <c r="N5" s="90"/>
      <c r="O5" s="90"/>
      <c r="P5" s="90"/>
      <c r="Q5" s="90" t="str">
        <f>Comp_E</f>
        <v>PUGET SOUND ENERGY - ELECTRIC -AWEC CROSS ANSWERING</v>
      </c>
      <c r="R5" s="90"/>
      <c r="S5" s="90"/>
      <c r="T5" s="90"/>
      <c r="U5" s="90"/>
      <c r="V5" s="90"/>
      <c r="W5" s="90"/>
      <c r="X5" s="90"/>
      <c r="Y5" s="90" t="str">
        <f>Comp_E</f>
        <v>PUGET SOUND ENERGY - ELECTRIC -AWEC CROSS ANSWERING</v>
      </c>
      <c r="Z5" s="90"/>
      <c r="AA5" s="90"/>
      <c r="AB5" s="90"/>
      <c r="AC5" s="90"/>
      <c r="AD5" s="90"/>
      <c r="AE5" s="90"/>
      <c r="AF5" s="90"/>
      <c r="AG5" s="90" t="str">
        <f>Comp_E</f>
        <v>PUGET SOUND ENERGY - ELECTRIC -AWEC CROSS ANSWERING</v>
      </c>
      <c r="AH5" s="90"/>
      <c r="AI5" s="90"/>
      <c r="AJ5" s="90"/>
      <c r="AK5" s="90"/>
      <c r="AL5" s="90"/>
      <c r="AM5" s="90"/>
      <c r="AN5" s="90"/>
      <c r="AO5" s="90" t="str">
        <f>Comp_E</f>
        <v>PUGET SOUND ENERGY - ELECTRIC -AWEC CROSS ANSWERING</v>
      </c>
      <c r="AP5" s="90"/>
      <c r="AQ5" s="90"/>
      <c r="AR5" s="90"/>
      <c r="AS5" s="90"/>
      <c r="AT5" s="90"/>
      <c r="AU5" s="90"/>
      <c r="AV5" s="90"/>
      <c r="AW5" s="90" t="str">
        <f>Comp_E</f>
        <v>PUGET SOUND ENERGY - ELECTRIC -AWEC CROSS ANSWERING</v>
      </c>
      <c r="AX5" s="90"/>
      <c r="AY5" s="90"/>
      <c r="AZ5" s="90"/>
      <c r="BA5" s="90"/>
      <c r="BB5" s="90"/>
      <c r="BC5" s="90"/>
      <c r="BD5" s="90"/>
      <c r="BE5" s="90" t="str">
        <f>Comp_E</f>
        <v>PUGET SOUND ENERGY - ELECTRIC -AWEC CROSS ANSWERING</v>
      </c>
      <c r="BF5" s="90"/>
      <c r="BG5" s="90"/>
      <c r="BH5" s="90"/>
      <c r="BI5" s="90"/>
      <c r="BJ5" s="90"/>
      <c r="BK5" s="90"/>
      <c r="BL5" s="90"/>
      <c r="BM5" s="90" t="str">
        <f>Comp_E</f>
        <v>PUGET SOUND ENERGY - ELECTRIC -AWEC CROSS ANSWERING</v>
      </c>
      <c r="BN5" s="90"/>
      <c r="BO5" s="90"/>
      <c r="BP5" s="90"/>
      <c r="BQ5" s="90"/>
      <c r="BR5" s="90"/>
      <c r="BS5" s="90"/>
      <c r="BT5" s="90"/>
      <c r="BU5" s="90" t="str">
        <f>Comp_E</f>
        <v>PUGET SOUND ENERGY - ELECTRIC -AWEC CROSS ANSWERING</v>
      </c>
      <c r="BV5" s="90"/>
      <c r="BW5" s="90"/>
      <c r="BX5" s="90"/>
      <c r="BY5" s="90"/>
      <c r="BZ5" s="90"/>
      <c r="CA5" s="90"/>
      <c r="CB5" s="90"/>
      <c r="CC5" s="90" t="str">
        <f>Comp_E</f>
        <v>PUGET SOUND ENERGY - ELECTRIC -AWEC CROSS ANSWERING</v>
      </c>
      <c r="CD5" s="90"/>
      <c r="CE5" s="90"/>
      <c r="CF5" s="90"/>
      <c r="CG5" s="90"/>
      <c r="CH5" s="90"/>
      <c r="CI5" s="90"/>
      <c r="CJ5" s="90"/>
      <c r="CK5" s="90" t="str">
        <f>Comp_E</f>
        <v>PUGET SOUND ENERGY - ELECTRIC -AWEC CROSS ANSWERING</v>
      </c>
      <c r="CL5" s="90"/>
      <c r="CM5" s="90"/>
      <c r="CN5" s="90"/>
      <c r="CO5" s="90"/>
      <c r="CP5" s="90"/>
      <c r="CQ5" s="90"/>
      <c r="CR5" s="90"/>
      <c r="CS5" s="90" t="str">
        <f>Comp_E</f>
        <v>PUGET SOUND ENERGY - ELECTRIC -AWEC CROSS ANSWERING</v>
      </c>
      <c r="CT5" s="90"/>
      <c r="CU5" s="90"/>
      <c r="CV5" s="90"/>
      <c r="CW5" s="90"/>
      <c r="CX5" s="90"/>
      <c r="CY5" s="90"/>
      <c r="CZ5" s="90"/>
      <c r="DA5" s="90" t="str">
        <f>Comp_E</f>
        <v>PUGET SOUND ENERGY - ELECTRIC -AWEC CROSS ANSWERING</v>
      </c>
      <c r="DB5" s="90"/>
      <c r="DC5" s="90"/>
      <c r="DD5" s="90"/>
      <c r="DE5" s="90"/>
      <c r="DF5" s="90"/>
      <c r="DG5" s="90"/>
      <c r="DH5" s="90"/>
      <c r="DI5" s="90" t="str">
        <f>Comp_E</f>
        <v>PUGET SOUND ENERGY - ELECTRIC -AWEC CROSS ANSWERING</v>
      </c>
      <c r="DJ5" s="90"/>
      <c r="DK5" s="90"/>
      <c r="DL5" s="90"/>
      <c r="DM5" s="90"/>
      <c r="DN5" s="90"/>
      <c r="DO5" s="90"/>
      <c r="DP5" s="90"/>
      <c r="DQ5" s="90" t="str">
        <f>Comp_E</f>
        <v>PUGET SOUND ENERGY - ELECTRIC -AWEC CROSS ANSWERING</v>
      </c>
      <c r="DR5" s="90"/>
      <c r="DS5" s="90"/>
      <c r="DT5" s="90"/>
      <c r="DU5" s="90"/>
      <c r="DV5" s="90"/>
      <c r="DW5" s="90"/>
      <c r="DX5" s="90"/>
      <c r="DY5" s="90" t="str">
        <f>Comp_E</f>
        <v>PUGET SOUND ENERGY - ELECTRIC -AWEC CROSS ANSWERING</v>
      </c>
      <c r="DZ5" s="90"/>
      <c r="EA5" s="90"/>
      <c r="EB5" s="90"/>
      <c r="EC5" s="90"/>
      <c r="ED5" s="90"/>
      <c r="EE5" s="90"/>
      <c r="EF5" s="90"/>
      <c r="EG5" s="90" t="str">
        <f>Comp_E</f>
        <v>PUGET SOUND ENERGY - ELECTRIC -AWEC CROSS ANSWERING</v>
      </c>
      <c r="EH5" s="90"/>
      <c r="EI5" s="90"/>
      <c r="EJ5" s="90"/>
      <c r="EK5" s="90"/>
      <c r="EL5" s="90"/>
      <c r="EM5" s="90"/>
      <c r="EN5" s="90"/>
      <c r="EO5" s="90" t="str">
        <f>Comp_E</f>
        <v>PUGET SOUND ENERGY - ELECTRIC -AWEC CROSS ANSWERING</v>
      </c>
      <c r="EP5" s="90"/>
      <c r="EQ5" s="90"/>
      <c r="ER5" s="90"/>
      <c r="ES5" s="90"/>
      <c r="ET5" s="90"/>
      <c r="EU5" s="90"/>
      <c r="EV5" s="90"/>
      <c r="EW5" s="90" t="str">
        <f>Comp_E</f>
        <v>PUGET SOUND ENERGY - ELECTRIC -AWEC CROSS ANSWERING</v>
      </c>
      <c r="EX5" s="90"/>
      <c r="EY5" s="90"/>
      <c r="EZ5" s="90"/>
      <c r="FA5" s="90"/>
      <c r="FB5" s="90"/>
      <c r="FC5" s="90"/>
      <c r="FD5" s="90"/>
      <c r="FE5" s="90" t="str">
        <f>Comp_E</f>
        <v>PUGET SOUND ENERGY - ELECTRIC -AWEC CROSS ANSWERING</v>
      </c>
      <c r="FF5" s="90"/>
      <c r="FG5" s="90"/>
      <c r="FH5" s="90"/>
      <c r="FI5" s="90"/>
      <c r="FJ5" s="90"/>
      <c r="FK5" s="90"/>
      <c r="FL5" s="90"/>
      <c r="FM5" s="90" t="str">
        <f>Comp_E</f>
        <v>PUGET SOUND ENERGY - ELECTRIC -AWEC CROSS ANSWERING</v>
      </c>
      <c r="FN5" s="90"/>
      <c r="FO5" s="90"/>
      <c r="FP5" s="90"/>
      <c r="FQ5" s="90"/>
      <c r="FR5" s="90"/>
      <c r="FS5" s="90"/>
      <c r="FT5" s="90"/>
      <c r="FU5" s="90" t="str">
        <f>Comp_E</f>
        <v>PUGET SOUND ENERGY - ELECTRIC -AWEC CROSS ANSWERING</v>
      </c>
      <c r="FV5" s="90"/>
      <c r="FW5" s="90"/>
      <c r="FX5" s="90"/>
      <c r="FY5" s="90"/>
      <c r="FZ5" s="90"/>
      <c r="GA5" s="90"/>
      <c r="GB5" s="90"/>
      <c r="GC5" s="90" t="str">
        <f>Comp_E</f>
        <v>PUGET SOUND ENERGY - ELECTRIC -AWEC CROSS ANSWERING</v>
      </c>
      <c r="GD5" s="90"/>
      <c r="GE5" s="90"/>
      <c r="GF5" s="90"/>
      <c r="GG5" s="90"/>
      <c r="GH5" s="90"/>
      <c r="GI5" s="90"/>
      <c r="GJ5" s="90"/>
      <c r="GK5" s="90" t="str">
        <f>Comp_E</f>
        <v>PUGET SOUND ENERGY - ELECTRIC -AWEC CROSS ANSWERING</v>
      </c>
      <c r="GL5" s="90"/>
      <c r="GM5" s="90"/>
      <c r="GN5" s="90"/>
      <c r="GO5" s="90"/>
      <c r="GP5" s="90"/>
      <c r="GQ5" s="90"/>
      <c r="GR5" s="90"/>
      <c r="GS5" s="90" t="str">
        <f>Comp_E</f>
        <v>PUGET SOUND ENERGY - ELECTRIC -AWEC CROSS ANSWERING</v>
      </c>
      <c r="GT5" s="90"/>
      <c r="GU5" s="90"/>
      <c r="GV5" s="90"/>
      <c r="GW5" s="90"/>
      <c r="GX5" s="90"/>
      <c r="GY5" s="90"/>
      <c r="GZ5" s="90"/>
      <c r="HA5" s="90" t="str">
        <f>Comp_E</f>
        <v>PUGET SOUND ENERGY - ELECTRIC -AWEC CROSS ANSWERING</v>
      </c>
      <c r="HB5" s="90"/>
      <c r="HC5" s="90"/>
      <c r="HD5" s="90"/>
      <c r="HE5" s="90"/>
      <c r="HF5" s="90"/>
      <c r="HG5" s="90"/>
      <c r="HH5" s="90"/>
      <c r="HI5" s="90" t="str">
        <f>Comp_E</f>
        <v>PUGET SOUND ENERGY - ELECTRIC -AWEC CROSS ANSWERING</v>
      </c>
      <c r="HJ5" s="90"/>
      <c r="HK5" s="90"/>
      <c r="HL5" s="90"/>
      <c r="HM5" s="90"/>
      <c r="HN5" s="90"/>
      <c r="HO5" s="90"/>
      <c r="HP5" s="90"/>
      <c r="HQ5" s="90" t="str">
        <f>Comp_E</f>
        <v>PUGET SOUND ENERGY - ELECTRIC -AWEC CROSS ANSWERING</v>
      </c>
      <c r="HR5" s="90"/>
      <c r="HS5" s="90"/>
      <c r="HT5" s="90"/>
      <c r="HU5" s="90"/>
      <c r="HV5" s="90"/>
      <c r="HW5" s="90"/>
      <c r="HX5" s="90"/>
      <c r="HY5" s="90" t="s">
        <v>964</v>
      </c>
      <c r="HZ5" s="90"/>
      <c r="IA5" s="90"/>
      <c r="IB5" s="90"/>
      <c r="IC5" s="90"/>
      <c r="ID5" s="90"/>
      <c r="IE5" s="90"/>
      <c r="IF5" s="90"/>
    </row>
    <row r="6" spans="1:240" s="89" customFormat="1" x14ac:dyDescent="0.2">
      <c r="A6" s="85" t="s">
        <v>129</v>
      </c>
      <c r="B6" s="85"/>
      <c r="C6" s="85"/>
      <c r="D6" s="85"/>
      <c r="E6" s="85"/>
      <c r="F6" s="85"/>
      <c r="G6" s="85"/>
      <c r="H6" s="85"/>
      <c r="I6" s="85" t="s">
        <v>500</v>
      </c>
      <c r="J6" s="85"/>
      <c r="K6" s="85"/>
      <c r="L6" s="85"/>
      <c r="M6" s="85"/>
      <c r="N6" s="85"/>
      <c r="O6" s="85"/>
      <c r="P6" s="85"/>
      <c r="Q6" s="85" t="s">
        <v>145</v>
      </c>
      <c r="R6" s="85"/>
      <c r="S6" s="85"/>
      <c r="T6" s="85"/>
      <c r="U6" s="85"/>
      <c r="V6" s="85"/>
      <c r="W6" s="85"/>
      <c r="X6" s="85"/>
      <c r="Y6" s="85" t="s">
        <v>149</v>
      </c>
      <c r="Z6" s="85"/>
      <c r="AA6" s="85"/>
      <c r="AB6" s="85"/>
      <c r="AC6" s="85"/>
      <c r="AD6" s="85"/>
      <c r="AE6" s="85"/>
      <c r="AF6" s="85"/>
      <c r="AG6" s="86" t="s">
        <v>144</v>
      </c>
      <c r="AH6" s="85"/>
      <c r="AI6" s="85"/>
      <c r="AJ6" s="85"/>
      <c r="AK6" s="85"/>
      <c r="AL6" s="85"/>
      <c r="AM6" s="85"/>
      <c r="AN6" s="85"/>
      <c r="AO6" s="85" t="s">
        <v>156</v>
      </c>
      <c r="AP6" s="85"/>
      <c r="AQ6" s="85"/>
      <c r="AR6" s="85"/>
      <c r="AS6" s="85"/>
      <c r="AT6" s="85"/>
      <c r="AU6" s="85"/>
      <c r="AV6" s="85"/>
      <c r="AW6" s="85" t="s">
        <v>82</v>
      </c>
      <c r="AX6" s="85"/>
      <c r="AY6" s="85"/>
      <c r="AZ6" s="85"/>
      <c r="BA6" s="85"/>
      <c r="BB6" s="85"/>
      <c r="BC6" s="85"/>
      <c r="BD6" s="85"/>
      <c r="BE6" s="87" t="s">
        <v>161</v>
      </c>
      <c r="BF6" s="85"/>
      <c r="BG6" s="85"/>
      <c r="BH6" s="85"/>
      <c r="BI6" s="85"/>
      <c r="BJ6" s="85"/>
      <c r="BK6" s="85"/>
      <c r="BL6" s="85"/>
      <c r="BM6" s="85" t="s">
        <v>168</v>
      </c>
      <c r="BN6" s="85"/>
      <c r="BO6" s="85"/>
      <c r="BP6" s="85"/>
      <c r="BQ6" s="85"/>
      <c r="BR6" s="85"/>
      <c r="BS6" s="85"/>
      <c r="BT6" s="85"/>
      <c r="BU6" s="87" t="s">
        <v>170</v>
      </c>
      <c r="BV6" s="85"/>
      <c r="BW6" s="85"/>
      <c r="BX6" s="85"/>
      <c r="BY6" s="85"/>
      <c r="BZ6" s="85"/>
      <c r="CA6" s="85"/>
      <c r="CB6" s="85"/>
      <c r="CC6" s="86" t="s">
        <v>171</v>
      </c>
      <c r="CD6" s="85"/>
      <c r="CE6" s="85"/>
      <c r="CF6" s="85"/>
      <c r="CG6" s="85"/>
      <c r="CH6" s="85"/>
      <c r="CI6" s="85"/>
      <c r="CJ6" s="85"/>
      <c r="CK6" s="86" t="s">
        <v>173</v>
      </c>
      <c r="CL6" s="85"/>
      <c r="CM6" s="85"/>
      <c r="CN6" s="85"/>
      <c r="CO6" s="85"/>
      <c r="CP6" s="85"/>
      <c r="CQ6" s="85"/>
      <c r="CR6" s="85"/>
      <c r="CS6" s="86" t="s">
        <v>179</v>
      </c>
      <c r="CT6" s="85"/>
      <c r="CU6" s="85"/>
      <c r="CV6" s="85"/>
      <c r="CW6" s="85"/>
      <c r="CX6" s="85"/>
      <c r="CY6" s="86"/>
      <c r="CZ6" s="85"/>
      <c r="DA6" s="86" t="s">
        <v>175</v>
      </c>
      <c r="DB6" s="85"/>
      <c r="DC6" s="85"/>
      <c r="DD6" s="85"/>
      <c r="DE6" s="85"/>
      <c r="DF6" s="85"/>
      <c r="DG6" s="86"/>
      <c r="DH6" s="85"/>
      <c r="DI6" s="87" t="s">
        <v>181</v>
      </c>
      <c r="DJ6" s="85"/>
      <c r="DK6" s="85"/>
      <c r="DL6" s="85"/>
      <c r="DM6" s="85"/>
      <c r="DN6" s="85"/>
      <c r="DO6" s="86"/>
      <c r="DP6" s="85"/>
      <c r="DQ6" s="87" t="s">
        <v>185</v>
      </c>
      <c r="DR6" s="85"/>
      <c r="DS6" s="85"/>
      <c r="DT6" s="85"/>
      <c r="DU6" s="85"/>
      <c r="DV6" s="85"/>
      <c r="DW6" s="86"/>
      <c r="DX6" s="85"/>
      <c r="DY6" s="87" t="s">
        <v>202</v>
      </c>
      <c r="DZ6" s="85"/>
      <c r="EA6" s="85"/>
      <c r="EB6" s="85"/>
      <c r="EC6" s="85"/>
      <c r="ED6" s="85"/>
      <c r="EE6" s="86"/>
      <c r="EF6" s="85"/>
      <c r="EG6" s="86" t="s">
        <v>357</v>
      </c>
      <c r="EH6" s="86"/>
      <c r="EI6" s="86"/>
      <c r="EJ6" s="86"/>
      <c r="EK6" s="86"/>
      <c r="EL6" s="85"/>
      <c r="EM6" s="85"/>
      <c r="EN6" s="86"/>
      <c r="EO6" s="86" t="s">
        <v>492</v>
      </c>
      <c r="EP6" s="86"/>
      <c r="EQ6" s="86"/>
      <c r="ER6" s="86"/>
      <c r="ES6" s="86"/>
      <c r="ET6" s="86"/>
      <c r="EU6" s="86"/>
      <c r="EV6" s="86"/>
      <c r="EW6" s="86" t="s">
        <v>176</v>
      </c>
      <c r="EX6" s="86"/>
      <c r="EY6" s="86"/>
      <c r="EZ6" s="86"/>
      <c r="FA6" s="86"/>
      <c r="FB6" s="85"/>
      <c r="FC6" s="85"/>
      <c r="FD6" s="86"/>
      <c r="FE6" s="87" t="s">
        <v>210</v>
      </c>
      <c r="FF6" s="85"/>
      <c r="FG6" s="85"/>
      <c r="FH6" s="85"/>
      <c r="FI6" s="85"/>
      <c r="FJ6" s="85"/>
      <c r="FK6" s="85"/>
      <c r="FL6" s="85"/>
      <c r="FM6" s="86" t="s">
        <v>259</v>
      </c>
      <c r="FN6" s="85"/>
      <c r="FO6" s="85"/>
      <c r="FP6" s="85"/>
      <c r="FQ6" s="85"/>
      <c r="FR6" s="85"/>
      <c r="FS6" s="85"/>
      <c r="FT6" s="85"/>
      <c r="FU6" s="86" t="s">
        <v>413</v>
      </c>
      <c r="FV6" s="86"/>
      <c r="FW6" s="86"/>
      <c r="FX6" s="86"/>
      <c r="FY6" s="86"/>
      <c r="FZ6" s="86"/>
      <c r="GA6" s="86"/>
      <c r="GB6" s="86"/>
      <c r="GC6" s="86" t="s">
        <v>485</v>
      </c>
      <c r="GD6" s="86"/>
      <c r="GE6" s="86"/>
      <c r="GF6" s="86"/>
      <c r="GG6" s="86"/>
      <c r="GH6" s="86"/>
      <c r="GI6" s="86"/>
      <c r="GJ6" s="86"/>
      <c r="GK6" s="86" t="s">
        <v>493</v>
      </c>
      <c r="GL6" s="86"/>
      <c r="GM6" s="86"/>
      <c r="GN6" s="86"/>
      <c r="GO6" s="86"/>
      <c r="GP6" s="86"/>
      <c r="GQ6" s="86"/>
      <c r="GR6" s="86"/>
      <c r="GS6" s="85" t="s">
        <v>569</v>
      </c>
      <c r="GT6" s="86"/>
      <c r="GU6" s="86"/>
      <c r="GV6" s="86"/>
      <c r="GW6" s="86"/>
      <c r="GX6" s="86"/>
      <c r="GY6" s="86"/>
      <c r="GZ6" s="86"/>
      <c r="HA6" s="86" t="s">
        <v>422</v>
      </c>
      <c r="HB6" s="86"/>
      <c r="HC6" s="86"/>
      <c r="HD6" s="86"/>
      <c r="HE6" s="86"/>
      <c r="HF6" s="86"/>
      <c r="HG6" s="86"/>
      <c r="HH6" s="86"/>
      <c r="HI6" s="86" t="s">
        <v>457</v>
      </c>
      <c r="HJ6" s="86"/>
      <c r="HK6" s="86"/>
      <c r="HL6" s="86"/>
      <c r="HM6" s="86"/>
      <c r="HN6" s="86"/>
      <c r="HO6" s="86"/>
      <c r="HP6" s="86"/>
      <c r="HQ6" s="86" t="s">
        <v>488</v>
      </c>
      <c r="HR6" s="86"/>
      <c r="HS6" s="86"/>
      <c r="HT6" s="86"/>
      <c r="HU6" s="86"/>
      <c r="HV6" s="86"/>
      <c r="HW6" s="86"/>
      <c r="HX6" s="86"/>
      <c r="HY6" s="85" t="s">
        <v>1007</v>
      </c>
      <c r="HZ6" s="85"/>
      <c r="IA6" s="85"/>
      <c r="IB6" s="85"/>
      <c r="IC6" s="85"/>
      <c r="ID6" s="85"/>
      <c r="IE6" s="85"/>
      <c r="IF6" s="85"/>
    </row>
    <row r="7" spans="1:240" s="91" customFormat="1" x14ac:dyDescent="0.2">
      <c r="A7" s="90" t="str">
        <f>TESTYEAR_E</f>
        <v>12 MONTHS ENDED DECEMBER 31, 2018</v>
      </c>
      <c r="B7" s="90"/>
      <c r="C7" s="90"/>
      <c r="D7" s="90"/>
      <c r="E7" s="90"/>
      <c r="F7" s="90"/>
      <c r="G7" s="90"/>
      <c r="H7" s="90"/>
      <c r="I7" s="90" t="str">
        <f>TESTYEAR_E</f>
        <v>12 MONTHS ENDED DECEMBER 31, 2018</v>
      </c>
      <c r="J7" s="90"/>
      <c r="K7" s="90"/>
      <c r="L7" s="90"/>
      <c r="M7" s="90"/>
      <c r="N7" s="90"/>
      <c r="O7" s="90"/>
      <c r="P7" s="90"/>
      <c r="Q7" s="90" t="str">
        <f>TESTYEAR_E</f>
        <v>12 MONTHS ENDED DECEMBER 31, 2018</v>
      </c>
      <c r="R7" s="90"/>
      <c r="S7" s="90"/>
      <c r="T7" s="90"/>
      <c r="U7" s="90"/>
      <c r="V7" s="90"/>
      <c r="W7" s="90"/>
      <c r="X7" s="90"/>
      <c r="Y7" s="90" t="str">
        <f>TESTYEAR_E</f>
        <v>12 MONTHS ENDED DECEMBER 31, 2018</v>
      </c>
      <c r="Z7" s="90"/>
      <c r="AA7" s="90"/>
      <c r="AB7" s="90"/>
      <c r="AC7" s="90"/>
      <c r="AD7" s="90"/>
      <c r="AE7" s="90"/>
      <c r="AF7" s="90"/>
      <c r="AG7" s="90" t="str">
        <f>TESTYEAR_E</f>
        <v>12 MONTHS ENDED DECEMBER 31, 2018</v>
      </c>
      <c r="AH7" s="90"/>
      <c r="AI7" s="90"/>
      <c r="AJ7" s="90"/>
      <c r="AK7" s="90"/>
      <c r="AL7" s="90"/>
      <c r="AM7" s="90"/>
      <c r="AN7" s="90"/>
      <c r="AO7" s="90" t="str">
        <f>TESTYEAR_E</f>
        <v>12 MONTHS ENDED DECEMBER 31, 2018</v>
      </c>
      <c r="AP7" s="90"/>
      <c r="AQ7" s="90"/>
      <c r="AR7" s="90"/>
      <c r="AS7" s="90"/>
      <c r="AT7" s="90"/>
      <c r="AU7" s="90"/>
      <c r="AV7" s="90"/>
      <c r="AW7" s="90" t="str">
        <f>TESTYEAR_E</f>
        <v>12 MONTHS ENDED DECEMBER 31, 2018</v>
      </c>
      <c r="AX7" s="90"/>
      <c r="AY7" s="90"/>
      <c r="AZ7" s="90"/>
      <c r="BA7" s="90"/>
      <c r="BB7" s="90"/>
      <c r="BC7" s="90"/>
      <c r="BD7" s="90"/>
      <c r="BE7" s="90" t="str">
        <f>TESTYEAR_E</f>
        <v>12 MONTHS ENDED DECEMBER 31, 2018</v>
      </c>
      <c r="BF7" s="90"/>
      <c r="BG7" s="90"/>
      <c r="BH7" s="90"/>
      <c r="BI7" s="90"/>
      <c r="BJ7" s="90"/>
      <c r="BK7" s="90"/>
      <c r="BL7" s="90"/>
      <c r="BM7" s="90" t="str">
        <f>TESTYEAR_E</f>
        <v>12 MONTHS ENDED DECEMBER 31, 2018</v>
      </c>
      <c r="BN7" s="90"/>
      <c r="BO7" s="90"/>
      <c r="BP7" s="90"/>
      <c r="BQ7" s="90"/>
      <c r="BR7" s="90"/>
      <c r="BS7" s="90"/>
      <c r="BT7" s="90"/>
      <c r="BU7" s="90" t="str">
        <f>TESTYEAR_E</f>
        <v>12 MONTHS ENDED DECEMBER 31, 2018</v>
      </c>
      <c r="BV7" s="90"/>
      <c r="BW7" s="90"/>
      <c r="BX7" s="90"/>
      <c r="BY7" s="90"/>
      <c r="BZ7" s="90"/>
      <c r="CA7" s="90"/>
      <c r="CB7" s="90"/>
      <c r="CC7" s="90" t="str">
        <f>TESTYEAR_E</f>
        <v>12 MONTHS ENDED DECEMBER 31, 2018</v>
      </c>
      <c r="CD7" s="90"/>
      <c r="CE7" s="90"/>
      <c r="CF7" s="90"/>
      <c r="CG7" s="90"/>
      <c r="CH7" s="90"/>
      <c r="CI7" s="90"/>
      <c r="CJ7" s="90"/>
      <c r="CK7" s="90" t="str">
        <f>TESTYEAR_E</f>
        <v>12 MONTHS ENDED DECEMBER 31, 2018</v>
      </c>
      <c r="CL7" s="90"/>
      <c r="CM7" s="90"/>
      <c r="CN7" s="90"/>
      <c r="CO7" s="90"/>
      <c r="CP7" s="90"/>
      <c r="CQ7" s="90"/>
      <c r="CR7" s="90"/>
      <c r="CS7" s="90" t="str">
        <f>TESTYEAR_E</f>
        <v>12 MONTHS ENDED DECEMBER 31, 2018</v>
      </c>
      <c r="CT7" s="90"/>
      <c r="CU7" s="90"/>
      <c r="CV7" s="90"/>
      <c r="CW7" s="90"/>
      <c r="CX7" s="90"/>
      <c r="CY7" s="90"/>
      <c r="CZ7" s="90"/>
      <c r="DA7" s="90" t="str">
        <f>TESTYEAR_E</f>
        <v>12 MONTHS ENDED DECEMBER 31, 2018</v>
      </c>
      <c r="DB7" s="90"/>
      <c r="DC7" s="90"/>
      <c r="DD7" s="90"/>
      <c r="DE7" s="90"/>
      <c r="DF7" s="90"/>
      <c r="DG7" s="90"/>
      <c r="DH7" s="90"/>
      <c r="DI7" s="90" t="str">
        <f>TESTYEAR_E</f>
        <v>12 MONTHS ENDED DECEMBER 31, 2018</v>
      </c>
      <c r="DJ7" s="90"/>
      <c r="DK7" s="90"/>
      <c r="DL7" s="90"/>
      <c r="DM7" s="90"/>
      <c r="DN7" s="90"/>
      <c r="DO7" s="90"/>
      <c r="DP7" s="90"/>
      <c r="DQ7" s="90" t="str">
        <f>TESTYEAR_E</f>
        <v>12 MONTHS ENDED DECEMBER 31, 2018</v>
      </c>
      <c r="DR7" s="90"/>
      <c r="DS7" s="90"/>
      <c r="DT7" s="90"/>
      <c r="DU7" s="90"/>
      <c r="DV7" s="90"/>
      <c r="DW7" s="90"/>
      <c r="DX7" s="90"/>
      <c r="DY7" s="90" t="str">
        <f>TESTYEAR_E</f>
        <v>12 MONTHS ENDED DECEMBER 31, 2018</v>
      </c>
      <c r="DZ7" s="90"/>
      <c r="EA7" s="90"/>
      <c r="EB7" s="90"/>
      <c r="EC7" s="90"/>
      <c r="ED7" s="90"/>
      <c r="EE7" s="90"/>
      <c r="EF7" s="90"/>
      <c r="EG7" s="90" t="str">
        <f>TESTYEAR_E</f>
        <v>12 MONTHS ENDED DECEMBER 31, 2018</v>
      </c>
      <c r="EH7" s="90"/>
      <c r="EI7" s="90"/>
      <c r="EJ7" s="90"/>
      <c r="EK7" s="90"/>
      <c r="EL7" s="90"/>
      <c r="EM7" s="90"/>
      <c r="EN7" s="90"/>
      <c r="EO7" s="90" t="str">
        <f>TESTYEAR_E</f>
        <v>12 MONTHS ENDED DECEMBER 31, 2018</v>
      </c>
      <c r="EP7" s="90"/>
      <c r="EQ7" s="90"/>
      <c r="ER7" s="90"/>
      <c r="ES7" s="90"/>
      <c r="ET7" s="90"/>
      <c r="EU7" s="90"/>
      <c r="EV7" s="90"/>
      <c r="EW7" s="90" t="str">
        <f>TESTYEAR_E</f>
        <v>12 MONTHS ENDED DECEMBER 31, 2018</v>
      </c>
      <c r="EX7" s="90"/>
      <c r="EY7" s="90"/>
      <c r="EZ7" s="90"/>
      <c r="FA7" s="90"/>
      <c r="FB7" s="90"/>
      <c r="FC7" s="90"/>
      <c r="FD7" s="90"/>
      <c r="FE7" s="90" t="str">
        <f>TESTYEAR_E</f>
        <v>12 MONTHS ENDED DECEMBER 31, 2018</v>
      </c>
      <c r="FF7" s="90"/>
      <c r="FG7" s="90"/>
      <c r="FH7" s="90"/>
      <c r="FI7" s="90"/>
      <c r="FJ7" s="90"/>
      <c r="FK7" s="90"/>
      <c r="FL7" s="90"/>
      <c r="FM7" s="90" t="str">
        <f>TESTYEAR_E</f>
        <v>12 MONTHS ENDED DECEMBER 31, 2018</v>
      </c>
      <c r="FN7" s="90"/>
      <c r="FO7" s="90"/>
      <c r="FP7" s="90"/>
      <c r="FQ7" s="90"/>
      <c r="FR7" s="90"/>
      <c r="FS7" s="90"/>
      <c r="FT7" s="90"/>
      <c r="FU7" s="90" t="s">
        <v>273</v>
      </c>
      <c r="FV7" s="90"/>
      <c r="FW7" s="90"/>
      <c r="FX7" s="90"/>
      <c r="FY7" s="90"/>
      <c r="FZ7" s="90"/>
      <c r="GA7" s="90"/>
      <c r="GB7" s="90"/>
      <c r="GC7" s="90" t="s">
        <v>273</v>
      </c>
      <c r="GD7" s="90"/>
      <c r="GE7" s="90"/>
      <c r="GF7" s="90"/>
      <c r="GG7" s="90"/>
      <c r="GH7" s="90"/>
      <c r="GI7" s="90"/>
      <c r="GJ7" s="90"/>
      <c r="GK7" s="90" t="s">
        <v>273</v>
      </c>
      <c r="GL7" s="90"/>
      <c r="GM7" s="90"/>
      <c r="GN7" s="90"/>
      <c r="GO7" s="90"/>
      <c r="GP7" s="90"/>
      <c r="GQ7" s="90"/>
      <c r="GR7" s="90"/>
      <c r="GS7" s="90" t="s">
        <v>273</v>
      </c>
      <c r="GT7" s="90"/>
      <c r="GU7" s="90"/>
      <c r="GV7" s="90"/>
      <c r="GW7" s="90"/>
      <c r="GX7" s="90"/>
      <c r="GY7" s="90"/>
      <c r="GZ7" s="90"/>
      <c r="HA7" s="90" t="s">
        <v>273</v>
      </c>
      <c r="HB7" s="90"/>
      <c r="HC7" s="90"/>
      <c r="HD7" s="90"/>
      <c r="HE7" s="90"/>
      <c r="HF7" s="90"/>
      <c r="HG7" s="90"/>
      <c r="HH7" s="90"/>
      <c r="HI7" s="90" t="s">
        <v>273</v>
      </c>
      <c r="HJ7" s="90"/>
      <c r="HK7" s="90"/>
      <c r="HL7" s="90"/>
      <c r="HM7" s="90"/>
      <c r="HN7" s="90"/>
      <c r="HO7" s="90"/>
      <c r="HP7" s="90"/>
      <c r="HQ7" s="90" t="s">
        <v>273</v>
      </c>
      <c r="HR7" s="90"/>
      <c r="HS7" s="90"/>
      <c r="HT7" s="90"/>
      <c r="HU7" s="90"/>
      <c r="HV7" s="90"/>
      <c r="HW7" s="90"/>
      <c r="HX7" s="90"/>
      <c r="HY7" s="90" t="s">
        <v>273</v>
      </c>
      <c r="HZ7" s="90"/>
      <c r="IA7" s="90"/>
      <c r="IB7" s="90"/>
      <c r="IC7" s="90"/>
      <c r="ID7" s="90"/>
      <c r="IE7" s="90"/>
      <c r="IF7" s="90"/>
    </row>
    <row r="8" spans="1:240" s="91" customFormat="1" ht="13.5" thickBot="1" x14ac:dyDescent="0.25">
      <c r="A8" s="90" t="str">
        <f>CASE_E</f>
        <v>2019 GENERAL RATE CASE</v>
      </c>
      <c r="B8" s="90"/>
      <c r="C8" s="90"/>
      <c r="D8" s="90"/>
      <c r="E8" s="90"/>
      <c r="F8" s="90"/>
      <c r="G8" s="90"/>
      <c r="H8" s="90"/>
      <c r="I8" s="90" t="str">
        <f>CASE_E</f>
        <v>2019 GENERAL RATE CASE</v>
      </c>
      <c r="J8" s="90"/>
      <c r="K8" s="90"/>
      <c r="L8" s="90"/>
      <c r="M8" s="90"/>
      <c r="N8" s="90"/>
      <c r="O8" s="90"/>
      <c r="P8" s="90"/>
      <c r="Q8" s="90" t="str">
        <f>CASE_E</f>
        <v>2019 GENERAL RATE CASE</v>
      </c>
      <c r="R8" s="90"/>
      <c r="S8" s="90"/>
      <c r="T8" s="90"/>
      <c r="U8" s="90"/>
      <c r="V8" s="90"/>
      <c r="W8" s="90"/>
      <c r="X8" s="90"/>
      <c r="Y8" s="90" t="str">
        <f>CASE_E</f>
        <v>2019 GENERAL RATE CASE</v>
      </c>
      <c r="Z8" s="90"/>
      <c r="AA8" s="90"/>
      <c r="AB8" s="90"/>
      <c r="AC8" s="90"/>
      <c r="AD8" s="90"/>
      <c r="AE8" s="90"/>
      <c r="AF8" s="90"/>
      <c r="AG8" s="90" t="str">
        <f>CASE_E</f>
        <v>2019 GENERAL RATE CASE</v>
      </c>
      <c r="AH8" s="90"/>
      <c r="AI8" s="90"/>
      <c r="AJ8" s="90"/>
      <c r="AK8" s="90"/>
      <c r="AL8" s="90"/>
      <c r="AM8" s="90"/>
      <c r="AN8" s="90"/>
      <c r="AO8" s="90" t="str">
        <f>CASE_E</f>
        <v>2019 GENERAL RATE CASE</v>
      </c>
      <c r="AP8" s="90"/>
      <c r="AQ8" s="90"/>
      <c r="AR8" s="90"/>
      <c r="AS8" s="90"/>
      <c r="AT8" s="90"/>
      <c r="AU8" s="90"/>
      <c r="AV8" s="90"/>
      <c r="AW8" s="90" t="str">
        <f>CASE_E</f>
        <v>2019 GENERAL RATE CASE</v>
      </c>
      <c r="AX8" s="90"/>
      <c r="AY8" s="90"/>
      <c r="AZ8" s="90"/>
      <c r="BA8" s="90"/>
      <c r="BB8" s="90"/>
      <c r="BC8" s="90"/>
      <c r="BD8" s="90"/>
      <c r="BE8" s="90" t="str">
        <f>CASE_E</f>
        <v>2019 GENERAL RATE CASE</v>
      </c>
      <c r="BF8" s="90"/>
      <c r="BG8" s="90"/>
      <c r="BH8" s="90"/>
      <c r="BI8" s="90"/>
      <c r="BJ8" s="90"/>
      <c r="BK8" s="90"/>
      <c r="BL8" s="90"/>
      <c r="BM8" s="90" t="str">
        <f>CASE_E</f>
        <v>2019 GENERAL RATE CASE</v>
      </c>
      <c r="BN8" s="90"/>
      <c r="BO8" s="90"/>
      <c r="BP8" s="90"/>
      <c r="BQ8" s="90"/>
      <c r="BR8" s="90"/>
      <c r="BS8" s="90"/>
      <c r="BT8" s="90"/>
      <c r="BU8" s="90" t="str">
        <f>CASE_E</f>
        <v>2019 GENERAL RATE CASE</v>
      </c>
      <c r="BV8" s="90"/>
      <c r="BW8" s="90"/>
      <c r="BX8" s="90"/>
      <c r="BY8" s="90"/>
      <c r="BZ8" s="90"/>
      <c r="CA8" s="90"/>
      <c r="CB8" s="90"/>
      <c r="CC8" s="90" t="str">
        <f>CASE_E</f>
        <v>2019 GENERAL RATE CASE</v>
      </c>
      <c r="CD8" s="90"/>
      <c r="CE8" s="90"/>
      <c r="CF8" s="90"/>
      <c r="CG8" s="90"/>
      <c r="CH8" s="90"/>
      <c r="CI8" s="90"/>
      <c r="CJ8" s="90"/>
      <c r="CK8" s="90" t="str">
        <f>CASE_E</f>
        <v>2019 GENERAL RATE CASE</v>
      </c>
      <c r="CL8" s="90"/>
      <c r="CM8" s="90"/>
      <c r="CN8" s="90"/>
      <c r="CO8" s="90"/>
      <c r="CP8" s="90"/>
      <c r="CQ8" s="90"/>
      <c r="CR8" s="90"/>
      <c r="CS8" s="90" t="str">
        <f>CASE_E</f>
        <v>2019 GENERAL RATE CASE</v>
      </c>
      <c r="CT8" s="90"/>
      <c r="CU8" s="90"/>
      <c r="CV8" s="90"/>
      <c r="CW8" s="90"/>
      <c r="CX8" s="90"/>
      <c r="CY8" s="90"/>
      <c r="CZ8" s="90"/>
      <c r="DA8" s="90" t="str">
        <f>CASE_E</f>
        <v>2019 GENERAL RATE CASE</v>
      </c>
      <c r="DB8" s="90"/>
      <c r="DC8" s="90"/>
      <c r="DD8" s="90"/>
      <c r="DE8" s="90"/>
      <c r="DF8" s="90"/>
      <c r="DG8" s="90"/>
      <c r="DH8" s="90"/>
      <c r="DI8" s="90" t="str">
        <f>CASE_E</f>
        <v>2019 GENERAL RATE CASE</v>
      </c>
      <c r="DJ8" s="90"/>
      <c r="DK8" s="90"/>
      <c r="DL8" s="90"/>
      <c r="DM8" s="90"/>
      <c r="DN8" s="90"/>
      <c r="DO8" s="90"/>
      <c r="DP8" s="90"/>
      <c r="DQ8" s="90" t="str">
        <f>CASE_E</f>
        <v>2019 GENERAL RATE CASE</v>
      </c>
      <c r="DR8" s="90"/>
      <c r="DS8" s="90"/>
      <c r="DT8" s="90"/>
      <c r="DU8" s="90"/>
      <c r="DV8" s="90"/>
      <c r="DW8" s="90"/>
      <c r="DX8" s="90"/>
      <c r="DY8" s="90" t="str">
        <f>CASE_E</f>
        <v>2019 GENERAL RATE CASE</v>
      </c>
      <c r="DZ8" s="90"/>
      <c r="EA8" s="90"/>
      <c r="EB8" s="90"/>
      <c r="EC8" s="90"/>
      <c r="ED8" s="90"/>
      <c r="EE8" s="90"/>
      <c r="EF8" s="90"/>
      <c r="EG8" s="90" t="str">
        <f>CASE_E</f>
        <v>2019 GENERAL RATE CASE</v>
      </c>
      <c r="EH8" s="90"/>
      <c r="EI8" s="90"/>
      <c r="EJ8" s="90"/>
      <c r="EK8" s="90"/>
      <c r="EL8" s="90"/>
      <c r="EM8" s="90"/>
      <c r="EN8" s="90"/>
      <c r="EO8" s="90" t="str">
        <f>CASE_E</f>
        <v>2019 GENERAL RATE CASE</v>
      </c>
      <c r="EP8" s="90"/>
      <c r="EQ8" s="90"/>
      <c r="ER8" s="90"/>
      <c r="ES8" s="90"/>
      <c r="ET8" s="90"/>
      <c r="EU8" s="90"/>
      <c r="EV8" s="90"/>
      <c r="EW8" s="90" t="str">
        <f>CASE_E</f>
        <v>2019 GENERAL RATE CASE</v>
      </c>
      <c r="EX8" s="90"/>
      <c r="EY8" s="90"/>
      <c r="EZ8" s="90"/>
      <c r="FA8" s="90"/>
      <c r="FB8" s="90"/>
      <c r="FC8" s="90"/>
      <c r="FD8" s="90"/>
      <c r="FE8" s="90" t="str">
        <f>CASE_E</f>
        <v>2019 GENERAL RATE CASE</v>
      </c>
      <c r="FF8" s="90"/>
      <c r="FG8" s="90"/>
      <c r="FH8" s="90"/>
      <c r="FI8" s="90"/>
      <c r="FJ8" s="90"/>
      <c r="FK8" s="90"/>
      <c r="FL8" s="90"/>
      <c r="FM8" s="90" t="str">
        <f>CASE_E</f>
        <v>2019 GENERAL RATE CASE</v>
      </c>
      <c r="FN8" s="90"/>
      <c r="FO8" s="90"/>
      <c r="FP8" s="90"/>
      <c r="FQ8" s="90"/>
      <c r="FR8" s="90"/>
      <c r="FS8" s="90"/>
      <c r="FT8" s="90"/>
      <c r="FU8" s="90" t="s">
        <v>208</v>
      </c>
      <c r="FV8" s="90"/>
      <c r="FW8" s="90"/>
      <c r="FX8" s="90"/>
      <c r="FY8" s="90"/>
      <c r="FZ8" s="90"/>
      <c r="GA8" s="90"/>
      <c r="GB8" s="90"/>
      <c r="GC8" s="90" t="s">
        <v>208</v>
      </c>
      <c r="GD8" s="90"/>
      <c r="GE8" s="90"/>
      <c r="GF8" s="90"/>
      <c r="GG8" s="90"/>
      <c r="GH8" s="90"/>
      <c r="GI8" s="90"/>
      <c r="GJ8" s="90"/>
      <c r="GK8" s="90" t="s">
        <v>208</v>
      </c>
      <c r="GL8" s="90"/>
      <c r="GM8" s="90"/>
      <c r="GN8" s="90"/>
      <c r="GO8" s="90"/>
      <c r="GP8" s="90"/>
      <c r="GQ8" s="90"/>
      <c r="GR8" s="90"/>
      <c r="GS8" s="90" t="s">
        <v>208</v>
      </c>
      <c r="GT8" s="90"/>
      <c r="GU8" s="90"/>
      <c r="GV8" s="90"/>
      <c r="GW8" s="90"/>
      <c r="GX8" s="90"/>
      <c r="GY8" s="90"/>
      <c r="GZ8" s="90"/>
      <c r="HA8" s="90" t="s">
        <v>208</v>
      </c>
      <c r="HB8" s="90"/>
      <c r="HC8" s="90"/>
      <c r="HD8" s="90"/>
      <c r="HE8" s="90"/>
      <c r="HF8" s="90"/>
      <c r="HG8" s="90"/>
      <c r="HH8" s="90"/>
      <c r="HI8" s="90" t="s">
        <v>208</v>
      </c>
      <c r="HJ8" s="90"/>
      <c r="HK8" s="90"/>
      <c r="HL8" s="90"/>
      <c r="HM8" s="90"/>
      <c r="HN8" s="90"/>
      <c r="HO8" s="90"/>
      <c r="HP8" s="90"/>
      <c r="HQ8" s="90" t="s">
        <v>208</v>
      </c>
      <c r="HR8" s="90"/>
      <c r="HS8" s="90"/>
      <c r="HT8" s="90"/>
      <c r="HU8" s="90"/>
      <c r="HV8" s="90"/>
      <c r="HW8" s="90"/>
      <c r="HX8" s="90"/>
      <c r="HY8" s="90" t="s">
        <v>208</v>
      </c>
      <c r="HZ8" s="90"/>
      <c r="IA8" s="90"/>
      <c r="IB8" s="90"/>
      <c r="IC8" s="90"/>
      <c r="ID8" s="90"/>
      <c r="IE8" s="90"/>
      <c r="IF8" s="90"/>
    </row>
    <row r="9" spans="1:240" ht="13.5" thickBot="1" x14ac:dyDescent="0.25">
      <c r="A9" s="29"/>
      <c r="B9" s="29"/>
      <c r="C9" s="29"/>
      <c r="D9" s="29"/>
      <c r="E9" s="29"/>
      <c r="F9" s="376">
        <f>+'BGM-9 (2) Detailed Summary'!D9</f>
        <v>6.01</v>
      </c>
      <c r="G9" s="29"/>
      <c r="H9" s="377">
        <f>'BGM-9 (2) Detailed Summary'!AK9</f>
        <v>6.01</v>
      </c>
      <c r="I9" s="29"/>
      <c r="J9" s="29"/>
      <c r="K9" s="29"/>
      <c r="L9" s="29"/>
      <c r="M9" s="29"/>
      <c r="N9" s="376">
        <f>+'BGM-9 (2) Detailed Summary'!E9</f>
        <v>6.02</v>
      </c>
      <c r="O9" s="29"/>
      <c r="P9" s="377">
        <f>'BGM-9 (2) Detailed Summary'!AL9</f>
        <v>6.02</v>
      </c>
      <c r="Q9" s="29"/>
      <c r="R9" s="29"/>
      <c r="S9" s="29"/>
      <c r="T9" s="29"/>
      <c r="U9" s="29"/>
      <c r="V9" s="376">
        <f>+'BGM-9 (2) Detailed Summary'!F9</f>
        <v>6.0299999999999994</v>
      </c>
      <c r="W9" s="29"/>
      <c r="X9" s="377" t="s">
        <v>470</v>
      </c>
      <c r="Y9" s="29"/>
      <c r="Z9" s="29"/>
      <c r="AA9" s="29"/>
      <c r="AB9" s="29"/>
      <c r="AC9" s="29"/>
      <c r="AD9" s="376">
        <f>+'BGM-9 (2) Detailed Summary'!G9</f>
        <v>6.0399999999999991</v>
      </c>
      <c r="AE9" s="29"/>
      <c r="AF9" s="377">
        <f>'BGM-9 (2) Detailed Summary'!AM9</f>
        <v>6.0399999999999991</v>
      </c>
      <c r="AG9" s="29"/>
      <c r="AH9" s="29"/>
      <c r="AI9" s="29"/>
      <c r="AJ9" s="29"/>
      <c r="AK9" s="29"/>
      <c r="AL9" s="376">
        <f>+'BGM-9 (2) Detailed Summary'!H9</f>
        <v>6.0499999999999989</v>
      </c>
      <c r="AM9" s="29"/>
      <c r="AN9" s="376" t="s">
        <v>470</v>
      </c>
      <c r="AO9" s="29"/>
      <c r="AP9" s="29"/>
      <c r="AQ9" s="29"/>
      <c r="AR9" s="29"/>
      <c r="AS9" s="29"/>
      <c r="AT9" s="376">
        <f>+'BGM-9 (2) Detailed Summary'!I9</f>
        <v>6.0599999999999987</v>
      </c>
      <c r="AU9" s="29"/>
      <c r="AV9" s="377" t="s">
        <v>470</v>
      </c>
      <c r="AW9" s="29"/>
      <c r="AX9" s="29"/>
      <c r="AY9" s="29"/>
      <c r="AZ9" s="29"/>
      <c r="BA9" s="29"/>
      <c r="BB9" s="376">
        <f>+'BGM-9 (2) Detailed Summary'!J9</f>
        <v>6.0699999999999985</v>
      </c>
      <c r="BC9" s="29"/>
      <c r="BD9" s="377" t="s">
        <v>470</v>
      </c>
      <c r="BE9" s="29"/>
      <c r="BF9" s="29"/>
      <c r="BG9" s="29"/>
      <c r="BH9" s="29"/>
      <c r="BI9" s="29"/>
      <c r="BJ9" s="376">
        <f>+'BGM-9 (2) Detailed Summary'!K9</f>
        <v>6.0799999999999983</v>
      </c>
      <c r="BK9" s="29"/>
      <c r="BL9" s="377" t="s">
        <v>470</v>
      </c>
      <c r="BM9" s="29"/>
      <c r="BN9" s="29"/>
      <c r="BO9" s="29"/>
      <c r="BP9" s="29"/>
      <c r="BQ9" s="29"/>
      <c r="BR9" s="376">
        <f>+'BGM-9 (2) Detailed Summary'!L9</f>
        <v>6.0899999999999981</v>
      </c>
      <c r="BS9" s="29"/>
      <c r="BT9" s="377">
        <f>'BGM-9 (2) Detailed Summary'!AN9</f>
        <v>6.0899999999999981</v>
      </c>
      <c r="BU9" s="29"/>
      <c r="BV9" s="29"/>
      <c r="BW9" s="29"/>
      <c r="BX9" s="29"/>
      <c r="BY9" s="29"/>
      <c r="BZ9" s="376">
        <f>+'BGM-9 (2) Detailed Summary'!M9</f>
        <v>6.0999999999999979</v>
      </c>
      <c r="CA9" s="29"/>
      <c r="CB9" s="377">
        <f>'BGM-9 (2) Detailed Summary'!AO9</f>
        <v>6.0999999999999979</v>
      </c>
      <c r="CC9" s="29"/>
      <c r="CD9" s="29"/>
      <c r="CE9" s="29"/>
      <c r="CF9" s="29"/>
      <c r="CG9" s="29"/>
      <c r="CH9" s="376">
        <f>+'BGM-9 (2) Detailed Summary'!N9</f>
        <v>6.1099999999999977</v>
      </c>
      <c r="CI9" s="29"/>
      <c r="CJ9" s="377" t="s">
        <v>470</v>
      </c>
      <c r="CK9" s="29"/>
      <c r="CL9" s="29"/>
      <c r="CM9" s="29"/>
      <c r="CN9" s="29"/>
      <c r="CO9" s="29"/>
      <c r="CP9" s="376">
        <f>+'BGM-9 (2) Detailed Summary'!O9</f>
        <v>6.1199999999999974</v>
      </c>
      <c r="CQ9" s="29"/>
      <c r="CR9" s="377" t="s">
        <v>470</v>
      </c>
      <c r="CS9" s="29"/>
      <c r="CT9" s="29"/>
      <c r="CU9" s="29"/>
      <c r="CV9" s="29"/>
      <c r="CW9" s="29"/>
      <c r="CX9" s="376">
        <f>+'BGM-9 (2) Detailed Summary'!P9</f>
        <v>6.1299999999999972</v>
      </c>
      <c r="CY9" s="29"/>
      <c r="CZ9" s="377" t="s">
        <v>470</v>
      </c>
      <c r="DA9" s="29"/>
      <c r="DB9" s="29"/>
      <c r="DC9" s="29"/>
      <c r="DD9" s="29"/>
      <c r="DE9" s="29"/>
      <c r="DF9" s="376">
        <f>+'BGM-9 (2) Detailed Summary'!Q9</f>
        <v>6.14</v>
      </c>
      <c r="DG9" s="29"/>
      <c r="DH9" s="377">
        <f>'BGM-9 (2) Detailed Summary'!AP9</f>
        <v>6.14</v>
      </c>
      <c r="DI9" s="29"/>
      <c r="DJ9" s="29"/>
      <c r="DK9" s="29"/>
      <c r="DL9" s="29"/>
      <c r="DM9" s="29"/>
      <c r="DN9" s="376">
        <f>'BGM-9 (2) Detailed Summary'!R9</f>
        <v>6.15</v>
      </c>
      <c r="DO9" s="29"/>
      <c r="DP9" s="377">
        <f>'BGM-9 (2) Detailed Summary'!AQ9</f>
        <v>6.15</v>
      </c>
      <c r="DQ9" s="29"/>
      <c r="DR9" s="29"/>
      <c r="DS9" s="29"/>
      <c r="DT9" s="29"/>
      <c r="DU9" s="29"/>
      <c r="DV9" s="376">
        <f>'BGM-9 (2) Detailed Summary'!S9</f>
        <v>6.16</v>
      </c>
      <c r="DW9" s="29"/>
      <c r="DX9" s="377">
        <f>'BGM-9 (2) Detailed Summary'!AR9</f>
        <v>6.16</v>
      </c>
      <c r="DY9" s="29"/>
      <c r="DZ9" s="29"/>
      <c r="EA9" s="29"/>
      <c r="EB9" s="29"/>
      <c r="EC9" s="29"/>
      <c r="ED9" s="376">
        <f>'BGM-9 (2) Detailed Summary'!T9</f>
        <v>6.17</v>
      </c>
      <c r="EE9" s="29"/>
      <c r="EF9" s="377">
        <f>'BGM-9 (2) Detailed Summary'!AS9</f>
        <v>6.17</v>
      </c>
      <c r="EJ9" s="29"/>
      <c r="EK9" s="29"/>
      <c r="EL9" s="376">
        <f>'BGM-9 (2) Detailed Summary'!U9</f>
        <v>6.18</v>
      </c>
      <c r="EM9" s="29"/>
      <c r="EN9" s="377" t="s">
        <v>470</v>
      </c>
      <c r="ER9" s="29"/>
      <c r="ES9" s="29"/>
      <c r="ET9" s="376">
        <f>'BGM-9 (2) Detailed Summary'!V9</f>
        <v>6.1899999999999995</v>
      </c>
      <c r="EU9" s="29"/>
      <c r="EV9" s="377" t="s">
        <v>470</v>
      </c>
      <c r="EW9" s="29"/>
      <c r="EX9" s="29"/>
      <c r="EY9" s="29"/>
      <c r="EZ9" s="29"/>
      <c r="FA9" s="29"/>
      <c r="FB9" s="376" t="s">
        <v>470</v>
      </c>
      <c r="FC9" s="29"/>
      <c r="FD9" s="377">
        <f>'BGM-9 (2) Detailed Summary'!AT9</f>
        <v>6.2</v>
      </c>
      <c r="FE9" s="29"/>
      <c r="FF9" s="29"/>
      <c r="FG9" s="29"/>
      <c r="FH9" s="29"/>
      <c r="FI9" s="29"/>
      <c r="FJ9" s="376" t="s">
        <v>470</v>
      </c>
      <c r="FK9" s="29"/>
      <c r="FL9" s="377">
        <f>'BGM-9 (2) Detailed Summary'!AU9</f>
        <v>6.21</v>
      </c>
      <c r="FM9" s="29"/>
      <c r="FN9" s="29"/>
      <c r="FO9" s="29"/>
      <c r="FP9" s="29"/>
      <c r="FQ9" s="29"/>
      <c r="FR9" s="376" t="s">
        <v>470</v>
      </c>
      <c r="FS9" s="29"/>
      <c r="FT9" s="377">
        <f>'BGM-9 (2) Detailed Summary'!AV9</f>
        <v>6.22</v>
      </c>
      <c r="FZ9" s="376">
        <f>'BGM-9 (2) Detailed Summary'!W9</f>
        <v>6.23</v>
      </c>
      <c r="GA9" s="29"/>
      <c r="GB9" s="377">
        <f>'BGM-9 (2) Detailed Summary'!AW9</f>
        <v>6.2299999999999995</v>
      </c>
      <c r="GH9" s="376" t="s">
        <v>470</v>
      </c>
      <c r="GI9" s="29"/>
      <c r="GJ9" s="377">
        <f>'BGM-9 (2) Detailed Summary'!AX9</f>
        <v>6.2399999999999993</v>
      </c>
      <c r="GP9" s="376" t="s">
        <v>470</v>
      </c>
      <c r="GR9" s="377">
        <f>'BGM-9 (2) Detailed Summary'!AY9</f>
        <v>6.2499999999999991</v>
      </c>
      <c r="GX9" s="376" t="s">
        <v>470</v>
      </c>
      <c r="GZ9" s="377">
        <f>'BGM-9 (2) Detailed Summary'!AZ9</f>
        <v>6.2599999999999989</v>
      </c>
      <c r="HF9" s="376" t="s">
        <v>470</v>
      </c>
      <c r="HH9" s="377">
        <f>'BGM-9 (2) Detailed Summary'!BA9</f>
        <v>6.2699999999999987</v>
      </c>
      <c r="HN9" s="376" t="s">
        <v>470</v>
      </c>
      <c r="HP9" s="377">
        <f>'BGM-9 (2) Detailed Summary'!BB9</f>
        <v>6.2799999999999985</v>
      </c>
      <c r="HV9" s="376" t="s">
        <v>470</v>
      </c>
      <c r="HX9" s="377">
        <f>'BGM-9 (2) Detailed Summary'!BC9</f>
        <v>6.2899999999999983</v>
      </c>
      <c r="HY9" s="91"/>
      <c r="HZ9" s="91"/>
      <c r="IA9" s="91"/>
      <c r="IB9" s="91"/>
      <c r="IC9" s="91"/>
      <c r="ID9" s="803" t="s">
        <v>470</v>
      </c>
      <c r="IE9" s="91"/>
      <c r="IF9" s="804" t="s">
        <v>941</v>
      </c>
    </row>
    <row r="10" spans="1:240" ht="15" x14ac:dyDescent="0.25">
      <c r="C10" s="217"/>
      <c r="D10" s="218" t="s">
        <v>263</v>
      </c>
      <c r="E10" s="219"/>
      <c r="F10" s="394" t="s">
        <v>105</v>
      </c>
      <c r="G10" s="219"/>
      <c r="H10" s="394" t="s">
        <v>93</v>
      </c>
      <c r="I10" s="6"/>
      <c r="J10" s="217"/>
      <c r="K10" s="217"/>
      <c r="L10" s="218" t="s">
        <v>263</v>
      </c>
      <c r="M10" s="219"/>
      <c r="N10" s="394" t="s">
        <v>105</v>
      </c>
      <c r="O10" s="219"/>
      <c r="P10" s="394" t="s">
        <v>93</v>
      </c>
      <c r="S10" s="217"/>
      <c r="T10" s="218" t="s">
        <v>263</v>
      </c>
      <c r="U10" s="219"/>
      <c r="V10" s="394" t="s">
        <v>105</v>
      </c>
      <c r="W10" s="219"/>
      <c r="X10" s="394" t="s">
        <v>93</v>
      </c>
      <c r="Y10" s="6"/>
      <c r="Z10" s="217"/>
      <c r="AA10" s="217"/>
      <c r="AB10" s="218" t="s">
        <v>263</v>
      </c>
      <c r="AC10" s="219"/>
      <c r="AD10" s="394" t="s">
        <v>105</v>
      </c>
      <c r="AE10" s="219"/>
      <c r="AF10" s="394" t="s">
        <v>93</v>
      </c>
      <c r="AI10" s="217"/>
      <c r="AJ10" s="218" t="s">
        <v>263</v>
      </c>
      <c r="AK10" s="219"/>
      <c r="AL10" s="394" t="s">
        <v>105</v>
      </c>
      <c r="AM10" s="219"/>
      <c r="AN10" s="394" t="s">
        <v>93</v>
      </c>
      <c r="AO10" s="6"/>
      <c r="AP10" s="217"/>
      <c r="AQ10" s="217"/>
      <c r="AR10" s="218" t="s">
        <v>263</v>
      </c>
      <c r="AS10" s="219"/>
      <c r="AT10" s="394" t="s">
        <v>105</v>
      </c>
      <c r="AU10" s="219"/>
      <c r="AV10" s="394" t="s">
        <v>93</v>
      </c>
      <c r="AX10" s="220"/>
      <c r="AY10" s="217"/>
      <c r="AZ10" s="218" t="s">
        <v>263</v>
      </c>
      <c r="BA10" s="219"/>
      <c r="BB10" s="394" t="s">
        <v>105</v>
      </c>
      <c r="BC10" s="219"/>
      <c r="BD10" s="394" t="s">
        <v>93</v>
      </c>
      <c r="BG10" s="179"/>
      <c r="BH10" s="218" t="s">
        <v>263</v>
      </c>
      <c r="BI10" s="219"/>
      <c r="BJ10" s="394" t="s">
        <v>105</v>
      </c>
      <c r="BK10" s="219"/>
      <c r="BL10" s="394" t="s">
        <v>93</v>
      </c>
      <c r="BM10" s="181"/>
      <c r="BN10" s="179"/>
      <c r="BO10" s="179"/>
      <c r="BP10" s="218" t="s">
        <v>263</v>
      </c>
      <c r="BQ10" s="219"/>
      <c r="BR10" s="394" t="s">
        <v>105</v>
      </c>
      <c r="BS10" s="219"/>
      <c r="BT10" s="394" t="s">
        <v>93</v>
      </c>
      <c r="BW10" s="179"/>
      <c r="BX10" s="218" t="s">
        <v>263</v>
      </c>
      <c r="BY10" s="219"/>
      <c r="BZ10" s="394" t="s">
        <v>105</v>
      </c>
      <c r="CA10" s="219"/>
      <c r="CB10" s="394" t="s">
        <v>93</v>
      </c>
      <c r="CE10" s="179"/>
      <c r="CF10" s="218" t="s">
        <v>263</v>
      </c>
      <c r="CG10" s="219"/>
      <c r="CH10" s="394" t="s">
        <v>105</v>
      </c>
      <c r="CI10" s="219"/>
      <c r="CJ10" s="394" t="s">
        <v>93</v>
      </c>
      <c r="CM10" s="179"/>
      <c r="CN10" s="218" t="s">
        <v>263</v>
      </c>
      <c r="CO10" s="219"/>
      <c r="CP10" s="394" t="s">
        <v>105</v>
      </c>
      <c r="CQ10" s="219"/>
      <c r="CR10" s="394" t="s">
        <v>93</v>
      </c>
      <c r="CU10" s="179"/>
      <c r="CV10" s="218" t="s">
        <v>263</v>
      </c>
      <c r="CW10" s="219"/>
      <c r="CX10" s="394" t="s">
        <v>105</v>
      </c>
      <c r="CY10" s="219"/>
      <c r="CZ10" s="394" t="s">
        <v>93</v>
      </c>
      <c r="DC10" s="179"/>
      <c r="DD10" s="218" t="s">
        <v>263</v>
      </c>
      <c r="DE10" s="219"/>
      <c r="DF10" s="394" t="s">
        <v>105</v>
      </c>
      <c r="DG10" s="219"/>
      <c r="DH10" s="394" t="s">
        <v>93</v>
      </c>
      <c r="DI10" s="177"/>
      <c r="DJ10" s="178"/>
      <c r="DK10" s="179"/>
      <c r="DL10" s="218" t="s">
        <v>263</v>
      </c>
      <c r="DM10" s="219"/>
      <c r="DN10" s="394" t="s">
        <v>105</v>
      </c>
      <c r="DO10" s="219"/>
      <c r="DP10" s="394" t="s">
        <v>93</v>
      </c>
      <c r="DQ10" s="177"/>
      <c r="DR10" s="178"/>
      <c r="DS10" s="179"/>
      <c r="DT10" s="218" t="s">
        <v>263</v>
      </c>
      <c r="DU10" s="219"/>
      <c r="DV10" s="394" t="s">
        <v>105</v>
      </c>
      <c r="DW10" s="219"/>
      <c r="DX10" s="394" t="s">
        <v>93</v>
      </c>
      <c r="EB10" s="218" t="s">
        <v>263</v>
      </c>
      <c r="EC10" s="219"/>
      <c r="ED10" s="394" t="s">
        <v>105</v>
      </c>
      <c r="EE10" s="219"/>
      <c r="EF10" s="394" t="s">
        <v>93</v>
      </c>
      <c r="EG10" s="119"/>
      <c r="EJ10" s="218" t="s">
        <v>263</v>
      </c>
      <c r="EK10" s="219"/>
      <c r="EL10" s="394" t="s">
        <v>105</v>
      </c>
      <c r="EM10" s="219"/>
      <c r="EN10" s="394" t="s">
        <v>93</v>
      </c>
      <c r="ER10" s="218" t="s">
        <v>263</v>
      </c>
      <c r="ES10" s="219"/>
      <c r="ET10" s="394" t="s">
        <v>105</v>
      </c>
      <c r="EU10" s="219"/>
      <c r="EV10" s="394" t="s">
        <v>93</v>
      </c>
      <c r="EY10" s="179"/>
      <c r="EZ10" s="218" t="s">
        <v>263</v>
      </c>
      <c r="FA10" s="219"/>
      <c r="FB10" s="394" t="s">
        <v>105</v>
      </c>
      <c r="FC10" s="219"/>
      <c r="FD10" s="394" t="s">
        <v>93</v>
      </c>
      <c r="FE10" s="119"/>
      <c r="FF10" s="119"/>
      <c r="FH10" s="218" t="s">
        <v>263</v>
      </c>
      <c r="FI10" s="219"/>
      <c r="FJ10" s="394" t="s">
        <v>105</v>
      </c>
      <c r="FK10" s="219"/>
      <c r="FL10" s="394" t="s">
        <v>93</v>
      </c>
      <c r="FO10" s="179"/>
      <c r="FP10" s="218" t="s">
        <v>263</v>
      </c>
      <c r="FQ10" s="219"/>
      <c r="FR10" s="394" t="s">
        <v>105</v>
      </c>
      <c r="FS10" s="219"/>
      <c r="FT10" s="394" t="s">
        <v>93</v>
      </c>
      <c r="FW10" s="179"/>
      <c r="FX10" s="218" t="s">
        <v>263</v>
      </c>
      <c r="FY10" s="219"/>
      <c r="FZ10" s="394" t="s">
        <v>105</v>
      </c>
      <c r="GA10" s="219"/>
      <c r="GB10" s="394" t="s">
        <v>93</v>
      </c>
      <c r="GE10" s="179"/>
      <c r="GF10" s="218" t="s">
        <v>263</v>
      </c>
      <c r="GG10" s="219"/>
      <c r="GH10" s="394" t="s">
        <v>105</v>
      </c>
      <c r="GI10" s="219"/>
      <c r="GJ10" s="394" t="s">
        <v>93</v>
      </c>
      <c r="GM10" s="179"/>
      <c r="GN10" s="218" t="s">
        <v>263</v>
      </c>
      <c r="GO10" s="219"/>
      <c r="GP10" s="394" t="s">
        <v>105</v>
      </c>
      <c r="GQ10" s="219"/>
      <c r="GR10" s="394" t="s">
        <v>93</v>
      </c>
      <c r="GU10" s="179"/>
      <c r="GV10" s="218" t="s">
        <v>263</v>
      </c>
      <c r="GW10" s="219"/>
      <c r="GX10" s="394" t="s">
        <v>105</v>
      </c>
      <c r="GY10" s="219"/>
      <c r="GZ10" s="394" t="s">
        <v>93</v>
      </c>
      <c r="HC10" s="179"/>
      <c r="HD10" s="218" t="s">
        <v>263</v>
      </c>
      <c r="HE10" s="219"/>
      <c r="HF10" s="394" t="s">
        <v>105</v>
      </c>
      <c r="HG10" s="219"/>
      <c r="HH10" s="394" t="s">
        <v>93</v>
      </c>
      <c r="HK10" s="179"/>
      <c r="HL10" s="218" t="s">
        <v>263</v>
      </c>
      <c r="HM10" s="219"/>
      <c r="HN10" s="394" t="s">
        <v>105</v>
      </c>
      <c r="HO10" s="219"/>
      <c r="HP10" s="394" t="s">
        <v>93</v>
      </c>
      <c r="HS10" s="179"/>
      <c r="HT10" s="218" t="s">
        <v>263</v>
      </c>
      <c r="HU10" s="219"/>
      <c r="HV10" s="394" t="s">
        <v>105</v>
      </c>
      <c r="HW10" s="219"/>
      <c r="HX10" s="394" t="s">
        <v>93</v>
      </c>
      <c r="HY10" s="1"/>
      <c r="HZ10" s="1"/>
      <c r="IA10" s="1"/>
      <c r="IB10" s="805" t="s">
        <v>263</v>
      </c>
      <c r="IC10" s="806"/>
      <c r="ID10" s="807" t="s">
        <v>105</v>
      </c>
      <c r="IE10" s="806"/>
      <c r="IF10" s="807" t="s">
        <v>93</v>
      </c>
    </row>
    <row r="11" spans="1:240" x14ac:dyDescent="0.2">
      <c r="A11" s="69" t="s">
        <v>43</v>
      </c>
      <c r="C11" s="220"/>
      <c r="D11" s="394" t="s">
        <v>40</v>
      </c>
      <c r="E11" s="394" t="s">
        <v>105</v>
      </c>
      <c r="F11" s="394" t="s">
        <v>52</v>
      </c>
      <c r="G11" s="394" t="s">
        <v>93</v>
      </c>
      <c r="H11" s="394" t="s">
        <v>52</v>
      </c>
      <c r="I11" s="69" t="s">
        <v>43</v>
      </c>
      <c r="J11" s="220"/>
      <c r="K11" s="220"/>
      <c r="L11" s="394" t="s">
        <v>40</v>
      </c>
      <c r="M11" s="394" t="s">
        <v>105</v>
      </c>
      <c r="N11" s="394" t="s">
        <v>52</v>
      </c>
      <c r="O11" s="394" t="s">
        <v>93</v>
      </c>
      <c r="P11" s="394" t="s">
        <v>52</v>
      </c>
      <c r="Q11" s="69" t="s">
        <v>43</v>
      </c>
      <c r="S11" s="220"/>
      <c r="T11" s="394" t="s">
        <v>40</v>
      </c>
      <c r="U11" s="394" t="s">
        <v>105</v>
      </c>
      <c r="V11" s="394" t="s">
        <v>52</v>
      </c>
      <c r="W11" s="394" t="s">
        <v>93</v>
      </c>
      <c r="X11" s="394" t="s">
        <v>52</v>
      </c>
      <c r="Y11" s="69" t="s">
        <v>43</v>
      </c>
      <c r="Z11" s="220"/>
      <c r="AA11" s="220"/>
      <c r="AB11" s="394" t="s">
        <v>40</v>
      </c>
      <c r="AC11" s="394" t="s">
        <v>105</v>
      </c>
      <c r="AD11" s="394" t="s">
        <v>52</v>
      </c>
      <c r="AE11" s="394" t="s">
        <v>93</v>
      </c>
      <c r="AF11" s="394" t="s">
        <v>52</v>
      </c>
      <c r="AG11" s="69" t="s">
        <v>43</v>
      </c>
      <c r="AI11" s="220"/>
      <c r="AJ11" s="394" t="s">
        <v>40</v>
      </c>
      <c r="AK11" s="394" t="s">
        <v>105</v>
      </c>
      <c r="AL11" s="394" t="s">
        <v>52</v>
      </c>
      <c r="AM11" s="394" t="s">
        <v>93</v>
      </c>
      <c r="AN11" s="394" t="s">
        <v>52</v>
      </c>
      <c r="AO11" s="69" t="s">
        <v>43</v>
      </c>
      <c r="AP11" s="220"/>
      <c r="AQ11" s="220"/>
      <c r="AR11" s="394" t="s">
        <v>40</v>
      </c>
      <c r="AS11" s="394" t="s">
        <v>105</v>
      </c>
      <c r="AT11" s="394" t="s">
        <v>52</v>
      </c>
      <c r="AU11" s="394" t="s">
        <v>93</v>
      </c>
      <c r="AV11" s="394" t="s">
        <v>52</v>
      </c>
      <c r="AW11" s="180" t="s">
        <v>43</v>
      </c>
      <c r="AX11" s="180"/>
      <c r="AY11" s="220"/>
      <c r="AZ11" s="394" t="s">
        <v>40</v>
      </c>
      <c r="BA11" s="394" t="s">
        <v>105</v>
      </c>
      <c r="BB11" s="394" t="s">
        <v>52</v>
      </c>
      <c r="BC11" s="394" t="s">
        <v>93</v>
      </c>
      <c r="BD11" s="394" t="s">
        <v>52</v>
      </c>
      <c r="BE11" s="180" t="s">
        <v>43</v>
      </c>
      <c r="BF11" s="180"/>
      <c r="BG11" s="181"/>
      <c r="BH11" s="394" t="s">
        <v>40</v>
      </c>
      <c r="BI11" s="394" t="s">
        <v>105</v>
      </c>
      <c r="BJ11" s="394" t="s">
        <v>52</v>
      </c>
      <c r="BK11" s="394" t="s">
        <v>93</v>
      </c>
      <c r="BL11" s="394" t="s">
        <v>52</v>
      </c>
      <c r="BM11" s="95" t="s">
        <v>43</v>
      </c>
      <c r="BN11" s="181"/>
      <c r="BO11" s="181"/>
      <c r="BP11" s="394" t="s">
        <v>40</v>
      </c>
      <c r="BQ11" s="394" t="s">
        <v>105</v>
      </c>
      <c r="BR11" s="394" t="s">
        <v>52</v>
      </c>
      <c r="BS11" s="394" t="s">
        <v>93</v>
      </c>
      <c r="BT11" s="394" t="s">
        <v>52</v>
      </c>
      <c r="BU11" s="69" t="s">
        <v>43</v>
      </c>
      <c r="BW11" s="181"/>
      <c r="BX11" s="394" t="s">
        <v>40</v>
      </c>
      <c r="BY11" s="394" t="s">
        <v>105</v>
      </c>
      <c r="BZ11" s="394" t="s">
        <v>52</v>
      </c>
      <c r="CA11" s="394" t="s">
        <v>93</v>
      </c>
      <c r="CB11" s="394" t="s">
        <v>52</v>
      </c>
      <c r="CC11" s="69" t="s">
        <v>43</v>
      </c>
      <c r="CD11" s="14"/>
      <c r="CE11" s="181"/>
      <c r="CF11" s="394" t="s">
        <v>40</v>
      </c>
      <c r="CG11" s="394" t="s">
        <v>105</v>
      </c>
      <c r="CH11" s="394" t="s">
        <v>52</v>
      </c>
      <c r="CI11" s="394" t="s">
        <v>93</v>
      </c>
      <c r="CJ11" s="394" t="s">
        <v>52</v>
      </c>
      <c r="CK11" s="69" t="s">
        <v>43</v>
      </c>
      <c r="CL11" s="220"/>
      <c r="CM11" s="181"/>
      <c r="CN11" s="394" t="s">
        <v>40</v>
      </c>
      <c r="CO11" s="394" t="s">
        <v>105</v>
      </c>
      <c r="CP11" s="394" t="s">
        <v>52</v>
      </c>
      <c r="CQ11" s="394" t="s">
        <v>93</v>
      </c>
      <c r="CR11" s="394" t="s">
        <v>52</v>
      </c>
      <c r="CS11" s="69" t="s">
        <v>43</v>
      </c>
      <c r="CT11" s="220"/>
      <c r="CU11" s="181"/>
      <c r="CV11" s="394" t="s">
        <v>40</v>
      </c>
      <c r="CW11" s="394" t="s">
        <v>105</v>
      </c>
      <c r="CX11" s="394" t="s">
        <v>52</v>
      </c>
      <c r="CY11" s="394" t="s">
        <v>93</v>
      </c>
      <c r="CZ11" s="394" t="s">
        <v>52</v>
      </c>
      <c r="DA11" s="80" t="s">
        <v>43</v>
      </c>
      <c r="DB11" s="81"/>
      <c r="DC11" s="181"/>
      <c r="DD11" s="394" t="s">
        <v>40</v>
      </c>
      <c r="DE11" s="394" t="s">
        <v>105</v>
      </c>
      <c r="DF11" s="394" t="s">
        <v>52</v>
      </c>
      <c r="DG11" s="394" t="s">
        <v>93</v>
      </c>
      <c r="DH11" s="394" t="s">
        <v>52</v>
      </c>
      <c r="DI11" s="180" t="s">
        <v>43</v>
      </c>
      <c r="DJ11" s="177"/>
      <c r="DK11" s="181"/>
      <c r="DL11" s="394" t="s">
        <v>40</v>
      </c>
      <c r="DM11" s="394" t="s">
        <v>105</v>
      </c>
      <c r="DN11" s="394" t="s">
        <v>52</v>
      </c>
      <c r="DO11" s="394" t="s">
        <v>93</v>
      </c>
      <c r="DP11" s="394" t="s">
        <v>52</v>
      </c>
      <c r="DQ11" s="180" t="s">
        <v>43</v>
      </c>
      <c r="DR11" s="177"/>
      <c r="DS11" s="181"/>
      <c r="DT11" s="394" t="s">
        <v>40</v>
      </c>
      <c r="DU11" s="394" t="s">
        <v>105</v>
      </c>
      <c r="DV11" s="394" t="s">
        <v>52</v>
      </c>
      <c r="DW11" s="394" t="s">
        <v>93</v>
      </c>
      <c r="DX11" s="394" t="s">
        <v>52</v>
      </c>
      <c r="DY11" s="3" t="s">
        <v>43</v>
      </c>
      <c r="DZ11" s="220"/>
      <c r="EA11" s="220"/>
      <c r="EB11" s="394" t="s">
        <v>40</v>
      </c>
      <c r="EC11" s="394" t="s">
        <v>105</v>
      </c>
      <c r="ED11" s="394" t="s">
        <v>52</v>
      </c>
      <c r="EE11" s="394" t="s">
        <v>93</v>
      </c>
      <c r="EF11" s="394" t="s">
        <v>52</v>
      </c>
      <c r="EG11" s="394" t="s">
        <v>43</v>
      </c>
      <c r="EH11" s="81"/>
      <c r="EI11" s="81"/>
      <c r="EJ11" s="394" t="s">
        <v>40</v>
      </c>
      <c r="EK11" s="394" t="s">
        <v>105</v>
      </c>
      <c r="EL11" s="394" t="s">
        <v>52</v>
      </c>
      <c r="EM11" s="394" t="s">
        <v>93</v>
      </c>
      <c r="EN11" s="394" t="s">
        <v>52</v>
      </c>
      <c r="EO11" s="394" t="s">
        <v>43</v>
      </c>
      <c r="EQ11" s="81"/>
      <c r="ER11" s="394" t="s">
        <v>40</v>
      </c>
      <c r="ES11" s="394" t="s">
        <v>105</v>
      </c>
      <c r="ET11" s="394" t="s">
        <v>52</v>
      </c>
      <c r="EU11" s="394" t="s">
        <v>93</v>
      </c>
      <c r="EV11" s="394" t="s">
        <v>52</v>
      </c>
      <c r="EW11" s="69" t="s">
        <v>43</v>
      </c>
      <c r="EX11" s="220"/>
      <c r="EY11" s="181"/>
      <c r="EZ11" s="394" t="s">
        <v>40</v>
      </c>
      <c r="FA11" s="394" t="s">
        <v>105</v>
      </c>
      <c r="FB11" s="394" t="s">
        <v>52</v>
      </c>
      <c r="FC11" s="394" t="s">
        <v>93</v>
      </c>
      <c r="FD11" s="394" t="s">
        <v>52</v>
      </c>
      <c r="FE11" s="394" t="s">
        <v>43</v>
      </c>
      <c r="FF11" s="37"/>
      <c r="FG11" s="220"/>
      <c r="FH11" s="394" t="s">
        <v>40</v>
      </c>
      <c r="FI11" s="394" t="s">
        <v>105</v>
      </c>
      <c r="FJ11" s="394" t="s">
        <v>52</v>
      </c>
      <c r="FK11" s="394" t="s">
        <v>93</v>
      </c>
      <c r="FL11" s="394" t="s">
        <v>52</v>
      </c>
      <c r="FM11" s="69" t="s">
        <v>43</v>
      </c>
      <c r="FN11" s="220"/>
      <c r="FO11" s="181"/>
      <c r="FP11" s="394" t="s">
        <v>40</v>
      </c>
      <c r="FQ11" s="394" t="s">
        <v>105</v>
      </c>
      <c r="FR11" s="394" t="s">
        <v>52</v>
      </c>
      <c r="FS11" s="394" t="s">
        <v>93</v>
      </c>
      <c r="FT11" s="394" t="s">
        <v>52</v>
      </c>
      <c r="FU11" s="69" t="s">
        <v>43</v>
      </c>
      <c r="FV11" s="220"/>
      <c r="FW11" s="181"/>
      <c r="FX11" s="394" t="s">
        <v>40</v>
      </c>
      <c r="FY11" s="394" t="s">
        <v>105</v>
      </c>
      <c r="FZ11" s="394" t="s">
        <v>52</v>
      </c>
      <c r="GA11" s="394" t="s">
        <v>93</v>
      </c>
      <c r="GB11" s="394" t="s">
        <v>52</v>
      </c>
      <c r="GC11" s="69" t="s">
        <v>43</v>
      </c>
      <c r="GD11" s="220"/>
      <c r="GE11" s="181"/>
      <c r="GF11" s="394" t="s">
        <v>40</v>
      </c>
      <c r="GG11" s="394" t="s">
        <v>105</v>
      </c>
      <c r="GH11" s="394" t="s">
        <v>52</v>
      </c>
      <c r="GI11" s="394" t="s">
        <v>93</v>
      </c>
      <c r="GJ11" s="394" t="s">
        <v>52</v>
      </c>
      <c r="GK11" s="69" t="s">
        <v>43</v>
      </c>
      <c r="GL11" s="220"/>
      <c r="GM11" s="181"/>
      <c r="GN11" s="394" t="s">
        <v>40</v>
      </c>
      <c r="GO11" s="394" t="s">
        <v>105</v>
      </c>
      <c r="GP11" s="394" t="s">
        <v>52</v>
      </c>
      <c r="GQ11" s="394" t="s">
        <v>93</v>
      </c>
      <c r="GR11" s="394" t="s">
        <v>52</v>
      </c>
      <c r="GS11" s="69" t="s">
        <v>43</v>
      </c>
      <c r="GT11" s="220"/>
      <c r="GU11" s="181"/>
      <c r="GV11" s="394" t="s">
        <v>40</v>
      </c>
      <c r="GW11" s="394" t="s">
        <v>105</v>
      </c>
      <c r="GX11" s="394" t="s">
        <v>52</v>
      </c>
      <c r="GY11" s="394" t="s">
        <v>93</v>
      </c>
      <c r="GZ11" s="394" t="s">
        <v>52</v>
      </c>
      <c r="HA11" s="69" t="s">
        <v>43</v>
      </c>
      <c r="HB11" s="220"/>
      <c r="HC11" s="181"/>
      <c r="HD11" s="394" t="s">
        <v>40</v>
      </c>
      <c r="HE11" s="394" t="s">
        <v>105</v>
      </c>
      <c r="HF11" s="394" t="s">
        <v>52</v>
      </c>
      <c r="HG11" s="394" t="s">
        <v>93</v>
      </c>
      <c r="HH11" s="394" t="s">
        <v>52</v>
      </c>
      <c r="HI11" s="69" t="s">
        <v>43</v>
      </c>
      <c r="HJ11" s="220"/>
      <c r="HK11" s="181"/>
      <c r="HL11" s="394" t="s">
        <v>40</v>
      </c>
      <c r="HM11" s="394" t="s">
        <v>105</v>
      </c>
      <c r="HN11" s="394" t="s">
        <v>52</v>
      </c>
      <c r="HO11" s="394" t="s">
        <v>93</v>
      </c>
      <c r="HP11" s="394" t="s">
        <v>52</v>
      </c>
      <c r="HQ11" s="69" t="s">
        <v>43</v>
      </c>
      <c r="HR11" s="220"/>
      <c r="HS11" s="181"/>
      <c r="HT11" s="394" t="s">
        <v>40</v>
      </c>
      <c r="HU11" s="394" t="s">
        <v>105</v>
      </c>
      <c r="HV11" s="394" t="s">
        <v>52</v>
      </c>
      <c r="HW11" s="394" t="s">
        <v>93</v>
      </c>
      <c r="HX11" s="394" t="s">
        <v>52</v>
      </c>
      <c r="HY11" s="807" t="s">
        <v>43</v>
      </c>
      <c r="HZ11" s="808"/>
      <c r="IA11" s="808"/>
      <c r="IB11" s="807" t="s">
        <v>40</v>
      </c>
      <c r="IC11" s="807" t="s">
        <v>105</v>
      </c>
      <c r="ID11" s="807" t="s">
        <v>52</v>
      </c>
      <c r="IE11" s="807" t="s">
        <v>93</v>
      </c>
      <c r="IF11" s="807" t="s">
        <v>52</v>
      </c>
    </row>
    <row r="12" spans="1:240" ht="14.25" x14ac:dyDescent="0.2">
      <c r="A12" s="427" t="s">
        <v>44</v>
      </c>
      <c r="B12" s="428" t="s">
        <v>73</v>
      </c>
      <c r="C12" s="429" t="s">
        <v>261</v>
      </c>
      <c r="D12" s="430" t="s">
        <v>264</v>
      </c>
      <c r="E12" s="427" t="s">
        <v>265</v>
      </c>
      <c r="F12" s="430" t="s">
        <v>266</v>
      </c>
      <c r="G12" s="427" t="s">
        <v>267</v>
      </c>
      <c r="H12" s="430" t="s">
        <v>268</v>
      </c>
      <c r="I12" s="404" t="s">
        <v>44</v>
      </c>
      <c r="J12" s="428" t="s">
        <v>73</v>
      </c>
      <c r="K12" s="429" t="s">
        <v>261</v>
      </c>
      <c r="L12" s="408" t="s">
        <v>264</v>
      </c>
      <c r="M12" s="427" t="s">
        <v>265</v>
      </c>
      <c r="N12" s="408" t="s">
        <v>266</v>
      </c>
      <c r="O12" s="427" t="s">
        <v>267</v>
      </c>
      <c r="P12" s="408" t="s">
        <v>268</v>
      </c>
      <c r="Q12" s="427" t="s">
        <v>44</v>
      </c>
      <c r="R12" s="428" t="s">
        <v>73</v>
      </c>
      <c r="S12" s="429" t="s">
        <v>261</v>
      </c>
      <c r="T12" s="408" t="s">
        <v>264</v>
      </c>
      <c r="U12" s="427" t="s">
        <v>265</v>
      </c>
      <c r="V12" s="408" t="s">
        <v>266</v>
      </c>
      <c r="W12" s="427" t="s">
        <v>267</v>
      </c>
      <c r="X12" s="408" t="s">
        <v>268</v>
      </c>
      <c r="Y12" s="404" t="s">
        <v>44</v>
      </c>
      <c r="Z12" s="428" t="s">
        <v>73</v>
      </c>
      <c r="AA12" s="429" t="s">
        <v>261</v>
      </c>
      <c r="AB12" s="408" t="s">
        <v>264</v>
      </c>
      <c r="AC12" s="427" t="s">
        <v>265</v>
      </c>
      <c r="AD12" s="408" t="s">
        <v>266</v>
      </c>
      <c r="AE12" s="427" t="s">
        <v>267</v>
      </c>
      <c r="AF12" s="408" t="s">
        <v>268</v>
      </c>
      <c r="AG12" s="427" t="s">
        <v>44</v>
      </c>
      <c r="AH12" s="431" t="s">
        <v>73</v>
      </c>
      <c r="AI12" s="429" t="s">
        <v>261</v>
      </c>
      <c r="AJ12" s="408" t="s">
        <v>264</v>
      </c>
      <c r="AK12" s="427" t="s">
        <v>265</v>
      </c>
      <c r="AL12" s="408" t="s">
        <v>266</v>
      </c>
      <c r="AM12" s="427" t="s">
        <v>267</v>
      </c>
      <c r="AN12" s="408" t="s">
        <v>268</v>
      </c>
      <c r="AO12" s="404" t="s">
        <v>44</v>
      </c>
      <c r="AP12" s="432" t="s">
        <v>73</v>
      </c>
      <c r="AQ12" s="429" t="s">
        <v>261</v>
      </c>
      <c r="AR12" s="408" t="s">
        <v>264</v>
      </c>
      <c r="AS12" s="427" t="s">
        <v>265</v>
      </c>
      <c r="AT12" s="408" t="s">
        <v>266</v>
      </c>
      <c r="AU12" s="427" t="s">
        <v>267</v>
      </c>
      <c r="AV12" s="408" t="s">
        <v>268</v>
      </c>
      <c r="AW12" s="428" t="s">
        <v>44</v>
      </c>
      <c r="AX12" s="428" t="s">
        <v>73</v>
      </c>
      <c r="AY12" s="429" t="s">
        <v>261</v>
      </c>
      <c r="AZ12" s="408" t="s">
        <v>264</v>
      </c>
      <c r="BA12" s="427" t="s">
        <v>265</v>
      </c>
      <c r="BB12" s="408" t="s">
        <v>266</v>
      </c>
      <c r="BC12" s="427" t="s">
        <v>267</v>
      </c>
      <c r="BD12" s="408" t="s">
        <v>268</v>
      </c>
      <c r="BE12" s="428" t="s">
        <v>44</v>
      </c>
      <c r="BF12" s="428" t="s">
        <v>73</v>
      </c>
      <c r="BG12" s="433" t="s">
        <v>261</v>
      </c>
      <c r="BH12" s="408" t="s">
        <v>264</v>
      </c>
      <c r="BI12" s="427" t="s">
        <v>265</v>
      </c>
      <c r="BJ12" s="408" t="s">
        <v>266</v>
      </c>
      <c r="BK12" s="427" t="s">
        <v>267</v>
      </c>
      <c r="BL12" s="408" t="s">
        <v>268</v>
      </c>
      <c r="BM12" s="428" t="s">
        <v>44</v>
      </c>
      <c r="BN12" s="434" t="s">
        <v>73</v>
      </c>
      <c r="BO12" s="433" t="s">
        <v>261</v>
      </c>
      <c r="BP12" s="408" t="s">
        <v>264</v>
      </c>
      <c r="BQ12" s="427" t="s">
        <v>265</v>
      </c>
      <c r="BR12" s="408" t="s">
        <v>266</v>
      </c>
      <c r="BS12" s="427" t="s">
        <v>267</v>
      </c>
      <c r="BT12" s="408" t="s">
        <v>268</v>
      </c>
      <c r="BU12" s="404" t="s">
        <v>44</v>
      </c>
      <c r="BV12" s="435" t="s">
        <v>73</v>
      </c>
      <c r="BW12" s="433" t="s">
        <v>261</v>
      </c>
      <c r="BX12" s="408" t="s">
        <v>264</v>
      </c>
      <c r="BY12" s="427" t="s">
        <v>265</v>
      </c>
      <c r="BZ12" s="408" t="s">
        <v>266</v>
      </c>
      <c r="CA12" s="427" t="s">
        <v>267</v>
      </c>
      <c r="CB12" s="408" t="s">
        <v>268</v>
      </c>
      <c r="CC12" s="427" t="s">
        <v>44</v>
      </c>
      <c r="CD12" s="436" t="s">
        <v>73</v>
      </c>
      <c r="CE12" s="433" t="s">
        <v>261</v>
      </c>
      <c r="CF12" s="430" t="s">
        <v>264</v>
      </c>
      <c r="CG12" s="427" t="s">
        <v>265</v>
      </c>
      <c r="CH12" s="430" t="s">
        <v>266</v>
      </c>
      <c r="CI12" s="427" t="s">
        <v>267</v>
      </c>
      <c r="CJ12" s="430" t="s">
        <v>268</v>
      </c>
      <c r="CK12" s="404" t="s">
        <v>44</v>
      </c>
      <c r="CL12" s="436" t="s">
        <v>73</v>
      </c>
      <c r="CM12" s="433" t="s">
        <v>261</v>
      </c>
      <c r="CN12" s="408" t="s">
        <v>264</v>
      </c>
      <c r="CO12" s="427" t="s">
        <v>265</v>
      </c>
      <c r="CP12" s="408" t="s">
        <v>266</v>
      </c>
      <c r="CQ12" s="427" t="s">
        <v>267</v>
      </c>
      <c r="CR12" s="408" t="s">
        <v>268</v>
      </c>
      <c r="CS12" s="404" t="s">
        <v>44</v>
      </c>
      <c r="CT12" s="428" t="s">
        <v>73</v>
      </c>
      <c r="CU12" s="433" t="s">
        <v>261</v>
      </c>
      <c r="CV12" s="408" t="s">
        <v>264</v>
      </c>
      <c r="CW12" s="427" t="s">
        <v>265</v>
      </c>
      <c r="CX12" s="408" t="s">
        <v>266</v>
      </c>
      <c r="CY12" s="427" t="s">
        <v>267</v>
      </c>
      <c r="CZ12" s="408" t="s">
        <v>268</v>
      </c>
      <c r="DA12" s="428" t="s">
        <v>44</v>
      </c>
      <c r="DB12" s="428" t="s">
        <v>73</v>
      </c>
      <c r="DC12" s="433" t="s">
        <v>261</v>
      </c>
      <c r="DD12" s="408" t="s">
        <v>264</v>
      </c>
      <c r="DE12" s="427" t="s">
        <v>265</v>
      </c>
      <c r="DF12" s="408" t="s">
        <v>266</v>
      </c>
      <c r="DG12" s="427" t="s">
        <v>267</v>
      </c>
      <c r="DH12" s="408" t="s">
        <v>268</v>
      </c>
      <c r="DI12" s="428" t="s">
        <v>44</v>
      </c>
      <c r="DJ12" s="437" t="s">
        <v>73</v>
      </c>
      <c r="DK12" s="433" t="s">
        <v>261</v>
      </c>
      <c r="DL12" s="408" t="s">
        <v>264</v>
      </c>
      <c r="DM12" s="427" t="s">
        <v>265</v>
      </c>
      <c r="DN12" s="408" t="s">
        <v>266</v>
      </c>
      <c r="DO12" s="427" t="s">
        <v>267</v>
      </c>
      <c r="DP12" s="408" t="s">
        <v>268</v>
      </c>
      <c r="DQ12" s="428" t="s">
        <v>44</v>
      </c>
      <c r="DR12" s="437" t="s">
        <v>73</v>
      </c>
      <c r="DS12" s="433" t="s">
        <v>261</v>
      </c>
      <c r="DT12" s="408" t="s">
        <v>264</v>
      </c>
      <c r="DU12" s="427" t="s">
        <v>265</v>
      </c>
      <c r="DV12" s="408" t="s">
        <v>266</v>
      </c>
      <c r="DW12" s="427" t="s">
        <v>267</v>
      </c>
      <c r="DX12" s="408" t="s">
        <v>268</v>
      </c>
      <c r="DY12" s="404" t="s">
        <v>44</v>
      </c>
      <c r="DZ12" s="428" t="s">
        <v>73</v>
      </c>
      <c r="EA12" s="428"/>
      <c r="EB12" s="408" t="s">
        <v>264</v>
      </c>
      <c r="EC12" s="427" t="s">
        <v>265</v>
      </c>
      <c r="ED12" s="408" t="s">
        <v>266</v>
      </c>
      <c r="EE12" s="427" t="s">
        <v>267</v>
      </c>
      <c r="EF12" s="408" t="s">
        <v>268</v>
      </c>
      <c r="EG12" s="427" t="s">
        <v>44</v>
      </c>
      <c r="EH12" s="428" t="s">
        <v>73</v>
      </c>
      <c r="EI12" s="437"/>
      <c r="EJ12" s="408" t="s">
        <v>264</v>
      </c>
      <c r="EK12" s="427" t="s">
        <v>265</v>
      </c>
      <c r="EL12" s="408" t="s">
        <v>266</v>
      </c>
      <c r="EM12" s="427" t="s">
        <v>267</v>
      </c>
      <c r="EN12" s="408" t="s">
        <v>268</v>
      </c>
      <c r="EO12" s="427" t="s">
        <v>44</v>
      </c>
      <c r="EP12" s="428" t="s">
        <v>73</v>
      </c>
      <c r="EQ12" s="266"/>
      <c r="ER12" s="408" t="s">
        <v>264</v>
      </c>
      <c r="ES12" s="427" t="s">
        <v>265</v>
      </c>
      <c r="ET12" s="408" t="s">
        <v>266</v>
      </c>
      <c r="EU12" s="427" t="s">
        <v>267</v>
      </c>
      <c r="EV12" s="408" t="s">
        <v>268</v>
      </c>
      <c r="EW12" s="404" t="s">
        <v>44</v>
      </c>
      <c r="EX12" s="428" t="s">
        <v>73</v>
      </c>
      <c r="EY12" s="433" t="s">
        <v>261</v>
      </c>
      <c r="EZ12" s="408" t="s">
        <v>264</v>
      </c>
      <c r="FA12" s="427" t="s">
        <v>265</v>
      </c>
      <c r="FB12" s="408" t="s">
        <v>266</v>
      </c>
      <c r="FC12" s="427" t="s">
        <v>267</v>
      </c>
      <c r="FD12" s="408" t="s">
        <v>268</v>
      </c>
      <c r="FE12" s="427" t="s">
        <v>44</v>
      </c>
      <c r="FF12" s="404" t="s">
        <v>73</v>
      </c>
      <c r="FG12" s="428"/>
      <c r="FH12" s="408" t="s">
        <v>264</v>
      </c>
      <c r="FI12" s="427" t="s">
        <v>265</v>
      </c>
      <c r="FJ12" s="408" t="s">
        <v>266</v>
      </c>
      <c r="FK12" s="427" t="s">
        <v>267</v>
      </c>
      <c r="FL12" s="408" t="s">
        <v>268</v>
      </c>
      <c r="FM12" s="404" t="s">
        <v>44</v>
      </c>
      <c r="FN12" s="436" t="s">
        <v>73</v>
      </c>
      <c r="FO12" s="433" t="s">
        <v>261</v>
      </c>
      <c r="FP12" s="408" t="s">
        <v>264</v>
      </c>
      <c r="FQ12" s="427" t="s">
        <v>265</v>
      </c>
      <c r="FR12" s="408" t="s">
        <v>266</v>
      </c>
      <c r="FS12" s="427" t="s">
        <v>267</v>
      </c>
      <c r="FT12" s="408" t="s">
        <v>268</v>
      </c>
      <c r="FU12" s="404" t="s">
        <v>44</v>
      </c>
      <c r="FV12" s="436" t="s">
        <v>73</v>
      </c>
      <c r="FW12" s="433" t="s">
        <v>261</v>
      </c>
      <c r="FX12" s="408" t="s">
        <v>264</v>
      </c>
      <c r="FY12" s="427" t="s">
        <v>265</v>
      </c>
      <c r="FZ12" s="408" t="s">
        <v>266</v>
      </c>
      <c r="GA12" s="427" t="s">
        <v>267</v>
      </c>
      <c r="GB12" s="408" t="s">
        <v>268</v>
      </c>
      <c r="GC12" s="404" t="s">
        <v>44</v>
      </c>
      <c r="GD12" s="436" t="s">
        <v>73</v>
      </c>
      <c r="GE12" s="433" t="s">
        <v>261</v>
      </c>
      <c r="GF12" s="408" t="s">
        <v>264</v>
      </c>
      <c r="GG12" s="427" t="s">
        <v>265</v>
      </c>
      <c r="GH12" s="408" t="s">
        <v>266</v>
      </c>
      <c r="GI12" s="427" t="s">
        <v>267</v>
      </c>
      <c r="GJ12" s="408" t="s">
        <v>268</v>
      </c>
      <c r="GK12" s="404" t="s">
        <v>44</v>
      </c>
      <c r="GL12" s="436" t="s">
        <v>73</v>
      </c>
      <c r="GM12" s="433" t="s">
        <v>261</v>
      </c>
      <c r="GN12" s="408" t="s">
        <v>264</v>
      </c>
      <c r="GO12" s="427" t="s">
        <v>265</v>
      </c>
      <c r="GP12" s="408" t="s">
        <v>266</v>
      </c>
      <c r="GQ12" s="427" t="s">
        <v>267</v>
      </c>
      <c r="GR12" s="408" t="s">
        <v>268</v>
      </c>
      <c r="GS12" s="404" t="s">
        <v>44</v>
      </c>
      <c r="GT12" s="436" t="s">
        <v>73</v>
      </c>
      <c r="GU12" s="433" t="s">
        <v>261</v>
      </c>
      <c r="GV12" s="408" t="s">
        <v>264</v>
      </c>
      <c r="GW12" s="427" t="s">
        <v>265</v>
      </c>
      <c r="GX12" s="408" t="s">
        <v>266</v>
      </c>
      <c r="GY12" s="427" t="s">
        <v>267</v>
      </c>
      <c r="GZ12" s="408" t="s">
        <v>268</v>
      </c>
      <c r="HA12" s="404" t="s">
        <v>44</v>
      </c>
      <c r="HB12" s="436" t="s">
        <v>73</v>
      </c>
      <c r="HC12" s="433" t="s">
        <v>261</v>
      </c>
      <c r="HD12" s="408" t="s">
        <v>264</v>
      </c>
      <c r="HE12" s="427" t="s">
        <v>265</v>
      </c>
      <c r="HF12" s="408" t="s">
        <v>266</v>
      </c>
      <c r="HG12" s="427" t="s">
        <v>267</v>
      </c>
      <c r="HH12" s="408" t="s">
        <v>268</v>
      </c>
      <c r="HI12" s="404" t="s">
        <v>44</v>
      </c>
      <c r="HJ12" s="436" t="s">
        <v>73</v>
      </c>
      <c r="HK12" s="433" t="s">
        <v>261</v>
      </c>
      <c r="HL12" s="408" t="s">
        <v>264</v>
      </c>
      <c r="HM12" s="427" t="s">
        <v>265</v>
      </c>
      <c r="HN12" s="408" t="s">
        <v>266</v>
      </c>
      <c r="HO12" s="427" t="s">
        <v>267</v>
      </c>
      <c r="HP12" s="408" t="s">
        <v>268</v>
      </c>
      <c r="HQ12" s="404" t="s">
        <v>44</v>
      </c>
      <c r="HR12" s="436" t="s">
        <v>73</v>
      </c>
      <c r="HS12" s="433" t="s">
        <v>261</v>
      </c>
      <c r="HT12" s="408" t="s">
        <v>264</v>
      </c>
      <c r="HU12" s="427" t="s">
        <v>265</v>
      </c>
      <c r="HV12" s="408" t="s">
        <v>266</v>
      </c>
      <c r="HW12" s="427" t="s">
        <v>267</v>
      </c>
      <c r="HX12" s="408" t="s">
        <v>268</v>
      </c>
      <c r="HY12" s="809" t="s">
        <v>44</v>
      </c>
      <c r="HZ12" s="810" t="s">
        <v>73</v>
      </c>
      <c r="IA12" s="811" t="s">
        <v>261</v>
      </c>
      <c r="IB12" s="430" t="s">
        <v>264</v>
      </c>
      <c r="IC12" s="809" t="s">
        <v>265</v>
      </c>
      <c r="ID12" s="430" t="s">
        <v>266</v>
      </c>
      <c r="IE12" s="809" t="s">
        <v>267</v>
      </c>
      <c r="IF12" s="430" t="s">
        <v>268</v>
      </c>
    </row>
    <row r="13" spans="1:240" ht="14.25" x14ac:dyDescent="0.2">
      <c r="A13" s="282">
        <v>1</v>
      </c>
      <c r="B13" s="221" t="s">
        <v>1</v>
      </c>
      <c r="I13" s="83">
        <v>1</v>
      </c>
      <c r="Y13" s="25"/>
      <c r="Z13" s="26"/>
      <c r="AB13" s="289"/>
      <c r="AC13" s="289"/>
      <c r="AD13" s="289"/>
      <c r="AE13" s="289"/>
      <c r="AF13" s="289"/>
      <c r="AO13" s="218"/>
      <c r="AP13" s="283"/>
      <c r="AQ13" s="283"/>
      <c r="AW13" s="95"/>
      <c r="AX13" s="95"/>
      <c r="AY13" s="95"/>
      <c r="BE13" s="95"/>
      <c r="BF13" s="95"/>
      <c r="BG13" s="95"/>
      <c r="BM13" s="108"/>
      <c r="BN13" s="108"/>
      <c r="BO13" s="108"/>
      <c r="CK13" s="95"/>
      <c r="CL13" s="95"/>
      <c r="CM13" s="95"/>
      <c r="CN13" s="95"/>
      <c r="CO13" s="95"/>
      <c r="CP13" s="95"/>
      <c r="CQ13" s="95"/>
      <c r="CR13" s="95"/>
      <c r="CS13" s="155"/>
      <c r="CT13" s="155"/>
      <c r="CU13" s="155"/>
      <c r="DA13" s="10"/>
      <c r="DB13" s="10"/>
      <c r="DC13" s="155"/>
      <c r="DQ13" s="182"/>
      <c r="DR13" s="182"/>
      <c r="DS13" s="182"/>
      <c r="DT13" s="183"/>
      <c r="DU13" s="183"/>
      <c r="DV13" s="183"/>
      <c r="DW13" s="183"/>
      <c r="DX13" s="183"/>
      <c r="DY13" s="155"/>
      <c r="DZ13" s="155"/>
      <c r="EA13" s="155"/>
      <c r="EB13" s="155"/>
      <c r="EC13" s="155"/>
      <c r="EG13" s="155"/>
      <c r="EH13" s="92" t="s">
        <v>32</v>
      </c>
      <c r="EO13" s="155"/>
      <c r="FE13" s="155"/>
      <c r="FF13" s="155"/>
      <c r="FG13" s="155"/>
      <c r="FH13" s="155"/>
      <c r="FI13" s="155"/>
      <c r="FJ13" s="155"/>
      <c r="FK13" s="155"/>
      <c r="FL13" s="155"/>
    </row>
    <row r="14" spans="1:240" ht="15" x14ac:dyDescent="0.25">
      <c r="A14" s="15">
        <v>2</v>
      </c>
      <c r="B14" s="9" t="s">
        <v>365</v>
      </c>
      <c r="C14" s="155"/>
      <c r="D14" s="914" t="s">
        <v>514</v>
      </c>
      <c r="E14" s="914"/>
      <c r="F14" s="384">
        <f>'[21]Lead Electric'!E13</f>
        <v>5983138.4299999997</v>
      </c>
      <c r="G14" s="916" t="s">
        <v>514</v>
      </c>
      <c r="H14" s="138">
        <v>0</v>
      </c>
      <c r="I14" s="282">
        <f t="shared" ref="I14:I32" si="0">I13+1</f>
        <v>2</v>
      </c>
      <c r="J14" s="142" t="s">
        <v>381</v>
      </c>
      <c r="K14" s="282"/>
      <c r="L14" s="143">
        <f>[22]Lead!D9</f>
        <v>20655081094.767998</v>
      </c>
      <c r="M14" s="143">
        <f>[22]Lead!E9</f>
        <v>20790328792.745289</v>
      </c>
      <c r="N14" s="143">
        <f>[22]Lead!F9</f>
        <v>135247697.97729111</v>
      </c>
      <c r="O14" s="143">
        <f>[22]Lead!G9</f>
        <v>20790328792.745289</v>
      </c>
      <c r="P14" s="143">
        <f>O14-M14</f>
        <v>0</v>
      </c>
      <c r="Q14" s="282">
        <v>1</v>
      </c>
      <c r="R14" s="246" t="s">
        <v>146</v>
      </c>
      <c r="S14" s="246"/>
      <c r="T14" s="144">
        <f>+'[23]Lead E'!$C$23</f>
        <v>22841555.030000001</v>
      </c>
      <c r="U14" s="144">
        <f>+'[23]Lead E'!$C$14</f>
        <v>119744801.76152284</v>
      </c>
      <c r="V14" s="144">
        <f>U14-T14</f>
        <v>96903246.731522843</v>
      </c>
      <c r="W14" s="144">
        <f>U14</f>
        <v>119744801.76152284</v>
      </c>
      <c r="X14" s="144">
        <f>W14-U14</f>
        <v>0</v>
      </c>
      <c r="Y14" s="282">
        <v>1</v>
      </c>
      <c r="Z14" s="26" t="s">
        <v>30</v>
      </c>
      <c r="AB14" s="144">
        <v>0</v>
      </c>
      <c r="AC14" s="144">
        <f>+Summary!E59</f>
        <v>5281432305.5188236</v>
      </c>
      <c r="AD14" s="144">
        <f>+Summary!E59</f>
        <v>5281432305.5188236</v>
      </c>
      <c r="AE14" s="144">
        <f>+Summary!G59</f>
        <v>5250432178.1150761</v>
      </c>
      <c r="AF14" s="144">
        <f>+AE14-AC14</f>
        <v>-31000127.403747559</v>
      </c>
      <c r="AG14" s="15">
        <f t="shared" ref="AG14:AG51" si="1">+AG13+1</f>
        <v>1</v>
      </c>
      <c r="AH14" s="19" t="s">
        <v>130</v>
      </c>
      <c r="AO14" s="282">
        <v>1</v>
      </c>
      <c r="AP14" s="285" t="s">
        <v>157</v>
      </c>
      <c r="AQ14" s="285"/>
      <c r="AR14" s="73">
        <f>+'[24]Lead E'!D13</f>
        <v>510000</v>
      </c>
      <c r="AS14" s="73">
        <f>+'[24]Lead E'!E13</f>
        <v>220833.33333333334</v>
      </c>
      <c r="AT14" s="73">
        <f>AS14-AR14</f>
        <v>-289166.66666666663</v>
      </c>
      <c r="AU14" s="145">
        <f>+AS14</f>
        <v>220833.33333333334</v>
      </c>
      <c r="AV14" s="73">
        <f>+AU14-AS14</f>
        <v>0</v>
      </c>
      <c r="AW14" s="96">
        <v>1</v>
      </c>
      <c r="AX14" s="96"/>
      <c r="AY14" s="96"/>
      <c r="AZ14" s="257"/>
      <c r="BA14" s="285"/>
      <c r="BB14" s="285"/>
      <c r="BC14" s="285"/>
      <c r="BD14" s="285"/>
      <c r="BE14" s="96">
        <v>1</v>
      </c>
      <c r="BF14" s="209" t="s">
        <v>419</v>
      </c>
      <c r="BM14" s="118">
        <v>1</v>
      </c>
      <c r="BN14" s="52" t="s">
        <v>227</v>
      </c>
      <c r="BO14" s="52"/>
      <c r="BP14" s="211">
        <f>'[25]Lead E'!D12</f>
        <v>84579618.501786992</v>
      </c>
      <c r="BQ14" s="211">
        <f>'[25]Lead E'!E12</f>
        <v>84593680.499568984</v>
      </c>
      <c r="BR14" s="211">
        <f>BQ14-BP14</f>
        <v>14061.997781991959</v>
      </c>
      <c r="BS14" s="211">
        <f>'[25]Lead E'!G12</f>
        <v>84579618.501786992</v>
      </c>
      <c r="BT14" s="211">
        <f>BS14-BQ14</f>
        <v>-14061.997781991959</v>
      </c>
      <c r="BU14" s="135">
        <v>1</v>
      </c>
      <c r="BV14" s="182" t="s">
        <v>169</v>
      </c>
      <c r="BW14" s="28"/>
      <c r="BX14" s="136">
        <f>+'[26]Lead E'!$D$12</f>
        <v>84154.734218343758</v>
      </c>
      <c r="BY14" s="136">
        <f>+'[26]Lead E'!$E$12</f>
        <v>77444.18431150305</v>
      </c>
      <c r="BZ14" s="185">
        <f>+BY14-BX14</f>
        <v>-6710.549906840708</v>
      </c>
      <c r="CA14" s="145">
        <f>+BX14</f>
        <v>84154.734218343758</v>
      </c>
      <c r="CB14" s="185">
        <f>+CA14-BY14</f>
        <v>6710.549906840708</v>
      </c>
      <c r="CC14" s="16">
        <v>1</v>
      </c>
      <c r="CD14" s="71" t="s">
        <v>172</v>
      </c>
      <c r="CE14" s="71"/>
      <c r="CF14" s="145">
        <v>0</v>
      </c>
      <c r="CG14" s="145">
        <f>'[27]Lead E'!$E$11</f>
        <v>803909.33835699933</v>
      </c>
      <c r="CH14" s="145">
        <f>CG14-CF14</f>
        <v>803909.33835699933</v>
      </c>
      <c r="CI14" s="145">
        <f>CG14</f>
        <v>803909.33835699933</v>
      </c>
      <c r="CJ14" s="145">
        <f>CI14-CG14</f>
        <v>0</v>
      </c>
      <c r="CK14" s="96">
        <v>1</v>
      </c>
      <c r="CL14" s="167" t="s">
        <v>174</v>
      </c>
      <c r="CM14" s="167"/>
      <c r="CN14" s="257"/>
      <c r="CO14" s="285"/>
      <c r="CP14" s="285"/>
      <c r="CQ14" s="285"/>
      <c r="CR14" s="285"/>
      <c r="CS14" s="282">
        <v>1</v>
      </c>
      <c r="CT14" s="74" t="s">
        <v>180</v>
      </c>
      <c r="CU14" s="74"/>
      <c r="CV14" s="145">
        <f>+'[28]Lead E'!D15</f>
        <v>4555764.4439206887</v>
      </c>
      <c r="CW14" s="145">
        <f>+'[28]Lead E'!E15</f>
        <v>6740763.446346282</v>
      </c>
      <c r="CX14" s="145">
        <f>CW14-CV14</f>
        <v>2184999.0024255933</v>
      </c>
      <c r="CY14" s="145">
        <f>CW14</f>
        <v>6740763.446346282</v>
      </c>
      <c r="CZ14" s="145">
        <f>CY14-CW14</f>
        <v>0</v>
      </c>
      <c r="DA14" s="16">
        <v>1</v>
      </c>
      <c r="DB14" s="155" t="s">
        <v>177</v>
      </c>
      <c r="DC14" s="30"/>
      <c r="DD14" s="30">
        <f>'[29]Lead E'!$D$10</f>
        <v>3672711.9291196666</v>
      </c>
      <c r="DE14" s="30">
        <f>'[29]Lead E'!$E$10</f>
        <v>3488881.3959241672</v>
      </c>
      <c r="DF14" s="30">
        <f>DE14-DD14</f>
        <v>-183830.53319549933</v>
      </c>
      <c r="DG14" s="30">
        <f>'[29]Lead E'!$G$10</f>
        <v>4009178.2935778066</v>
      </c>
      <c r="DH14" s="30">
        <f>DG14-DE14</f>
        <v>520296.89765363932</v>
      </c>
      <c r="DI14" s="96">
        <v>1</v>
      </c>
      <c r="DJ14" s="170" t="s">
        <v>182</v>
      </c>
      <c r="DK14" s="182"/>
      <c r="DL14" s="184"/>
      <c r="DM14" s="184"/>
      <c r="DN14" s="185"/>
      <c r="DO14" s="184"/>
      <c r="DP14" s="184"/>
      <c r="DQ14" s="96">
        <v>1</v>
      </c>
      <c r="DR14" s="202" t="s">
        <v>407</v>
      </c>
      <c r="DS14" s="49"/>
      <c r="DT14" s="184"/>
      <c r="DU14" s="184"/>
      <c r="DV14" s="185"/>
      <c r="DW14" s="184"/>
      <c r="DX14" s="184"/>
      <c r="DY14" s="282">
        <v>1</v>
      </c>
      <c r="DZ14" s="159" t="s">
        <v>191</v>
      </c>
      <c r="EA14" s="13"/>
      <c r="EB14" s="13"/>
      <c r="EC14" s="13"/>
      <c r="EG14" s="282">
        <v>1</v>
      </c>
      <c r="EH14" s="93" t="s">
        <v>33</v>
      </c>
      <c r="EJ14" s="185">
        <f>'[11]Lead E'!C10</f>
        <v>10572466950.394854</v>
      </c>
      <c r="EK14" s="280">
        <v>10898318512.33153</v>
      </c>
      <c r="EL14" s="185">
        <f t="shared" ref="EL14:EL19" si="2">EK14-EJ14</f>
        <v>325851561.93667603</v>
      </c>
      <c r="EM14" s="185">
        <f t="shared" ref="EM14:EM19" si="3">EK14</f>
        <v>10898318512.33153</v>
      </c>
      <c r="EN14" s="185">
        <f t="shared" ref="EN14:EN19" si="4">EM14-EK14</f>
        <v>0</v>
      </c>
      <c r="EO14" s="282">
        <v>1</v>
      </c>
      <c r="EP14" s="93" t="s">
        <v>388</v>
      </c>
      <c r="ER14" s="30">
        <f>'[30]Lead Electric'!D13</f>
        <v>316437620.50999957</v>
      </c>
      <c r="ES14" s="30">
        <f>'[30]Lead Electric'!E13</f>
        <v>320871178.06530237</v>
      </c>
      <c r="ET14" s="30">
        <f>ES14-ER14</f>
        <v>4433557.5553027987</v>
      </c>
      <c r="EU14" s="30">
        <f>ES14</f>
        <v>320871178.06530237</v>
      </c>
      <c r="EV14" s="30">
        <f>EU14-ES14</f>
        <v>0</v>
      </c>
      <c r="EW14" s="83">
        <v>1</v>
      </c>
      <c r="EX14" s="288" t="s">
        <v>554</v>
      </c>
      <c r="EZ14" s="145"/>
      <c r="FA14" s="145"/>
      <c r="FB14" s="145"/>
      <c r="FC14" s="145"/>
      <c r="FD14" s="145"/>
      <c r="FE14" s="282">
        <v>1</v>
      </c>
      <c r="FF14" s="195"/>
      <c r="FG14" s="38"/>
      <c r="FH14" s="38"/>
      <c r="FI14" s="38"/>
      <c r="FJ14" s="39"/>
      <c r="FK14" s="40"/>
      <c r="FL14" s="40"/>
      <c r="FM14" s="282">
        <v>1</v>
      </c>
      <c r="FN14" s="8" t="s">
        <v>447</v>
      </c>
      <c r="FO14" s="8"/>
      <c r="FP14" s="238"/>
      <c r="FQ14" s="238"/>
      <c r="FR14" s="238"/>
      <c r="FS14" s="238"/>
      <c r="FT14" s="238"/>
      <c r="FU14" s="96">
        <v>1</v>
      </c>
      <c r="FV14" s="167"/>
      <c r="FW14" s="167"/>
      <c r="FX14" s="257"/>
      <c r="FY14" s="275"/>
      <c r="FZ14" s="275"/>
      <c r="GA14" s="275"/>
      <c r="GB14" s="275"/>
      <c r="GC14" s="166">
        <v>1</v>
      </c>
      <c r="GD14" s="8" t="s">
        <v>447</v>
      </c>
      <c r="GE14" s="8"/>
      <c r="GF14" s="238"/>
      <c r="GG14" s="238"/>
      <c r="GH14" s="238"/>
      <c r="GI14" s="238"/>
      <c r="GJ14" s="238"/>
      <c r="GK14" s="166">
        <v>1</v>
      </c>
      <c r="GL14" s="288" t="s">
        <v>354</v>
      </c>
      <c r="GS14" s="166">
        <v>1</v>
      </c>
      <c r="GT14" s="91" t="s">
        <v>466</v>
      </c>
      <c r="HA14" s="96">
        <v>1</v>
      </c>
      <c r="HB14" s="251" t="s">
        <v>270</v>
      </c>
      <c r="HC14" s="49"/>
      <c r="HD14" s="49"/>
      <c r="HE14" s="49"/>
      <c r="HF14" s="49"/>
      <c r="HG14" s="285"/>
      <c r="HH14" s="49"/>
      <c r="HI14" s="166">
        <v>1</v>
      </c>
      <c r="HJ14" s="246" t="s">
        <v>14</v>
      </c>
      <c r="HK14" s="145"/>
      <c r="HL14" s="145">
        <f>'[31]Lead E'!D11</f>
        <v>5059842.29</v>
      </c>
      <c r="HM14" s="145">
        <f>'[31]Lead E'!E11</f>
        <v>5059842.29</v>
      </c>
      <c r="HN14" s="145">
        <f>HM14-HL14</f>
        <v>0</v>
      </c>
      <c r="HO14" s="145">
        <f>'[31]Lead E'!G11</f>
        <v>5219050.7699999996</v>
      </c>
      <c r="HP14" s="145">
        <f>HO14-HM14</f>
        <v>159208.47999999952</v>
      </c>
      <c r="HQ14" s="166">
        <v>1</v>
      </c>
      <c r="HR14" s="155" t="s">
        <v>447</v>
      </c>
      <c r="HY14" s="135">
        <v>1</v>
      </c>
      <c r="HZ14" s="812" t="s">
        <v>466</v>
      </c>
      <c r="IA14" s="236"/>
      <c r="IB14" s="184"/>
      <c r="IC14" s="184"/>
      <c r="ID14" s="184"/>
      <c r="IE14" s="184"/>
      <c r="IF14" s="184"/>
    </row>
    <row r="15" spans="1:240" ht="15" x14ac:dyDescent="0.25">
      <c r="A15" s="15">
        <f t="shared" ref="A15:A53" si="5">A14+1</f>
        <v>3</v>
      </c>
      <c r="B15" s="9" t="s">
        <v>366</v>
      </c>
      <c r="C15" s="155"/>
      <c r="D15" s="914"/>
      <c r="E15" s="914"/>
      <c r="F15" s="58">
        <f>'[21]Lead Electric'!E14</f>
        <v>41885179.539999999</v>
      </c>
      <c r="G15" s="916"/>
      <c r="H15" s="58">
        <v>0</v>
      </c>
      <c r="I15" s="282">
        <f t="shared" si="0"/>
        <v>3</v>
      </c>
      <c r="J15" s="141"/>
      <c r="K15" s="42"/>
      <c r="L15" s="42"/>
      <c r="M15" s="42"/>
      <c r="N15" s="42"/>
      <c r="O15" s="42"/>
      <c r="P15" s="42"/>
      <c r="Q15" s="282">
        <f>Q14+1</f>
        <v>2</v>
      </c>
      <c r="R15" s="246" t="s">
        <v>147</v>
      </c>
      <c r="S15" s="246"/>
      <c r="T15" s="59">
        <f>+'[23]Lead E'!$C$24++'[23]Lead E'!$C$25</f>
        <v>38907707.560000002</v>
      </c>
      <c r="U15" s="58">
        <f>+'[23]Lead E'!$C$17</f>
        <v>-43059885.72469534</v>
      </c>
      <c r="V15" s="59">
        <f>U15-T15</f>
        <v>-81967593.284695342</v>
      </c>
      <c r="W15" s="402">
        <f>U15</f>
        <v>-43059885.72469534</v>
      </c>
      <c r="X15" s="97">
        <f>W15-U15</f>
        <v>0</v>
      </c>
      <c r="Y15" s="282">
        <f t="shared" ref="Y15:Y22" si="6">Y14+1</f>
        <v>2</v>
      </c>
      <c r="Z15" s="26" t="s">
        <v>150</v>
      </c>
      <c r="AB15" s="359"/>
      <c r="AC15" s="359"/>
      <c r="AD15" s="359"/>
      <c r="AE15" s="359"/>
      <c r="AF15" s="359"/>
      <c r="AG15" s="15">
        <f t="shared" si="1"/>
        <v>2</v>
      </c>
      <c r="AH15" s="20" t="s">
        <v>131</v>
      </c>
      <c r="AJ15" s="43">
        <f>+'[32]Lead Sheet E'!D12</f>
        <v>101866388.838</v>
      </c>
      <c r="AK15" s="43">
        <f>'[32]Lead Sheet E'!E12</f>
        <v>0</v>
      </c>
      <c r="AL15" s="43">
        <f t="shared" ref="AL15:AL27" si="7">AK15-AJ15</f>
        <v>-101866388.838</v>
      </c>
      <c r="AM15" s="43">
        <f t="shared" ref="AM15:AM27" si="8">+AK15</f>
        <v>0</v>
      </c>
      <c r="AN15" s="43">
        <f>+AM15-AK15</f>
        <v>0</v>
      </c>
      <c r="AO15" s="282">
        <f t="shared" ref="AO15:AO21" si="9">AO14+1</f>
        <v>2</v>
      </c>
      <c r="AP15" s="285" t="s">
        <v>158</v>
      </c>
      <c r="AQ15" s="285"/>
      <c r="AR15" s="438">
        <f>+'[24]Lead E'!D14</f>
        <v>740336.86596767348</v>
      </c>
      <c r="AS15" s="438">
        <f>+'[24]Lead E'!E14</f>
        <v>945203.0581214655</v>
      </c>
      <c r="AT15" s="438">
        <f>AS15-AR15</f>
        <v>204866.19215379201</v>
      </c>
      <c r="AU15" s="97">
        <f>+AS15</f>
        <v>945203.0581214655</v>
      </c>
      <c r="AV15" s="439">
        <f>+AU15-AS15</f>
        <v>0</v>
      </c>
      <c r="AW15" s="96">
        <f>AW14+1</f>
        <v>2</v>
      </c>
      <c r="AX15" s="98" t="s">
        <v>262</v>
      </c>
      <c r="AY15" s="400">
        <f>[33]Summary!$I$18</f>
        <v>8.4790000000000004E-3</v>
      </c>
      <c r="AZ15" s="103">
        <f>+'[33]Lead E'!$D$12</f>
        <v>18742755.935488999</v>
      </c>
      <c r="BA15" s="103">
        <f>+'[33]Lead E'!$E$12</f>
        <v>18359017</v>
      </c>
      <c r="BB15" s="103">
        <f>BA15-AZ15</f>
        <v>-383738.93548899889</v>
      </c>
      <c r="BC15" s="285">
        <f>BA15</f>
        <v>18359017</v>
      </c>
      <c r="BD15" s="285">
        <f>BC15-BA15</f>
        <v>0</v>
      </c>
      <c r="BE15" s="96">
        <f t="shared" ref="BE15:BE29" si="10">BE14+1</f>
        <v>2</v>
      </c>
      <c r="BF15" s="210" t="s">
        <v>117</v>
      </c>
      <c r="BH15" s="211">
        <f>'[34] Electric'!D14</f>
        <v>527768.06156201533</v>
      </c>
      <c r="BI15" s="211">
        <f>'[34] Electric'!E14</f>
        <v>514838.73941173131</v>
      </c>
      <c r="BJ15" s="211">
        <f>'[34] Electric'!F14</f>
        <v>-12929.322150284017</v>
      </c>
      <c r="BK15" s="211">
        <f>'[34] Electric'!G14</f>
        <v>514838.73941173131</v>
      </c>
      <c r="BL15" s="211">
        <f>'[34] Electric'!H14</f>
        <v>0</v>
      </c>
      <c r="BM15" s="118">
        <v>2</v>
      </c>
      <c r="BN15" s="52" t="s">
        <v>228</v>
      </c>
      <c r="BO15" s="52"/>
      <c r="BP15" s="62">
        <f>'[25]Lead E'!D13</f>
        <v>4669751.78</v>
      </c>
      <c r="BQ15" s="62">
        <f>'[25]Lead E'!E13</f>
        <v>4564759.7001399994</v>
      </c>
      <c r="BR15" s="99">
        <f>BQ15-BP15</f>
        <v>-104992.07986000087</v>
      </c>
      <c r="BS15" s="62">
        <f>'[25]Lead E'!G13</f>
        <v>4669751.78</v>
      </c>
      <c r="BT15" s="440">
        <f>BS15-BQ15</f>
        <v>104992.07986000087</v>
      </c>
      <c r="BU15" s="135">
        <f t="shared" ref="BU15:BU21" si="11">BU14+1</f>
        <v>2</v>
      </c>
      <c r="BV15" s="182"/>
      <c r="BW15" s="28"/>
      <c r="BX15" s="227"/>
      <c r="BY15" s="227"/>
      <c r="BZ15" s="228"/>
      <c r="CA15" s="229"/>
      <c r="CB15" s="228"/>
      <c r="CC15" s="16">
        <f>CC14+1</f>
        <v>2</v>
      </c>
      <c r="CD15" s="155"/>
      <c r="CE15" s="155"/>
      <c r="CF15" s="155"/>
      <c r="CG15" s="155"/>
      <c r="CH15" s="155"/>
      <c r="CK15" s="96">
        <f t="shared" ref="CK15:CK23" si="12">+CK14+1</f>
        <v>2</v>
      </c>
      <c r="CL15" s="45" t="s">
        <v>220</v>
      </c>
      <c r="CM15" s="45"/>
      <c r="CN15" s="99"/>
      <c r="CO15" s="99"/>
      <c r="CP15" s="99"/>
      <c r="CQ15" s="99"/>
      <c r="CR15" s="99"/>
      <c r="CS15" s="282">
        <f>CS14+1</f>
        <v>2</v>
      </c>
      <c r="CT15" s="246" t="s">
        <v>120</v>
      </c>
      <c r="CU15" s="246"/>
      <c r="CV15" s="441">
        <f>SUM(CV14:CV14)</f>
        <v>4555764.4439206887</v>
      </c>
      <c r="CW15" s="441">
        <f>SUM(CW14:CW14)</f>
        <v>6740763.446346282</v>
      </c>
      <c r="CX15" s="441">
        <f>SUM(CX14:CX14)</f>
        <v>2184999.0024255933</v>
      </c>
      <c r="CY15" s="441">
        <f>SUM(CY14)</f>
        <v>6740763.446346282</v>
      </c>
      <c r="CZ15" s="441">
        <f>SUM(CZ14)</f>
        <v>0</v>
      </c>
      <c r="DA15" s="16">
        <f>DA14+1</f>
        <v>2</v>
      </c>
      <c r="DB15" s="155" t="s">
        <v>178</v>
      </c>
      <c r="DC15" s="57"/>
      <c r="DD15" s="57">
        <f>'[29]Lead E'!$D$11</f>
        <v>2115323.8108910434</v>
      </c>
      <c r="DE15" s="57">
        <f>'[29]Lead E'!$E$11</f>
        <v>1894152.5850881652</v>
      </c>
      <c r="DF15" s="82">
        <f>DE15-DD15</f>
        <v>-221171.22580287815</v>
      </c>
      <c r="DG15" s="57">
        <f>'[29]Lead E'!$G$11</f>
        <v>1934093.6637685676</v>
      </c>
      <c r="DH15" s="30">
        <f>DG15-DE15</f>
        <v>39941.078680402366</v>
      </c>
      <c r="DI15" s="96">
        <f t="shared" ref="DI15:DI30" si="13">+DI14+1</f>
        <v>2</v>
      </c>
      <c r="DJ15" s="171" t="s">
        <v>117</v>
      </c>
      <c r="DK15" s="182"/>
      <c r="DL15" s="184">
        <f>+'[35]Electric RS + RP'!D13</f>
        <v>6435874.2777891876</v>
      </c>
      <c r="DM15" s="184">
        <f>+'[35]Electric RS + RP'!E13</f>
        <v>6442215.4155860059</v>
      </c>
      <c r="DN15" s="185">
        <f t="shared" ref="DN15:DN23" si="14">+DM15-DL15</f>
        <v>6341.1377968182787</v>
      </c>
      <c r="DO15" s="184">
        <f>+'[35]Electric RS + RP'!G13</f>
        <v>6688165.9532109005</v>
      </c>
      <c r="DP15" s="184">
        <f t="shared" ref="DP15:DP23" si="15">+DO15-DM15</f>
        <v>245950.53762489464</v>
      </c>
      <c r="DQ15" s="96">
        <f t="shared" ref="DQ15:DQ34" si="16">DQ14+1</f>
        <v>2</v>
      </c>
      <c r="DR15" s="112" t="s">
        <v>186</v>
      </c>
      <c r="DS15" s="96"/>
      <c r="DT15" s="185">
        <f>+[36]Electric!D14</f>
        <v>9540504.8394000009</v>
      </c>
      <c r="DU15" s="185">
        <f>+[36]Electric!E14</f>
        <v>9550045.3442394007</v>
      </c>
      <c r="DV15" s="185">
        <f>+DU15-DT15</f>
        <v>9540.5048393998295</v>
      </c>
      <c r="DW15" s="185">
        <f>+[36]Electric!G14</f>
        <v>9915812.0809237696</v>
      </c>
      <c r="DX15" s="185">
        <f>+DW15-DU15</f>
        <v>365766.73668436892</v>
      </c>
      <c r="DY15" s="282">
        <v>2</v>
      </c>
      <c r="DZ15" s="98" t="s">
        <v>402</v>
      </c>
      <c r="EA15" s="246"/>
      <c r="EB15" s="185">
        <f>'[37]Lead Elec'!D14</f>
        <v>19841150.083478596</v>
      </c>
      <c r="EC15" s="185">
        <f>'[37]Lead Elec'!E14</f>
        <v>19806192.590422798</v>
      </c>
      <c r="ED15" s="185">
        <f>EC15-EB15</f>
        <v>-34957.493055798113</v>
      </c>
      <c r="EE15" s="185">
        <f>'[37]Lead Elec'!G14</f>
        <v>20948313.3479256</v>
      </c>
      <c r="EF15" s="185">
        <f>EE15-EC15</f>
        <v>1142120.7575028017</v>
      </c>
      <c r="EG15" s="282">
        <f t="shared" ref="EG15:EG20" si="17">EG14+1</f>
        <v>2</v>
      </c>
      <c r="EH15" s="93" t="s">
        <v>34</v>
      </c>
      <c r="EJ15" s="97">
        <f>'[11]Lead E'!C11</f>
        <v>-4244925258.0010071</v>
      </c>
      <c r="EK15" s="345">
        <v>-4388667535.5324507</v>
      </c>
      <c r="EL15" s="97">
        <f t="shared" si="2"/>
        <v>-143742277.5314436</v>
      </c>
      <c r="EM15" s="100">
        <f t="shared" si="3"/>
        <v>-4388667535.5324507</v>
      </c>
      <c r="EN15" s="97">
        <f t="shared" si="4"/>
        <v>0</v>
      </c>
      <c r="EO15" s="282">
        <f t="shared" ref="EO15:EO32" si="18">EO14+1</f>
        <v>2</v>
      </c>
      <c r="EP15" s="93" t="s">
        <v>389</v>
      </c>
      <c r="ER15" s="100">
        <f>'[30]Lead Electric'!D14</f>
        <v>17479184.218140036</v>
      </c>
      <c r="ES15" s="100">
        <f>'[30]Lead Electric'!E14</f>
        <v>18643869.746868491</v>
      </c>
      <c r="ET15" s="100">
        <f>ES15-ER15</f>
        <v>1164685.5287284553</v>
      </c>
      <c r="EU15" s="100">
        <f>ES15</f>
        <v>18643869.746868491</v>
      </c>
      <c r="EV15" s="100">
        <f>EU15-ES15</f>
        <v>0</v>
      </c>
      <c r="EW15" s="83">
        <f t="shared" ref="EW15:EW20" si="19">EW14+1</f>
        <v>2</v>
      </c>
      <c r="EX15" s="288" t="s">
        <v>355</v>
      </c>
      <c r="EZ15" s="157">
        <f>+'[38]Lead E '!D16</f>
        <v>-763743.36</v>
      </c>
      <c r="FA15" s="157">
        <f>+'[38]Lead E '!E16</f>
        <v>-763743.36</v>
      </c>
      <c r="FB15" s="157">
        <f>FA15-EZ15</f>
        <v>0</v>
      </c>
      <c r="FC15" s="157">
        <f>+'[38]Lead E '!G16</f>
        <v>-4297707.3533333326</v>
      </c>
      <c r="FD15" s="157">
        <f>FC15-FA15</f>
        <v>-3533963.9933333327</v>
      </c>
      <c r="FE15" s="282">
        <f>FE14+1</f>
        <v>2</v>
      </c>
      <c r="FF15" s="196" t="s">
        <v>590</v>
      </c>
      <c r="FG15" s="41"/>
      <c r="FH15" s="145">
        <f>'[39]Lead E'!$D$15</f>
        <v>1423784.9999999995</v>
      </c>
      <c r="FI15" s="145">
        <f>'[39]Lead E'!$E$15</f>
        <v>1423784.9999999995</v>
      </c>
      <c r="FJ15" s="145">
        <f>FI15-FH15</f>
        <v>0</v>
      </c>
      <c r="FK15" s="145">
        <f>'[39]Lead E'!$G$15</f>
        <v>1575832.6603212098</v>
      </c>
      <c r="FL15" s="145">
        <f>FK15-FI15</f>
        <v>152047.66032121028</v>
      </c>
      <c r="FM15" s="282">
        <f t="shared" ref="FM15:FM42" si="20">FM14+1</f>
        <v>2</v>
      </c>
      <c r="FN15" s="8" t="s">
        <v>472</v>
      </c>
      <c r="FO15" s="8"/>
      <c r="FP15" s="238"/>
      <c r="FQ15" s="238"/>
      <c r="FR15" s="238"/>
      <c r="FS15" s="238"/>
      <c r="FT15" s="238"/>
      <c r="FU15" s="96">
        <v>2</v>
      </c>
      <c r="FV15" s="1" t="s">
        <v>443</v>
      </c>
      <c r="FW15" s="233"/>
      <c r="FX15" s="106">
        <f>+'[40]Lead E'!D11</f>
        <v>1029462.7966205003</v>
      </c>
      <c r="FY15" s="106">
        <f>+'[40]Lead E'!E11</f>
        <v>0</v>
      </c>
      <c r="FZ15" s="106">
        <f t="shared" ref="FZ15:FZ22" si="21">FY15-FX15</f>
        <v>-1029462.7966205003</v>
      </c>
      <c r="GA15" s="106">
        <f>+'[40]Lead E'!$G11</f>
        <v>0</v>
      </c>
      <c r="GB15" s="106">
        <f t="shared" ref="GB15:GB22" si="22">GA15-FY15</f>
        <v>0</v>
      </c>
      <c r="GC15" s="166">
        <f t="shared" ref="GC15:GC38" si="23">+GC14+1</f>
        <v>2</v>
      </c>
      <c r="GD15" s="8" t="s">
        <v>472</v>
      </c>
      <c r="GE15" s="8"/>
      <c r="GF15" s="238"/>
      <c r="GG15" s="238"/>
      <c r="GH15" s="238"/>
      <c r="GI15" s="238"/>
      <c r="GJ15" s="238"/>
      <c r="GK15" s="166">
        <f t="shared" ref="GK15:GK20" si="24">GK14+1</f>
        <v>2</v>
      </c>
      <c r="GL15" s="288" t="s">
        <v>355</v>
      </c>
      <c r="GN15" s="145">
        <f>'[41]Lead E '!$D$16</f>
        <v>828672</v>
      </c>
      <c r="GO15" s="145">
        <f>'[41]Lead E '!$E$16</f>
        <v>828672</v>
      </c>
      <c r="GP15" s="145">
        <f>GO15-GN15</f>
        <v>0</v>
      </c>
      <c r="GQ15" s="145">
        <f>'[41]Lead E '!$G$16</f>
        <v>224455.831275</v>
      </c>
      <c r="GR15" s="145">
        <f>GQ15-GO15</f>
        <v>-604216.168725</v>
      </c>
      <c r="GS15" s="166">
        <f t="shared" ref="GS15:GS23" si="25">+GS14+1</f>
        <v>2</v>
      </c>
      <c r="GT15" s="288" t="s">
        <v>467</v>
      </c>
      <c r="GU15" s="8"/>
      <c r="GV15" s="157">
        <f>'[42]Lead E'!D14</f>
        <v>-36025489.107016005</v>
      </c>
      <c r="GW15" s="157">
        <f>GV15</f>
        <v>-36025489.107016005</v>
      </c>
      <c r="GX15" s="157">
        <f>GW15-GV15</f>
        <v>0</v>
      </c>
      <c r="GY15" s="157">
        <f>'[42]Lead E'!$G$14</f>
        <v>-31522302.987015996</v>
      </c>
      <c r="GZ15" s="157">
        <f>GY15-GW15</f>
        <v>4503186.1200000085</v>
      </c>
      <c r="HA15" s="96">
        <v>2</v>
      </c>
      <c r="HB15" s="213" t="s">
        <v>99</v>
      </c>
      <c r="HC15" s="49"/>
      <c r="HD15" s="145">
        <v>0</v>
      </c>
      <c r="HE15" s="145">
        <f>+HD15</f>
        <v>0</v>
      </c>
      <c r="HF15" s="145">
        <f>HE15-HD15</f>
        <v>0</v>
      </c>
      <c r="HG15" s="145">
        <v>0</v>
      </c>
      <c r="HH15" s="145">
        <f>HG15-HF15</f>
        <v>0</v>
      </c>
      <c r="HI15" s="166">
        <f t="shared" ref="HI15:HI21" si="26">+HI14+1</f>
        <v>2</v>
      </c>
      <c r="HJ15" s="246" t="s">
        <v>15</v>
      </c>
      <c r="HK15" s="97"/>
      <c r="HL15" s="97">
        <f>'[31]Lead E'!D12</f>
        <v>47610895.020000003</v>
      </c>
      <c r="HM15" s="97">
        <f>'[31]Lead E'!E12</f>
        <v>47610895.020000003</v>
      </c>
      <c r="HN15" s="97">
        <f>HM15-HL15</f>
        <v>0</v>
      </c>
      <c r="HO15" s="97">
        <f>'[31]Lead E'!G12</f>
        <v>48988849.240000002</v>
      </c>
      <c r="HP15" s="97">
        <f>HO15-HM15</f>
        <v>1377954.2199999988</v>
      </c>
      <c r="HQ15" s="166">
        <f t="shared" ref="HQ15:HQ30" si="27">+HQ14+1</f>
        <v>2</v>
      </c>
      <c r="HR15" s="155" t="s">
        <v>488</v>
      </c>
      <c r="HY15" s="135">
        <v>2</v>
      </c>
      <c r="HZ15" s="187" t="s">
        <v>943</v>
      </c>
      <c r="IA15" s="236"/>
      <c r="IB15" s="145">
        <v>0</v>
      </c>
      <c r="IC15" s="145">
        <f>IB15</f>
        <v>0</v>
      </c>
      <c r="ID15" s="145">
        <f>IC15-IB15</f>
        <v>0</v>
      </c>
      <c r="IE15" s="145">
        <v>-79300000</v>
      </c>
      <c r="IF15" s="145">
        <f>IE15-IC15</f>
        <v>-79300000</v>
      </c>
    </row>
    <row r="16" spans="1:240" ht="15.75" thickBot="1" x14ac:dyDescent="0.3">
      <c r="A16" s="15">
        <f>A15+1</f>
        <v>4</v>
      </c>
      <c r="B16" s="9" t="s">
        <v>367</v>
      </c>
      <c r="C16" s="155"/>
      <c r="D16" s="914"/>
      <c r="E16" s="914"/>
      <c r="F16" s="139">
        <v>0</v>
      </c>
      <c r="G16" s="916"/>
      <c r="H16" s="139">
        <f>'[21]Lead Electric'!G15</f>
        <v>1895876.7300000002</v>
      </c>
      <c r="I16" s="282">
        <f>I15+1</f>
        <v>4</v>
      </c>
      <c r="J16" s="142" t="s">
        <v>382</v>
      </c>
      <c r="K16" s="17"/>
      <c r="L16" s="146">
        <f>[22]Lead!D11</f>
        <v>3.901848296808768E-2</v>
      </c>
      <c r="M16" s="146">
        <f>[22]Lead!E11</f>
        <v>3.901848296808768E-2</v>
      </c>
      <c r="N16" s="146">
        <f>[22]Lead!F11</f>
        <v>3.901848296808768E-2</v>
      </c>
      <c r="O16" s="146">
        <f>[22]Lead!G11</f>
        <v>3.9456616779765467E-2</v>
      </c>
      <c r="P16" s="146">
        <f>O16-M16</f>
        <v>4.3813381167778775E-4</v>
      </c>
      <c r="Q16" s="282">
        <f>Q15+1</f>
        <v>3</v>
      </c>
      <c r="R16" s="182" t="s">
        <v>965</v>
      </c>
      <c r="S16" s="246"/>
      <c r="T16" s="823">
        <v>0</v>
      </c>
      <c r="U16" s="823">
        <v>-6758650.2213396681</v>
      </c>
      <c r="V16" s="823">
        <f>+U16-T16</f>
        <v>-6758650.2213396681</v>
      </c>
      <c r="W16" s="822">
        <f>U16</f>
        <v>-6758650.2213396681</v>
      </c>
      <c r="X16" s="97">
        <f>W16-U16</f>
        <v>0</v>
      </c>
      <c r="Y16" s="282">
        <f>Y15+1</f>
        <v>3</v>
      </c>
      <c r="Z16" s="10" t="s">
        <v>151</v>
      </c>
      <c r="AB16" s="106"/>
      <c r="AC16" s="106"/>
      <c r="AD16" s="106"/>
      <c r="AE16" s="106"/>
      <c r="AF16" s="359"/>
      <c r="AG16" s="15">
        <f>+AG15+1</f>
        <v>3</v>
      </c>
      <c r="AH16" s="20" t="s">
        <v>212</v>
      </c>
      <c r="AJ16" s="262">
        <f>+'[32]Lead Sheet E'!D13</f>
        <v>62179769</v>
      </c>
      <c r="AK16" s="262">
        <f>'[32]Lead Sheet E'!E13</f>
        <v>0</v>
      </c>
      <c r="AL16" s="262">
        <f t="shared" si="7"/>
        <v>-62179769</v>
      </c>
      <c r="AM16" s="262">
        <f t="shared" si="8"/>
        <v>0</v>
      </c>
      <c r="AN16" s="262">
        <f t="shared" ref="AN16:AN27" si="28">AM16-AK16</f>
        <v>0</v>
      </c>
      <c r="AO16" s="282">
        <f>AO15+1</f>
        <v>3</v>
      </c>
      <c r="AP16" s="285" t="s">
        <v>159</v>
      </c>
      <c r="AQ16" s="285"/>
      <c r="AR16" s="443">
        <f>SUM(AR14:AR15)</f>
        <v>1250336.8659676735</v>
      </c>
      <c r="AS16" s="443">
        <f>SUM(AS14:AS15)</f>
        <v>1166036.3914547989</v>
      </c>
      <c r="AT16" s="443">
        <f>SUM(AT14:AT15)</f>
        <v>-84300.474512874614</v>
      </c>
      <c r="AU16" s="443">
        <f>SUM(AU14:AU15)</f>
        <v>1166036.3914547989</v>
      </c>
      <c r="AV16" s="443">
        <f>SUM(AV14:AV15)</f>
        <v>0</v>
      </c>
      <c r="AW16" s="96">
        <f>AW15+1</f>
        <v>3</v>
      </c>
      <c r="AX16" s="96"/>
      <c r="AY16" s="96"/>
      <c r="AZ16" s="444"/>
      <c r="BA16" s="445"/>
      <c r="BB16" s="445"/>
      <c r="BC16" s="445"/>
      <c r="BD16" s="445"/>
      <c r="BE16" s="96">
        <f>BE15+1</f>
        <v>3</v>
      </c>
      <c r="BF16" s="210" t="s">
        <v>118</v>
      </c>
      <c r="BH16" s="99">
        <f>'[34] Electric'!D15</f>
        <v>1722337.7348331909</v>
      </c>
      <c r="BI16" s="99">
        <f>'[34] Electric'!E15</f>
        <v>1679000.5734577938</v>
      </c>
      <c r="BJ16" s="99">
        <f>'[34] Electric'!F15</f>
        <v>-43337.161375397118</v>
      </c>
      <c r="BK16" s="99">
        <f>'[34] Electric'!G15</f>
        <v>1679000.5734577938</v>
      </c>
      <c r="BL16" s="62">
        <f>'[34] Electric'!H15</f>
        <v>0</v>
      </c>
      <c r="BM16" s="118">
        <v>3</v>
      </c>
      <c r="BN16" s="52" t="s">
        <v>229</v>
      </c>
      <c r="BO16" s="52"/>
      <c r="BP16" s="446">
        <f>BP14+BP15</f>
        <v>89249370.281786993</v>
      </c>
      <c r="BQ16" s="446">
        <f>BQ14+BQ15</f>
        <v>89158440.199708983</v>
      </c>
      <c r="BR16" s="446">
        <f>BR14+BR15</f>
        <v>-90930.082078008913</v>
      </c>
      <c r="BS16" s="446">
        <f>BS14+BS15</f>
        <v>89249370.281786993</v>
      </c>
      <c r="BT16" s="53">
        <f>BT14+BT15</f>
        <v>90930.082078008913</v>
      </c>
      <c r="BU16" s="135">
        <f>BU15+1</f>
        <v>3</v>
      </c>
      <c r="BV16" s="182" t="s">
        <v>107</v>
      </c>
      <c r="BW16" s="28"/>
      <c r="BX16" s="192">
        <f>SUM(BX14:BX15)</f>
        <v>84154.734218343758</v>
      </c>
      <c r="BY16" s="192">
        <f>SUM(BY14:BY15)</f>
        <v>77444.18431150305</v>
      </c>
      <c r="BZ16" s="192">
        <f>SUM(BZ14:BZ15)</f>
        <v>-6710.549906840708</v>
      </c>
      <c r="CA16" s="192">
        <f>SUM(CA14:CA15)</f>
        <v>84154.734218343758</v>
      </c>
      <c r="CB16" s="192">
        <f>SUM(CB14:CB15)</f>
        <v>6710.549906840708</v>
      </c>
      <c r="CC16" s="16">
        <f>CC15+1</f>
        <v>3</v>
      </c>
      <c r="CD16" s="155" t="s">
        <v>95</v>
      </c>
      <c r="CE16" s="155"/>
      <c r="CF16" s="55">
        <f>-SUM(CF14:CF15)</f>
        <v>0</v>
      </c>
      <c r="CG16" s="55">
        <f>-SUM(CG14:CG15)</f>
        <v>-803909.33835699933</v>
      </c>
      <c r="CH16" s="55">
        <f>-SUM(CH14:CH15)</f>
        <v>-803909.33835699933</v>
      </c>
      <c r="CI16" s="55">
        <f>-SUM(CI14:CI15)</f>
        <v>-803909.33835699933</v>
      </c>
      <c r="CJ16" s="55">
        <f>-SUM(CJ14:CJ15)</f>
        <v>0</v>
      </c>
      <c r="CK16" s="96">
        <f>+CK15+1</f>
        <v>3</v>
      </c>
      <c r="CL16" s="246" t="s">
        <v>221</v>
      </c>
      <c r="CM16" s="246"/>
      <c r="CN16" s="145">
        <f>+'[43]Lead E'!$D$12</f>
        <v>-11803.907603</v>
      </c>
      <c r="CO16" s="145">
        <f>+'[43]Lead E'!$E$12</f>
        <v>548500</v>
      </c>
      <c r="CP16" s="145">
        <f>CO16-CN16</f>
        <v>560303.90760300006</v>
      </c>
      <c r="CQ16" s="145">
        <f>+CO16</f>
        <v>548500</v>
      </c>
      <c r="CR16" s="145">
        <f>CQ16-CO16</f>
        <v>0</v>
      </c>
      <c r="CS16" s="282">
        <f>CS15+1</f>
        <v>3</v>
      </c>
      <c r="CT16" s="246"/>
      <c r="CU16" s="246"/>
      <c r="CV16" s="71"/>
      <c r="CW16" s="71"/>
      <c r="CX16" s="71"/>
      <c r="CY16" s="71"/>
      <c r="CZ16" s="71"/>
      <c r="DA16" s="16">
        <f>DA15+1</f>
        <v>3</v>
      </c>
      <c r="DB16" s="246" t="s">
        <v>120</v>
      </c>
      <c r="DC16" s="447"/>
      <c r="DD16" s="448">
        <f>SUM(DD14:DD15)</f>
        <v>5788035.7400107104</v>
      </c>
      <c r="DE16" s="448">
        <f>SUM(DE14:DE15)</f>
        <v>5383033.9810123323</v>
      </c>
      <c r="DF16" s="448">
        <f>SUM(DF14:DF15)</f>
        <v>-405001.75899837748</v>
      </c>
      <c r="DG16" s="448">
        <f>SUM(DG14:DG15)</f>
        <v>5943271.9573463742</v>
      </c>
      <c r="DH16" s="448">
        <f>SUM(DH14:DH15)</f>
        <v>560237.97633404168</v>
      </c>
      <c r="DI16" s="96">
        <f>+DI15+1</f>
        <v>3</v>
      </c>
      <c r="DJ16" s="171" t="s">
        <v>118</v>
      </c>
      <c r="DK16" s="182"/>
      <c r="DL16" s="191">
        <f>+'[35]Electric RS + RP'!D14</f>
        <v>21002062.650665939</v>
      </c>
      <c r="DM16" s="172">
        <f>+'[35]Electric RS + RP'!E14</f>
        <v>21009444.612224907</v>
      </c>
      <c r="DN16" s="173">
        <f t="shared" si="14"/>
        <v>7381.9615589678288</v>
      </c>
      <c r="DO16" s="173">
        <f>+'[35]Electric RS + RP'!G14</f>
        <v>21701059.501812048</v>
      </c>
      <c r="DP16" s="173">
        <f t="shared" si="15"/>
        <v>691614.88958714157</v>
      </c>
      <c r="DQ16" s="96">
        <f>DQ15+1</f>
        <v>3</v>
      </c>
      <c r="DR16" s="47"/>
      <c r="DS16" s="34"/>
      <c r="DT16" s="184"/>
      <c r="DU16" s="184"/>
      <c r="DV16" s="185"/>
      <c r="DW16" s="184"/>
      <c r="DX16" s="184"/>
      <c r="DY16" s="282">
        <v>3</v>
      </c>
      <c r="DZ16" s="214" t="s">
        <v>192</v>
      </c>
      <c r="EA16" s="246"/>
      <c r="EB16" s="449">
        <f>'[37]Lead Elec'!D15</f>
        <v>10338996.0695654</v>
      </c>
      <c r="EC16" s="449">
        <f>'[37]Lead Elec'!E15</f>
        <v>10434337.410289202</v>
      </c>
      <c r="ED16" s="450">
        <f>EC16-EB16</f>
        <v>95341.340723801404</v>
      </c>
      <c r="EE16" s="449">
        <f>'[37]Lead Elec'!G15</f>
        <v>11042309.130098399</v>
      </c>
      <c r="EF16" s="451">
        <f>EE16-EC16</f>
        <v>607971.71980919689</v>
      </c>
      <c r="EG16" s="282">
        <f>EG15+1</f>
        <v>3</v>
      </c>
      <c r="EH16" s="155" t="s">
        <v>35</v>
      </c>
      <c r="EJ16" s="97">
        <f>'[11]Lead E'!C12</f>
        <v>285841342.02833331</v>
      </c>
      <c r="EK16" s="345">
        <v>273144103.32999998</v>
      </c>
      <c r="EL16" s="97">
        <f t="shared" si="2"/>
        <v>-12697238.698333323</v>
      </c>
      <c r="EM16" s="100">
        <f t="shared" si="3"/>
        <v>273144103.32999998</v>
      </c>
      <c r="EN16" s="97">
        <f t="shared" si="4"/>
        <v>0</v>
      </c>
      <c r="EO16" s="282">
        <f>EO15+1</f>
        <v>3</v>
      </c>
      <c r="EP16" s="93" t="s">
        <v>497</v>
      </c>
      <c r="ER16" s="100">
        <f>'[30]Lead Electric'!D15</f>
        <v>15706525.089999994</v>
      </c>
      <c r="ES16" s="100">
        <f>'[30]Lead Electric'!E15</f>
        <v>15702575.549999984</v>
      </c>
      <c r="ET16" s="100">
        <f>ES16-ER16</f>
        <v>-3949.5400000102818</v>
      </c>
      <c r="EU16" s="100">
        <f>ES16</f>
        <v>15702575.549999984</v>
      </c>
      <c r="EV16" s="100">
        <f>EU16-ES16</f>
        <v>0</v>
      </c>
      <c r="EW16" s="83">
        <f>EW15+1</f>
        <v>3</v>
      </c>
      <c r="EZ16" s="119"/>
      <c r="FA16" s="119"/>
      <c r="FB16" s="119"/>
      <c r="FC16" s="119"/>
      <c r="FD16" s="119"/>
      <c r="FE16" s="282">
        <f>FE15+1</f>
        <v>3</v>
      </c>
      <c r="FF16" s="197" t="s">
        <v>209</v>
      </c>
      <c r="FG16" s="398"/>
      <c r="FH16" s="467">
        <f>FH15</f>
        <v>1423784.9999999995</v>
      </c>
      <c r="FI16" s="467">
        <f>FI15</f>
        <v>1423784.9999999995</v>
      </c>
      <c r="FJ16" s="467">
        <f>FJ15</f>
        <v>0</v>
      </c>
      <c r="FK16" s="467">
        <f>FK15</f>
        <v>1575832.6603212098</v>
      </c>
      <c r="FL16" s="467">
        <f>FL15</f>
        <v>152047.66032121028</v>
      </c>
      <c r="FM16" s="282">
        <f>FM15+1</f>
        <v>3</v>
      </c>
      <c r="FN16" s="234" t="s">
        <v>448</v>
      </c>
      <c r="FO16" s="234"/>
      <c r="FP16" s="106">
        <v>0</v>
      </c>
      <c r="FQ16" s="106">
        <v>0</v>
      </c>
      <c r="FR16" s="106">
        <f>+'[44]Lead E'!F16</f>
        <v>0</v>
      </c>
      <c r="FS16" s="106">
        <f>+'[44]Lead E'!G16</f>
        <v>24644867.610000003</v>
      </c>
      <c r="FT16" s="106">
        <f>+FS16-FR16</f>
        <v>24644867.610000003</v>
      </c>
      <c r="FU16" s="96">
        <v>3</v>
      </c>
      <c r="FV16" s="1" t="s">
        <v>555</v>
      </c>
      <c r="FW16" s="233"/>
      <c r="FX16" s="474">
        <f>+'[40]Lead E'!D12</f>
        <v>260613.38712720003</v>
      </c>
      <c r="FY16" s="474">
        <f>+'[40]Lead E'!E12</f>
        <v>0</v>
      </c>
      <c r="FZ16" s="474">
        <f t="shared" si="21"/>
        <v>-260613.38712720003</v>
      </c>
      <c r="GA16" s="474">
        <f>+'[40]Lead E'!$G12</f>
        <v>0</v>
      </c>
      <c r="GB16" s="474">
        <f t="shared" si="22"/>
        <v>0</v>
      </c>
      <c r="GC16" s="166">
        <f>+GC15+1</f>
        <v>3</v>
      </c>
      <c r="GD16" s="234" t="s">
        <v>473</v>
      </c>
      <c r="GE16" s="234"/>
      <c r="GF16" s="106">
        <f>'[45]Elec Lead '!D16</f>
        <v>0</v>
      </c>
      <c r="GG16" s="106">
        <f>'[45]Elec Lead '!E16</f>
        <v>0</v>
      </c>
      <c r="GH16" s="106">
        <v>0</v>
      </c>
      <c r="GI16" s="883">
        <v>8630749.431925999</v>
      </c>
      <c r="GJ16" s="106">
        <f>+GI16-GH16</f>
        <v>8630749.431925999</v>
      </c>
      <c r="GK16" s="166">
        <f>GK15+1</f>
        <v>3</v>
      </c>
      <c r="GN16" s="266"/>
      <c r="GO16" s="266"/>
      <c r="GP16" s="266"/>
      <c r="GQ16" s="266"/>
      <c r="GR16" s="266"/>
      <c r="GS16" s="166">
        <f>+GS15+1</f>
        <v>3</v>
      </c>
      <c r="GT16" s="288" t="s">
        <v>39</v>
      </c>
      <c r="GU16" s="8"/>
      <c r="GV16" s="478">
        <f>SUM(GV15)</f>
        <v>-36025489.107016005</v>
      </c>
      <c r="GW16" s="478">
        <f>SUM(GW15)</f>
        <v>-36025489.107016005</v>
      </c>
      <c r="GX16" s="478">
        <f>SUM(GX15)</f>
        <v>0</v>
      </c>
      <c r="GY16" s="478">
        <f>SUM(GY15)</f>
        <v>-31522302.987015996</v>
      </c>
      <c r="GZ16" s="478">
        <f>SUM(GZ15)</f>
        <v>4503186.1200000085</v>
      </c>
      <c r="HA16" s="96">
        <v>3</v>
      </c>
      <c r="HB16" s="213" t="s">
        <v>100</v>
      </c>
      <c r="HC16" s="49"/>
      <c r="HD16" s="253">
        <v>0</v>
      </c>
      <c r="HE16" s="253">
        <f>+HD16</f>
        <v>0</v>
      </c>
      <c r="HF16" s="253">
        <f>HE16-HD16</f>
        <v>0</v>
      </c>
      <c r="HG16" s="253">
        <v>0</v>
      </c>
      <c r="HH16" s="62">
        <f>HG16-HF16</f>
        <v>0</v>
      </c>
      <c r="HI16" s="166">
        <f>+HI15+1</f>
        <v>3</v>
      </c>
      <c r="HJ16" s="246" t="s">
        <v>16</v>
      </c>
      <c r="HK16" s="97"/>
      <c r="HL16" s="97">
        <f>'[31]Lead E'!D13</f>
        <v>9867708.1199999992</v>
      </c>
      <c r="HM16" s="97">
        <f>'[31]Lead E'!E13</f>
        <v>9867708.1199999992</v>
      </c>
      <c r="HN16" s="97">
        <f>HM16-HL16</f>
        <v>0</v>
      </c>
      <c r="HO16" s="97">
        <f>'[31]Lead E'!G13</f>
        <v>10013750.199999999</v>
      </c>
      <c r="HP16" s="97">
        <f>HO16-HM16</f>
        <v>146042.08000000007</v>
      </c>
      <c r="HQ16" s="166">
        <f>+HQ15+1</f>
        <v>3</v>
      </c>
      <c r="HR16" s="155" t="s">
        <v>693</v>
      </c>
      <c r="HT16" s="145">
        <f>'[46]Lead E'!$D$16</f>
        <v>0</v>
      </c>
      <c r="HU16" s="145">
        <f>'[46]Lead E'!$E$16</f>
        <v>0</v>
      </c>
      <c r="HV16" s="145">
        <f>HU16-HT16</f>
        <v>0</v>
      </c>
      <c r="HW16" s="145">
        <v>0</v>
      </c>
      <c r="HX16" s="145">
        <f>HW16-HU16</f>
        <v>0</v>
      </c>
      <c r="HY16" s="135">
        <v>3</v>
      </c>
      <c r="HZ16" s="288" t="s">
        <v>942</v>
      </c>
      <c r="IE16" s="130">
        <v>0.66190000000000004</v>
      </c>
      <c r="IF16" s="130">
        <f>+IE16</f>
        <v>0.66190000000000004</v>
      </c>
    </row>
    <row r="17" spans="1:240" ht="16.5" thickTop="1" thickBot="1" x14ac:dyDescent="0.3">
      <c r="A17" s="15">
        <f t="shared" si="5"/>
        <v>5</v>
      </c>
      <c r="B17" s="9" t="s">
        <v>368</v>
      </c>
      <c r="C17" s="155"/>
      <c r="D17" s="914"/>
      <c r="E17" s="914"/>
      <c r="F17" s="139">
        <v>0</v>
      </c>
      <c r="G17" s="916"/>
      <c r="H17" s="139">
        <f>'[21]Lead Electric'!G16</f>
        <v>-723802.14000000013</v>
      </c>
      <c r="I17" s="282">
        <f t="shared" si="0"/>
        <v>5</v>
      </c>
      <c r="J17" s="17"/>
      <c r="K17" s="17"/>
      <c r="L17" s="452"/>
      <c r="M17" s="452"/>
      <c r="N17" s="452"/>
      <c r="O17" s="452"/>
      <c r="P17" s="452"/>
      <c r="Q17" s="282">
        <f t="shared" ref="Q17:Q23" si="29">Q16+1</f>
        <v>4</v>
      </c>
      <c r="R17" s="246" t="s">
        <v>148</v>
      </c>
      <c r="S17" s="246"/>
      <c r="T17" s="60">
        <f>SUM(T14:T15)</f>
        <v>61749262.590000004</v>
      </c>
      <c r="U17" s="60">
        <f>SUM(U14:U15)</f>
        <v>76684916.036827505</v>
      </c>
      <c r="V17" s="60">
        <f>-SUM(V14:V15)</f>
        <v>-14935653.446827501</v>
      </c>
      <c r="W17" s="60">
        <f>SUM(W14:W15)</f>
        <v>76684916.036827505</v>
      </c>
      <c r="X17" s="60">
        <f>SUM(X14:X15)</f>
        <v>0</v>
      </c>
      <c r="Y17" s="282">
        <f t="shared" si="6"/>
        <v>4</v>
      </c>
      <c r="Z17" s="10"/>
      <c r="AB17" s="347"/>
      <c r="AC17" s="347"/>
      <c r="AD17" s="347"/>
      <c r="AE17" s="347"/>
      <c r="AF17" s="347"/>
      <c r="AG17" s="15">
        <f t="shared" si="1"/>
        <v>4</v>
      </c>
      <c r="AH17" s="20" t="s">
        <v>386</v>
      </c>
      <c r="AJ17" s="262">
        <f>+'[32]Lead Sheet E'!D14</f>
        <v>85339739.170000002</v>
      </c>
      <c r="AK17" s="262">
        <f>'[32]Lead Sheet E'!E14</f>
        <v>0</v>
      </c>
      <c r="AL17" s="262">
        <f t="shared" si="7"/>
        <v>-85339739.170000002</v>
      </c>
      <c r="AM17" s="262">
        <f t="shared" si="8"/>
        <v>0</v>
      </c>
      <c r="AN17" s="262">
        <f t="shared" si="28"/>
        <v>0</v>
      </c>
      <c r="AO17" s="282">
        <f t="shared" si="9"/>
        <v>4</v>
      </c>
      <c r="AP17" s="287"/>
      <c r="AQ17" s="287"/>
      <c r="AR17" s="290"/>
      <c r="AS17" s="290"/>
      <c r="AT17" s="290"/>
      <c r="AU17" s="290" t="s">
        <v>256</v>
      </c>
      <c r="AV17" s="27"/>
      <c r="AW17" s="96">
        <f>AW16+1</f>
        <v>4</v>
      </c>
      <c r="AX17" s="246" t="s">
        <v>383</v>
      </c>
      <c r="AY17" s="214"/>
      <c r="AZ17" s="77">
        <f>-AZ15</f>
        <v>-18742755.935488999</v>
      </c>
      <c r="BA17" s="77">
        <f>-BA15</f>
        <v>-18359017</v>
      </c>
      <c r="BB17" s="77">
        <f>-BB15</f>
        <v>383738.93548899889</v>
      </c>
      <c r="BC17" s="77">
        <f>-BC15</f>
        <v>-18359017</v>
      </c>
      <c r="BD17" s="77">
        <f>-BD15</f>
        <v>0</v>
      </c>
      <c r="BE17" s="96">
        <f t="shared" si="10"/>
        <v>4</v>
      </c>
      <c r="BF17" s="210" t="s">
        <v>162</v>
      </c>
      <c r="BH17" s="99">
        <f>'[34] Electric'!D16</f>
        <v>753556.00726197346</v>
      </c>
      <c r="BI17" s="99">
        <f>'[34] Electric'!E16</f>
        <v>734849.28831648605</v>
      </c>
      <c r="BJ17" s="99">
        <f>'[34] Electric'!F16</f>
        <v>-18706.718945487402</v>
      </c>
      <c r="BK17" s="99">
        <f>'[34] Electric'!G16</f>
        <v>734849.28831648605</v>
      </c>
      <c r="BL17" s="62">
        <f>'[34] Electric'!H16</f>
        <v>0</v>
      </c>
      <c r="BM17" s="118">
        <v>4</v>
      </c>
      <c r="BN17" s="52"/>
      <c r="BO17" s="52"/>
      <c r="BP17" s="62"/>
      <c r="BQ17" s="99"/>
      <c r="BR17" s="99"/>
      <c r="BS17" s="99"/>
      <c r="BU17" s="135">
        <f t="shared" si="11"/>
        <v>4</v>
      </c>
      <c r="BV17" s="182"/>
      <c r="BW17" s="28"/>
      <c r="BX17" s="230"/>
      <c r="BY17" s="230"/>
      <c r="BZ17" s="230"/>
      <c r="CA17" s="230"/>
      <c r="CB17" s="230"/>
      <c r="CC17" s="16"/>
      <c r="CK17" s="96">
        <f t="shared" si="12"/>
        <v>4</v>
      </c>
      <c r="CL17" s="246"/>
      <c r="CM17" s="246"/>
      <c r="CN17" s="99"/>
      <c r="CO17" s="99"/>
      <c r="CP17" s="99"/>
      <c r="CQ17" s="99"/>
      <c r="CR17" s="99"/>
      <c r="CS17" s="282">
        <f>CS16+1</f>
        <v>4</v>
      </c>
      <c r="CT17" s="246" t="s">
        <v>116</v>
      </c>
      <c r="CU17" s="156">
        <f>FIT_E</f>
        <v>0.21</v>
      </c>
      <c r="CV17" s="70">
        <f>-CV15*$CU$17</f>
        <v>-956710.5332233446</v>
      </c>
      <c r="CW17" s="70">
        <f>-CW15*$CU$17</f>
        <v>-1415560.3237327191</v>
      </c>
      <c r="CX17" s="57">
        <f>CW17-CV17</f>
        <v>-458849.79050937446</v>
      </c>
      <c r="CY17" s="57">
        <f>CW17</f>
        <v>-1415560.3237327191</v>
      </c>
      <c r="CZ17" s="57">
        <f>CY17-CW17</f>
        <v>0</v>
      </c>
      <c r="DA17" s="16">
        <f>DA16+1</f>
        <v>4</v>
      </c>
      <c r="DB17" s="246"/>
      <c r="DC17" s="155"/>
      <c r="DD17" s="155"/>
      <c r="DE17" s="155"/>
      <c r="DF17" s="155"/>
      <c r="DG17" s="155"/>
      <c r="DH17" s="66"/>
      <c r="DI17" s="96">
        <f t="shared" si="13"/>
        <v>4</v>
      </c>
      <c r="DJ17" s="171" t="s">
        <v>162</v>
      </c>
      <c r="DK17" s="182"/>
      <c r="DL17" s="191">
        <f>+'[35]Electric RS + RP'!D15</f>
        <v>9188775.2244181</v>
      </c>
      <c r="DM17" s="191">
        <f>+'[35]Electric RS + RP'!E15</f>
        <v>9195193.1657769624</v>
      </c>
      <c r="DN17" s="173">
        <f t="shared" si="14"/>
        <v>6417.9413588624448</v>
      </c>
      <c r="DO17" s="173">
        <f>+'[35]Electric RS + RP'!G15</f>
        <v>9524371.1429421082</v>
      </c>
      <c r="DP17" s="173">
        <f t="shared" si="15"/>
        <v>329177.9771651458</v>
      </c>
      <c r="DQ17" s="96">
        <f t="shared" si="16"/>
        <v>4</v>
      </c>
      <c r="DR17" s="202" t="s">
        <v>187</v>
      </c>
      <c r="DS17" s="32"/>
      <c r="DT17" s="187"/>
      <c r="DU17" s="187"/>
      <c r="DV17" s="187"/>
      <c r="DW17" s="187"/>
      <c r="DX17" s="187"/>
      <c r="DY17" s="282">
        <v>4</v>
      </c>
      <c r="DZ17" s="160" t="s">
        <v>403</v>
      </c>
      <c r="EA17" s="155"/>
      <c r="EB17" s="265">
        <f>SUM(EB15:EB16)</f>
        <v>30180146.153043997</v>
      </c>
      <c r="EC17" s="265">
        <f>SUM(EC15:EC16)</f>
        <v>30240530.000712</v>
      </c>
      <c r="ED17" s="265">
        <f>SUM(ED15:ED16)</f>
        <v>60383.847668003291</v>
      </c>
      <c r="EE17" s="265">
        <f>SUM(EE15:EE16)</f>
        <v>31990622.478023998</v>
      </c>
      <c r="EF17" s="109">
        <f>SUM(EF15:EF16)</f>
        <v>1750092.4773119986</v>
      </c>
      <c r="EG17" s="282">
        <f t="shared" si="17"/>
        <v>4</v>
      </c>
      <c r="EH17" s="155" t="s">
        <v>36</v>
      </c>
      <c r="EJ17" s="97">
        <f>'[11]Lead E'!C13</f>
        <v>-1443684469.5857882</v>
      </c>
      <c r="EK17" s="345">
        <v>-1420694172.5507653</v>
      </c>
      <c r="EL17" s="97">
        <f t="shared" si="2"/>
        <v>22990297.035022974</v>
      </c>
      <c r="EM17" s="100">
        <f t="shared" si="3"/>
        <v>-1420694172.5507653</v>
      </c>
      <c r="EN17" s="97">
        <f t="shared" si="4"/>
        <v>0</v>
      </c>
      <c r="EO17" s="282">
        <f t="shared" si="18"/>
        <v>4</v>
      </c>
      <c r="EP17" s="93" t="s">
        <v>498</v>
      </c>
      <c r="ER17" s="100">
        <f>'[30]Lead Electric'!D16</f>
        <v>44372353.199617065</v>
      </c>
      <c r="ES17" s="100">
        <f>'[30]Lead Electric'!E16</f>
        <v>60095545.457455039</v>
      </c>
      <c r="ET17" s="100">
        <f>ES17-ER17</f>
        <v>15723192.257837974</v>
      </c>
      <c r="EU17" s="100">
        <f>ES17</f>
        <v>60095545.457455039</v>
      </c>
      <c r="EV17" s="100">
        <f>EU17-ES17</f>
        <v>0</v>
      </c>
      <c r="EW17" s="83">
        <f t="shared" si="19"/>
        <v>4</v>
      </c>
      <c r="EX17" s="160" t="s">
        <v>356</v>
      </c>
      <c r="EY17" s="160"/>
      <c r="EZ17" s="278">
        <f>EZ15</f>
        <v>-763743.36</v>
      </c>
      <c r="FA17" s="278">
        <f>FA15</f>
        <v>-763743.36</v>
      </c>
      <c r="FB17" s="278">
        <f>FB15</f>
        <v>0</v>
      </c>
      <c r="FC17" s="278">
        <f>FC15</f>
        <v>-4297707.3533333326</v>
      </c>
      <c r="FD17" s="278">
        <f>FD15</f>
        <v>-3533963.9933333327</v>
      </c>
      <c r="FE17" s="282">
        <f>FE16+1</f>
        <v>4</v>
      </c>
      <c r="FF17" s="378"/>
      <c r="FG17" s="10"/>
      <c r="FH17" s="10"/>
      <c r="FI17" s="10"/>
      <c r="FJ17" s="66"/>
      <c r="FK17" s="66"/>
      <c r="FL17" s="109"/>
      <c r="FM17" s="282">
        <f t="shared" si="20"/>
        <v>4</v>
      </c>
      <c r="FN17" s="235" t="s">
        <v>449</v>
      </c>
      <c r="FO17" s="235"/>
      <c r="FP17" s="109">
        <v>0</v>
      </c>
      <c r="FQ17" s="109">
        <v>0</v>
      </c>
      <c r="FR17" s="109">
        <f>+'[44]Lead E'!F17</f>
        <v>0</v>
      </c>
      <c r="FS17" s="109">
        <f>+'[44]Lead E'!G17</f>
        <v>-2140347.6892875</v>
      </c>
      <c r="FT17" s="109">
        <f>+FS17-FR17</f>
        <v>-2140347.6892875</v>
      </c>
      <c r="FU17" s="96">
        <v>3</v>
      </c>
      <c r="FV17" s="1" t="s">
        <v>556</v>
      </c>
      <c r="FW17" s="233"/>
      <c r="FX17" s="474">
        <f>+'[40]Lead E'!D13</f>
        <v>-690967.97</v>
      </c>
      <c r="FY17" s="474">
        <f>+'[40]Lead E'!E13</f>
        <v>0</v>
      </c>
      <c r="FZ17" s="474">
        <f t="shared" si="21"/>
        <v>690967.97</v>
      </c>
      <c r="GA17" s="474">
        <f>+'[40]Lead E'!$G13</f>
        <v>0</v>
      </c>
      <c r="GB17" s="474">
        <f t="shared" si="22"/>
        <v>0</v>
      </c>
      <c r="GC17" s="166">
        <f t="shared" si="23"/>
        <v>4</v>
      </c>
      <c r="GD17" s="235" t="s">
        <v>474</v>
      </c>
      <c r="GE17" s="235"/>
      <c r="GF17" s="109">
        <f>'[45]Elec Lead '!D17</f>
        <v>0</v>
      </c>
      <c r="GG17" s="109">
        <f>'[45]Elec Lead '!E17</f>
        <v>0</v>
      </c>
      <c r="GH17" s="109">
        <v>0</v>
      </c>
      <c r="GI17" s="884">
        <v>-4794860.7955144448</v>
      </c>
      <c r="GJ17" s="109">
        <f>+GI17-GH17</f>
        <v>-4794860.7955144448</v>
      </c>
      <c r="GK17" s="166">
        <f t="shared" si="24"/>
        <v>4</v>
      </c>
      <c r="GL17" s="288" t="s">
        <v>356</v>
      </c>
      <c r="GN17" s="145">
        <f>GN15</f>
        <v>828672</v>
      </c>
      <c r="GO17" s="145">
        <f>GO15</f>
        <v>828672</v>
      </c>
      <c r="GP17" s="145">
        <f>GP15</f>
        <v>0</v>
      </c>
      <c r="GQ17" s="145">
        <f>GQ15</f>
        <v>224455.831275</v>
      </c>
      <c r="GR17" s="145">
        <f>GR15</f>
        <v>-604216.168725</v>
      </c>
      <c r="GS17" s="166">
        <f t="shared" si="25"/>
        <v>4</v>
      </c>
      <c r="GU17" s="8"/>
      <c r="GV17" s="77"/>
      <c r="GW17" s="77"/>
      <c r="GX17" s="77"/>
      <c r="GY17" s="77"/>
      <c r="GZ17" s="77"/>
      <c r="HA17" s="96">
        <v>4</v>
      </c>
      <c r="HB17" s="9" t="s">
        <v>445</v>
      </c>
      <c r="HC17" s="49"/>
      <c r="HD17" s="253">
        <v>0</v>
      </c>
      <c r="HE17" s="253">
        <f>+HD17</f>
        <v>0</v>
      </c>
      <c r="HF17" s="253">
        <f>HE17-HD17</f>
        <v>0</v>
      </c>
      <c r="HG17" s="253">
        <v>0</v>
      </c>
      <c r="HH17" s="62">
        <f>HG17-HF17</f>
        <v>0</v>
      </c>
      <c r="HI17" s="166">
        <f t="shared" si="26"/>
        <v>4</v>
      </c>
      <c r="HJ17" s="246" t="s">
        <v>19</v>
      </c>
      <c r="HK17" s="100"/>
      <c r="HL17" s="248">
        <f>'[31]Lead E'!D14</f>
        <v>40650.018955000007</v>
      </c>
      <c r="HM17" s="248">
        <f>'[31]Lead E'!E14</f>
        <v>40650.018955000007</v>
      </c>
      <c r="HN17" s="248">
        <f>HM17-HL17</f>
        <v>0</v>
      </c>
      <c r="HO17" s="248">
        <f>'[31]Lead E'!G14</f>
        <v>41908.472322000001</v>
      </c>
      <c r="HP17" s="248">
        <f>HO17-HM17</f>
        <v>1258.4533669999946</v>
      </c>
      <c r="HQ17" s="166">
        <f t="shared" si="27"/>
        <v>4</v>
      </c>
      <c r="HR17" s="155" t="s">
        <v>592</v>
      </c>
      <c r="HT17" s="97">
        <f>'[46]Lead E'!$D$17</f>
        <v>0</v>
      </c>
      <c r="HU17" s="97">
        <f>'[46]Lead E'!$E$17</f>
        <v>0</v>
      </c>
      <c r="HV17" s="97">
        <f>HU17-HT17</f>
        <v>0</v>
      </c>
      <c r="HW17" s="97">
        <v>0</v>
      </c>
      <c r="HX17" s="145">
        <f>HW17-HU17</f>
        <v>0</v>
      </c>
      <c r="HY17" s="135">
        <v>4</v>
      </c>
      <c r="HZ17" s="187"/>
      <c r="IA17" s="236"/>
      <c r="IB17" s="813"/>
      <c r="IC17" s="813"/>
      <c r="ID17" s="813"/>
      <c r="IE17" s="813"/>
      <c r="IF17" s="813"/>
    </row>
    <row r="18" spans="1:240" ht="16.5" thickTop="1" thickBot="1" x14ac:dyDescent="0.3">
      <c r="A18" s="15">
        <f t="shared" si="5"/>
        <v>6</v>
      </c>
      <c r="B18" s="9" t="s">
        <v>509</v>
      </c>
      <c r="C18" s="155"/>
      <c r="D18" s="914"/>
      <c r="E18" s="914"/>
      <c r="F18" s="139">
        <f>'[21]Lead Electric'!E17</f>
        <v>-20725035.350196019</v>
      </c>
      <c r="G18" s="916"/>
      <c r="H18" s="139">
        <v>0</v>
      </c>
      <c r="I18" s="282">
        <f t="shared" si="0"/>
        <v>6</v>
      </c>
      <c r="J18" s="142" t="s">
        <v>513</v>
      </c>
      <c r="K18" s="17"/>
      <c r="L18" s="145">
        <f>L14*L16</f>
        <v>805929929.90067494</v>
      </c>
      <c r="M18" s="145">
        <f>M14*M16</f>
        <v>811207089.90067494</v>
      </c>
      <c r="N18" s="144">
        <f>[22]Lead!$F$13</f>
        <v>5277160</v>
      </c>
      <c r="O18" s="144">
        <f>[22]Lead!$G$13</f>
        <v>820316035.90067494</v>
      </c>
      <c r="P18" s="144">
        <f>O18-M18</f>
        <v>9108946</v>
      </c>
      <c r="Q18" s="282">
        <f t="shared" si="29"/>
        <v>5</v>
      </c>
      <c r="R18" s="155"/>
      <c r="S18" s="155"/>
      <c r="T18" s="155"/>
      <c r="U18" s="155"/>
      <c r="V18" s="155"/>
      <c r="W18" s="155"/>
      <c r="X18" s="155"/>
      <c r="Y18" s="282">
        <f t="shared" si="6"/>
        <v>5</v>
      </c>
      <c r="Z18" s="26" t="s">
        <v>152</v>
      </c>
      <c r="AB18" s="468"/>
      <c r="AC18" s="469">
        <f>+'COC-Restating'!E12</f>
        <v>2.9399999999999999E-2</v>
      </c>
      <c r="AD18" s="469"/>
      <c r="AE18" s="469">
        <f>+'COC, Def, ConvF'!H12</f>
        <v>2.87E-2</v>
      </c>
      <c r="AF18" s="469"/>
      <c r="AG18" s="15">
        <f t="shared" si="1"/>
        <v>5</v>
      </c>
      <c r="AH18" s="20" t="s">
        <v>387</v>
      </c>
      <c r="AJ18" s="262">
        <f>+'[32]Lead Sheet E'!D15</f>
        <v>16204.59</v>
      </c>
      <c r="AK18" s="262">
        <f>'[32]Lead Sheet E'!E15</f>
        <v>0</v>
      </c>
      <c r="AL18" s="262">
        <f t="shared" si="7"/>
        <v>-16204.59</v>
      </c>
      <c r="AM18" s="262">
        <f t="shared" si="8"/>
        <v>0</v>
      </c>
      <c r="AN18" s="262">
        <f t="shared" si="28"/>
        <v>0</v>
      </c>
      <c r="AO18" s="282">
        <f t="shared" si="9"/>
        <v>5</v>
      </c>
      <c r="AP18" s="285" t="s">
        <v>160</v>
      </c>
      <c r="AQ18" s="285"/>
      <c r="AR18" s="73">
        <f>+'[24]Lead E'!D17</f>
        <v>1250336.8659676735</v>
      </c>
      <c r="AS18" s="73">
        <f>+'[24]Lead E'!E17</f>
        <v>1166036.3914547989</v>
      </c>
      <c r="AT18" s="73">
        <f>AS18-AR18</f>
        <v>-84300.474512874614</v>
      </c>
      <c r="AU18" s="145">
        <f>+AS18</f>
        <v>1166036.3914547989</v>
      </c>
      <c r="AV18" s="73">
        <f>+AU18-AS18</f>
        <v>0</v>
      </c>
      <c r="AW18" s="96">
        <f>AW17+1</f>
        <v>5</v>
      </c>
      <c r="AX18" s="123" t="s">
        <v>116</v>
      </c>
      <c r="AY18" s="102">
        <f>FIT_E</f>
        <v>0.21</v>
      </c>
      <c r="AZ18" s="103">
        <f>+AZ17*$AY$18</f>
        <v>-3935978.7464526896</v>
      </c>
      <c r="BA18" s="103">
        <f>+BA17*$AY$18</f>
        <v>-3855393.57</v>
      </c>
      <c r="BB18" s="103">
        <f>BA18-AZ18</f>
        <v>80585.176452689804</v>
      </c>
      <c r="BC18" s="285">
        <f>BA18</f>
        <v>-3855393.57</v>
      </c>
      <c r="BD18" s="285">
        <f>BC18-BA18</f>
        <v>0</v>
      </c>
      <c r="BE18" s="96">
        <f t="shared" si="10"/>
        <v>5</v>
      </c>
      <c r="BF18" s="210" t="s">
        <v>163</v>
      </c>
      <c r="BH18" s="99">
        <f>'[34] Electric'!D17</f>
        <v>2248441.2377227461</v>
      </c>
      <c r="BI18" s="99">
        <f>'[34] Electric'!E17</f>
        <v>2191563.7455525394</v>
      </c>
      <c r="BJ18" s="99">
        <f>'[34] Electric'!F17</f>
        <v>-56877.492170206737</v>
      </c>
      <c r="BK18" s="99">
        <f>'[34] Electric'!G17</f>
        <v>2191563.7455525394</v>
      </c>
      <c r="BL18" s="62">
        <f>'[34] Electric'!H17</f>
        <v>0</v>
      </c>
      <c r="BM18" s="118">
        <v>5</v>
      </c>
      <c r="BN18" s="112" t="s">
        <v>230</v>
      </c>
      <c r="BO18" s="112"/>
      <c r="BP18" s="109">
        <f>BP16</f>
        <v>89249370.281786993</v>
      </c>
      <c r="BQ18" s="109">
        <f>BQ16</f>
        <v>89158440.199708983</v>
      </c>
      <c r="BR18" s="99">
        <f>BQ18-BP18</f>
        <v>-90930.082078009844</v>
      </c>
      <c r="BS18" s="109">
        <f>BS16</f>
        <v>89249370.281786993</v>
      </c>
      <c r="BT18" s="109">
        <f>BT16</f>
        <v>90930.082078008913</v>
      </c>
      <c r="BU18" s="135">
        <f t="shared" si="11"/>
        <v>5</v>
      </c>
      <c r="BV18" s="182" t="s">
        <v>231</v>
      </c>
      <c r="BW18" s="182"/>
      <c r="BX18" s="184">
        <f>+BX16</f>
        <v>84154.734218343758</v>
      </c>
      <c r="BY18" s="184">
        <f>+BY16</f>
        <v>77444.18431150305</v>
      </c>
      <c r="BZ18" s="184">
        <f>+BZ16</f>
        <v>-6710.549906840708</v>
      </c>
      <c r="CA18" s="184">
        <f>+CA16</f>
        <v>84154.734218343758</v>
      </c>
      <c r="CB18" s="184">
        <f>+CB16</f>
        <v>6710.549906840708</v>
      </c>
      <c r="CK18" s="96">
        <f t="shared" si="12"/>
        <v>5</v>
      </c>
      <c r="CL18" s="45" t="s">
        <v>222</v>
      </c>
      <c r="CM18" s="45"/>
      <c r="CN18" s="99"/>
      <c r="CO18" s="99"/>
      <c r="CP18" s="99"/>
      <c r="CQ18" s="99"/>
      <c r="CR18" s="99"/>
      <c r="CS18" s="282">
        <f>CS17+1</f>
        <v>5</v>
      </c>
      <c r="CT18" s="246" t="s">
        <v>95</v>
      </c>
      <c r="CU18" s="246"/>
      <c r="CV18" s="72">
        <f>-CV15-CV17</f>
        <v>-3599053.9106973442</v>
      </c>
      <c r="CW18" s="72">
        <f>-CW15-CW17</f>
        <v>-5325203.1226135632</v>
      </c>
      <c r="CX18" s="72">
        <f>-CX15-CX17</f>
        <v>-1726149.211916219</v>
      </c>
      <c r="CY18" s="72">
        <f>-CY15-CY17</f>
        <v>-5325203.1226135632</v>
      </c>
      <c r="CZ18" s="72">
        <f>-CZ15-CZ17</f>
        <v>0</v>
      </c>
      <c r="DA18" s="16">
        <f>DA17+1</f>
        <v>5</v>
      </c>
      <c r="DB18" s="246" t="s">
        <v>128</v>
      </c>
      <c r="DC18" s="156">
        <f>FIT_E</f>
        <v>0.21</v>
      </c>
      <c r="DD18" s="453">
        <f>-DD16*$DC$18</f>
        <v>-1215487.5054022491</v>
      </c>
      <c r="DE18" s="453">
        <f>-DE16*$DC$18</f>
        <v>-1130437.1360125898</v>
      </c>
      <c r="DF18" s="453">
        <f>DE18-DD18</f>
        <v>85050.369389659259</v>
      </c>
      <c r="DG18" s="453">
        <f>-DG16*DC18</f>
        <v>-1248087.1110427384</v>
      </c>
      <c r="DH18" s="453">
        <f>DG18-DE18</f>
        <v>-117649.97503014863</v>
      </c>
      <c r="DI18" s="96">
        <f t="shared" si="13"/>
        <v>5</v>
      </c>
      <c r="DJ18" s="171" t="s">
        <v>163</v>
      </c>
      <c r="DK18" s="182"/>
      <c r="DL18" s="191">
        <f>+'[35]Electric RS + RP'!D16</f>
        <v>27417316.113969147</v>
      </c>
      <c r="DM18" s="191">
        <f>+'[35]Electric RS + RP'!E16</f>
        <v>27423128.940563183</v>
      </c>
      <c r="DN18" s="173">
        <f t="shared" si="14"/>
        <v>5812.8265940360725</v>
      </c>
      <c r="DO18" s="173">
        <f>+'[35]Electric RS + RP'!G16</f>
        <v>28292537.446778752</v>
      </c>
      <c r="DP18" s="173">
        <f t="shared" si="15"/>
        <v>869408.50621556863</v>
      </c>
      <c r="DQ18" s="96">
        <f t="shared" si="16"/>
        <v>5</v>
      </c>
      <c r="DR18" s="112" t="s">
        <v>188</v>
      </c>
      <c r="DS18" s="96"/>
      <c r="DT18" s="186">
        <f>+[36]Electric!D17</f>
        <v>3276439.5071999999</v>
      </c>
      <c r="DU18" s="186">
        <f>+[36]Electric!E17</f>
        <v>3276439.5071999999</v>
      </c>
      <c r="DV18" s="186">
        <f>+DU18-DT18</f>
        <v>0</v>
      </c>
      <c r="DW18" s="186">
        <f>+[36]Electric!G17</f>
        <v>3374732.6924159997</v>
      </c>
      <c r="DX18" s="186">
        <f>+DW18-DU18</f>
        <v>98293.185215999838</v>
      </c>
      <c r="DY18" s="282">
        <v>5</v>
      </c>
      <c r="DZ18" s="214"/>
      <c r="EA18" s="155"/>
      <c r="EB18" s="155"/>
      <c r="EC18" s="155"/>
      <c r="EF18" s="66"/>
      <c r="EG18" s="282">
        <f t="shared" si="17"/>
        <v>5</v>
      </c>
      <c r="EH18" s="155" t="s">
        <v>37</v>
      </c>
      <c r="EJ18" s="97">
        <f>'[11]Lead E'!C14</f>
        <v>145303204.9988502</v>
      </c>
      <c r="EK18" s="345">
        <v>137375215.94916266</v>
      </c>
      <c r="EL18" s="97">
        <f t="shared" si="2"/>
        <v>-7927989.0496875346</v>
      </c>
      <c r="EM18" s="100">
        <f t="shared" si="3"/>
        <v>137375215.94916266</v>
      </c>
      <c r="EN18" s="97">
        <f t="shared" si="4"/>
        <v>0</v>
      </c>
      <c r="EO18" s="282">
        <f t="shared" si="18"/>
        <v>5</v>
      </c>
      <c r="EP18" s="93" t="s">
        <v>390</v>
      </c>
      <c r="ER18" s="278">
        <f>SUM(ER14:ER17)</f>
        <v>393995683.0177567</v>
      </c>
      <c r="ES18" s="278">
        <f>SUM(ES14:ES17)</f>
        <v>415313168.81962591</v>
      </c>
      <c r="ET18" s="278">
        <f>SUM(ET14:ET17)</f>
        <v>21317485.801869217</v>
      </c>
      <c r="EU18" s="278">
        <f>SUM(EU14:EU17)</f>
        <v>415313168.81962591</v>
      </c>
      <c r="EV18" s="278">
        <f>SUM(EV14:EV17)</f>
        <v>0</v>
      </c>
      <c r="EW18" s="83">
        <f t="shared" si="19"/>
        <v>5</v>
      </c>
      <c r="FE18" s="282">
        <f>FE17+1</f>
        <v>5</v>
      </c>
      <c r="FF18" s="197" t="s">
        <v>411</v>
      </c>
      <c r="FG18" s="156">
        <f>FIT_E</f>
        <v>0.21</v>
      </c>
      <c r="FH18" s="453">
        <f>-FH16*$FG$18</f>
        <v>-298994.84999999992</v>
      </c>
      <c r="FI18" s="453">
        <f>-FI16*$FG$18</f>
        <v>-298994.84999999992</v>
      </c>
      <c r="FJ18" s="453">
        <f>-FJ16*$FG$18</f>
        <v>0</v>
      </c>
      <c r="FK18" s="453">
        <f>-FK16*$FG$18</f>
        <v>-330924.85866745404</v>
      </c>
      <c r="FL18" s="453">
        <f>-FL16*$FG$18</f>
        <v>-31930.008667454156</v>
      </c>
      <c r="FM18" s="282">
        <f t="shared" si="20"/>
        <v>5</v>
      </c>
      <c r="FN18" s="235" t="s">
        <v>450</v>
      </c>
      <c r="FO18" s="235"/>
      <c r="FP18" s="109">
        <v>0</v>
      </c>
      <c r="FQ18" s="109">
        <v>0</v>
      </c>
      <c r="FR18" s="109">
        <f>+'[44]Lead E'!F18</f>
        <v>0</v>
      </c>
      <c r="FS18" s="109">
        <f>+'[44]Lead E'!G18</f>
        <v>-1701440.8697030814</v>
      </c>
      <c r="FT18" s="109">
        <f>+FS18-FR18</f>
        <v>-1701440.8697030814</v>
      </c>
      <c r="FU18" s="96">
        <v>4</v>
      </c>
      <c r="FV18" s="1" t="s">
        <v>444</v>
      </c>
      <c r="FW18" s="233"/>
      <c r="FX18" s="474">
        <f>+'[40]Lead E'!D14</f>
        <v>3068145.5511421002</v>
      </c>
      <c r="FY18" s="474">
        <f>+'[40]Lead E'!E14</f>
        <v>3068145.5511421002</v>
      </c>
      <c r="FZ18" s="474">
        <f t="shared" si="21"/>
        <v>0</v>
      </c>
      <c r="GA18" s="474">
        <f>+'[40]Lead E'!$G14</f>
        <v>2947101.0393960006</v>
      </c>
      <c r="GB18" s="474">
        <f t="shared" si="22"/>
        <v>-121044.51174609968</v>
      </c>
      <c r="GC18" s="166">
        <f t="shared" si="23"/>
        <v>5</v>
      </c>
      <c r="GD18" s="235" t="s">
        <v>101</v>
      </c>
      <c r="GE18" s="235"/>
      <c r="GF18" s="109">
        <f>'[45]Elec Lead '!D18</f>
        <v>0</v>
      </c>
      <c r="GG18" s="109">
        <f>'[45]Elec Lead '!E18</f>
        <v>0</v>
      </c>
      <c r="GH18" s="109">
        <v>0</v>
      </c>
      <c r="GI18" s="884">
        <v>251730.19176450834</v>
      </c>
      <c r="GJ18" s="109">
        <f>+GI18-GH18</f>
        <v>251730.19176450834</v>
      </c>
      <c r="GK18" s="166">
        <f t="shared" si="24"/>
        <v>5</v>
      </c>
      <c r="GS18" s="166">
        <f t="shared" si="25"/>
        <v>5</v>
      </c>
      <c r="GT18" s="91" t="s">
        <v>468</v>
      </c>
      <c r="GU18" s="8"/>
      <c r="GV18" s="77"/>
      <c r="GW18" s="77"/>
      <c r="GX18" s="77"/>
      <c r="GY18" s="77"/>
      <c r="GZ18" s="77"/>
      <c r="HA18" s="96">
        <v>5</v>
      </c>
      <c r="HB18" s="214" t="s">
        <v>446</v>
      </c>
      <c r="HC18" s="49"/>
      <c r="HD18" s="399">
        <f>SUM(HD15:HD17)</f>
        <v>0</v>
      </c>
      <c r="HE18" s="399"/>
      <c r="HF18" s="399">
        <f>+HD18</f>
        <v>0</v>
      </c>
      <c r="HG18" s="72">
        <f>SUM(HG15:HG17)</f>
        <v>0</v>
      </c>
      <c r="HH18" s="72">
        <f>SUM(HH15:HH17)</f>
        <v>0</v>
      </c>
      <c r="HI18" s="166">
        <f t="shared" si="26"/>
        <v>5</v>
      </c>
      <c r="HJ18" s="246" t="s">
        <v>142</v>
      </c>
      <c r="HK18" s="97"/>
      <c r="HL18" s="97">
        <f>SUM(HL14:HL17)</f>
        <v>62579095.448954999</v>
      </c>
      <c r="HM18" s="97">
        <f>SUM(HM14:HM17)</f>
        <v>62579095.448954999</v>
      </c>
      <c r="HN18" s="97">
        <f>SUM(HN14:HN17)</f>
        <v>0</v>
      </c>
      <c r="HO18" s="97">
        <f>SUM(HO14:HO17)</f>
        <v>64263558.68232201</v>
      </c>
      <c r="HP18" s="97">
        <f>SUM(HP14:HP17)</f>
        <v>1684463.2333669984</v>
      </c>
      <c r="HQ18" s="166">
        <f t="shared" si="27"/>
        <v>5</v>
      </c>
      <c r="HR18" s="155" t="s">
        <v>593</v>
      </c>
      <c r="HS18" s="119"/>
      <c r="HT18" s="97">
        <f>'[46]Lead E'!$D$17</f>
        <v>0</v>
      </c>
      <c r="HU18" s="97">
        <f>'[46]Lead E'!$E$17</f>
        <v>0</v>
      </c>
      <c r="HV18" s="97">
        <f>HU18-HT18</f>
        <v>0</v>
      </c>
      <c r="HW18" s="97">
        <v>0</v>
      </c>
      <c r="HX18" s="145">
        <f>HW18-HU18</f>
        <v>0</v>
      </c>
      <c r="HY18" s="135">
        <v>5</v>
      </c>
      <c r="HZ18" s="187" t="s">
        <v>52</v>
      </c>
      <c r="IA18" s="236"/>
      <c r="IB18" s="814">
        <f>SUM(IB15)</f>
        <v>0</v>
      </c>
      <c r="IC18" s="814">
        <f>SUM(IC15)</f>
        <v>0</v>
      </c>
      <c r="ID18" s="814">
        <f>SUM(ID15)</f>
        <v>0</v>
      </c>
      <c r="IE18" s="814">
        <f>+IE15*IE16</f>
        <v>-52488670</v>
      </c>
      <c r="IF18" s="814">
        <f>+IF15*IF16</f>
        <v>-52488670</v>
      </c>
    </row>
    <row r="19" spans="1:240" ht="16.5" thickTop="1" thickBot="1" x14ac:dyDescent="0.3">
      <c r="A19" s="15">
        <f t="shared" si="5"/>
        <v>7</v>
      </c>
      <c r="B19" s="9" t="s">
        <v>689</v>
      </c>
      <c r="C19" s="155"/>
      <c r="D19" s="914"/>
      <c r="E19" s="914"/>
      <c r="F19" s="139">
        <f>'[21]Lead Electric'!E18</f>
        <v>10345744.779999999</v>
      </c>
      <c r="G19" s="916"/>
      <c r="H19" s="139">
        <v>0</v>
      </c>
      <c r="I19" s="282">
        <f t="shared" si="0"/>
        <v>7</v>
      </c>
      <c r="J19" s="17"/>
      <c r="K19" s="17"/>
      <c r="L19" s="452"/>
      <c r="M19" s="452"/>
      <c r="N19" s="452"/>
      <c r="O19" s="452"/>
      <c r="P19" s="452"/>
      <c r="Q19" s="282">
        <f t="shared" si="29"/>
        <v>6</v>
      </c>
      <c r="R19" s="246"/>
      <c r="S19" s="246"/>
      <c r="T19" s="246"/>
      <c r="U19" s="246"/>
      <c r="V19" s="246"/>
      <c r="W19" s="246"/>
      <c r="X19" s="246"/>
      <c r="Y19" s="282">
        <f t="shared" si="6"/>
        <v>6</v>
      </c>
      <c r="Z19" s="26" t="s">
        <v>153</v>
      </c>
      <c r="AB19" s="418">
        <v>0</v>
      </c>
      <c r="AC19" s="418">
        <f>+AC14*AC18</f>
        <v>155274109.78225341</v>
      </c>
      <c r="AD19" s="418">
        <f>+AC19-AB19</f>
        <v>155274109.78225341</v>
      </c>
      <c r="AE19" s="470">
        <f>+AE14*AE18</f>
        <v>150687403.51190269</v>
      </c>
      <c r="AF19" s="471">
        <f>+AE19-AD19</f>
        <v>-4586706.2703507245</v>
      </c>
      <c r="AG19" s="15">
        <f t="shared" si="1"/>
        <v>6</v>
      </c>
      <c r="AH19" s="20" t="s">
        <v>133</v>
      </c>
      <c r="AJ19" s="262">
        <f>+'[32]Lead Sheet E'!D16</f>
        <v>17990501.364999998</v>
      </c>
      <c r="AK19" s="262">
        <f>'[32]Lead Sheet E'!E16</f>
        <v>0</v>
      </c>
      <c r="AL19" s="262">
        <f t="shared" si="7"/>
        <v>-17990501.364999998</v>
      </c>
      <c r="AM19" s="262">
        <f t="shared" si="8"/>
        <v>0</v>
      </c>
      <c r="AN19" s="262">
        <f t="shared" si="28"/>
        <v>0</v>
      </c>
      <c r="AO19" s="282">
        <f t="shared" si="9"/>
        <v>6</v>
      </c>
      <c r="AP19" s="74" t="s">
        <v>128</v>
      </c>
      <c r="AQ19" s="113">
        <f>+FIT_E</f>
        <v>0.21</v>
      </c>
      <c r="AR19" s="438">
        <f>+'[24]Lead E'!D18</f>
        <v>-262570.74185321142</v>
      </c>
      <c r="AS19" s="438">
        <f>+'[24]Lead E'!E18</f>
        <v>-244867.64220550776</v>
      </c>
      <c r="AT19" s="438">
        <f>AS19-AR19</f>
        <v>17703.099647703668</v>
      </c>
      <c r="AU19" s="97">
        <f>+AS19</f>
        <v>-244867.64220550776</v>
      </c>
      <c r="AV19" s="439">
        <f>+AU19-AS19</f>
        <v>0</v>
      </c>
      <c r="AW19" s="96">
        <f>AW18+1</f>
        <v>6</v>
      </c>
      <c r="AX19" s="123" t="s">
        <v>95</v>
      </c>
      <c r="AY19" s="123"/>
      <c r="AZ19" s="104">
        <f>AZ17-AZ18</f>
        <v>-14806777.18903631</v>
      </c>
      <c r="BA19" s="104">
        <f>BA17-BA18</f>
        <v>-14503623.43</v>
      </c>
      <c r="BB19" s="104">
        <f>BB17-BB18</f>
        <v>303153.75903630909</v>
      </c>
      <c r="BC19" s="104">
        <f>BC17-BC18</f>
        <v>-14503623.43</v>
      </c>
      <c r="BD19" s="104">
        <f>BD17-BD18</f>
        <v>0</v>
      </c>
      <c r="BE19" s="96">
        <f t="shared" si="10"/>
        <v>6</v>
      </c>
      <c r="BF19" s="210" t="s">
        <v>164</v>
      </c>
      <c r="BH19" s="99">
        <f>'[34] Electric'!D18</f>
        <v>874064.90702849126</v>
      </c>
      <c r="BI19" s="99">
        <f>'[34] Electric'!E18</f>
        <v>852024.27302863146</v>
      </c>
      <c r="BJ19" s="99">
        <f>'[34] Electric'!F18</f>
        <v>-22040.633999859798</v>
      </c>
      <c r="BK19" s="99">
        <f>'[34] Electric'!G18</f>
        <v>852024.27302863146</v>
      </c>
      <c r="BL19" s="62">
        <f>'[34] Electric'!H18</f>
        <v>0</v>
      </c>
      <c r="BM19" s="118">
        <v>6</v>
      </c>
      <c r="BN19" s="112" t="s">
        <v>155</v>
      </c>
      <c r="BO19" s="54">
        <f>+FIT_E</f>
        <v>0.21</v>
      </c>
      <c r="BP19" s="79">
        <f>-$BO$19*BP18</f>
        <v>-18742367.759175267</v>
      </c>
      <c r="BQ19" s="79">
        <f>-$BO$19*BQ18</f>
        <v>-18723272.441938885</v>
      </c>
      <c r="BR19" s="99">
        <f>BQ19-BP19</f>
        <v>19095.317236382514</v>
      </c>
      <c r="BS19" s="79">
        <f>-$BO$19*BS18</f>
        <v>-18742367.759175267</v>
      </c>
      <c r="BT19" s="58">
        <f>-BT18*BO19</f>
        <v>-19095.31723638187</v>
      </c>
      <c r="BU19" s="135">
        <f t="shared" si="11"/>
        <v>6</v>
      </c>
      <c r="BV19" s="182"/>
      <c r="BX19" s="187"/>
      <c r="BY19" s="187"/>
      <c r="BZ19" s="187"/>
      <c r="CA19" s="187"/>
      <c r="CB19" s="187"/>
      <c r="CK19" s="96">
        <f t="shared" si="12"/>
        <v>6</v>
      </c>
      <c r="CL19" s="246" t="s">
        <v>223</v>
      </c>
      <c r="CM19" s="246"/>
      <c r="CN19" s="99">
        <f>+'[43]Lead E'!$D$15</f>
        <v>0</v>
      </c>
      <c r="CO19" s="99">
        <f>+'[43]Lead E'!$E$15</f>
        <v>68250</v>
      </c>
      <c r="CP19" s="99">
        <f>CO19-CN19</f>
        <v>68250</v>
      </c>
      <c r="CQ19" s="99">
        <f>+CO19</f>
        <v>68250</v>
      </c>
      <c r="CR19" s="99">
        <f>CQ19-CO19</f>
        <v>0</v>
      </c>
      <c r="CS19" s="16"/>
      <c r="DA19" s="16">
        <f>DA18+1</f>
        <v>6</v>
      </c>
      <c r="DB19" s="246" t="s">
        <v>95</v>
      </c>
      <c r="DC19" s="155"/>
      <c r="DD19" s="162">
        <f>-DD16-DD18</f>
        <v>-4572548.2346084611</v>
      </c>
      <c r="DE19" s="162">
        <f>-DE16-DE18</f>
        <v>-4252596.8449997427</v>
      </c>
      <c r="DF19" s="162">
        <f>-DF16-DF18</f>
        <v>319951.38960871822</v>
      </c>
      <c r="DG19" s="162">
        <f>-DG16-DG18</f>
        <v>-4695184.8463036362</v>
      </c>
      <c r="DH19" s="162">
        <f>-DH16-DH18</f>
        <v>-442588.00130389305</v>
      </c>
      <c r="DI19" s="96">
        <f t="shared" si="13"/>
        <v>6</v>
      </c>
      <c r="DJ19" s="171" t="s">
        <v>164</v>
      </c>
      <c r="DK19" s="182"/>
      <c r="DL19" s="191">
        <f>+'[35]Electric RS + RP'!D17</f>
        <v>10657780.915169371</v>
      </c>
      <c r="DM19" s="191">
        <f>+'[35]Electric RS + RP'!E17</f>
        <v>10661461.996836899</v>
      </c>
      <c r="DN19" s="173">
        <f t="shared" si="14"/>
        <v>3681.0816675275564</v>
      </c>
      <c r="DO19" s="173">
        <f>+'[35]Electric RS + RP'!G17</f>
        <v>11005573.481128439</v>
      </c>
      <c r="DP19" s="173">
        <f t="shared" si="15"/>
        <v>344111.48429154046</v>
      </c>
      <c r="DQ19" s="96">
        <f t="shared" si="16"/>
        <v>6</v>
      </c>
      <c r="DR19" s="47"/>
      <c r="DS19" s="188"/>
      <c r="DT19" s="186"/>
      <c r="DU19" s="186"/>
      <c r="DV19" s="186"/>
      <c r="DW19" s="186"/>
      <c r="DX19" s="186"/>
      <c r="DY19" s="282">
        <v>6</v>
      </c>
      <c r="DZ19" s="35" t="s">
        <v>193</v>
      </c>
      <c r="EA19" s="156">
        <f>[47]Lead!$G$43</f>
        <v>0.49997132880489842</v>
      </c>
      <c r="EB19" s="70">
        <f>EB17*$EA$19</f>
        <v>15089207.77566345</v>
      </c>
      <c r="EC19" s="70">
        <f>EC17*$EA$19</f>
        <v>15119397.968220374</v>
      </c>
      <c r="ED19" s="262">
        <f>EC19-EB19</f>
        <v>30190.192556923255</v>
      </c>
      <c r="EE19" s="70">
        <f>EE17*$EA$19</f>
        <v>15994394.029633511</v>
      </c>
      <c r="EF19" s="66">
        <f>EE19-EC19</f>
        <v>874996.06141313724</v>
      </c>
      <c r="EG19" s="282">
        <f t="shared" si="17"/>
        <v>6</v>
      </c>
      <c r="EH19" s="155" t="s">
        <v>38</v>
      </c>
      <c r="EJ19" s="248">
        <f>'[11]Lead E'!C15</f>
        <v>-106223263.53024991</v>
      </c>
      <c r="EK19" s="878">
        <v>-108090779.49447501</v>
      </c>
      <c r="EL19" s="248">
        <f t="shared" si="2"/>
        <v>-1867515.9642250985</v>
      </c>
      <c r="EM19" s="248">
        <f t="shared" si="3"/>
        <v>-108090779.49447501</v>
      </c>
      <c r="EN19" s="248">
        <f t="shared" si="4"/>
        <v>0</v>
      </c>
      <c r="EO19" s="282">
        <f t="shared" si="18"/>
        <v>6</v>
      </c>
      <c r="EP19" s="93" t="s">
        <v>391</v>
      </c>
      <c r="ER19" s="97">
        <f>'[30]Lead Electric'!D18</f>
        <v>7708455.0157819996</v>
      </c>
      <c r="ES19" s="97">
        <f>'[30]Lead Electric'!E18</f>
        <v>7809629.5241939761</v>
      </c>
      <c r="ET19" s="97">
        <f>ES19-ER19</f>
        <v>101174.50841197651</v>
      </c>
      <c r="EU19" s="97">
        <f>ES19</f>
        <v>7809629.5241939761</v>
      </c>
      <c r="EV19" s="97">
        <f>EU19-ES19</f>
        <v>0</v>
      </c>
      <c r="EW19" s="83">
        <f t="shared" si="19"/>
        <v>6</v>
      </c>
      <c r="EX19" s="160" t="s">
        <v>116</v>
      </c>
      <c r="EY19" s="156">
        <v>0.21</v>
      </c>
      <c r="EZ19" s="97">
        <f>-$EY$19*EZ17</f>
        <v>160386.10559999998</v>
      </c>
      <c r="FA19" s="97">
        <f>-$EY$19*FA17</f>
        <v>160386.10559999998</v>
      </c>
      <c r="FB19" s="97">
        <f>-$EY$19*FB17</f>
        <v>0</v>
      </c>
      <c r="FC19" s="97">
        <f>-$EY$19*FC17</f>
        <v>902518.54419999977</v>
      </c>
      <c r="FD19" s="97">
        <f>-$EY$19*FD17</f>
        <v>742132.43859999988</v>
      </c>
      <c r="FE19" s="282">
        <f>FE18+1</f>
        <v>6</v>
      </c>
      <c r="FF19" s="198" t="s">
        <v>95</v>
      </c>
      <c r="FG19" s="38"/>
      <c r="FH19" s="291">
        <f>-FH16-FH18</f>
        <v>-1124790.1499999997</v>
      </c>
      <c r="FI19" s="291">
        <f>-FI16-FI18</f>
        <v>-1124790.1499999997</v>
      </c>
      <c r="FJ19" s="291">
        <f>-FJ16-FJ18</f>
        <v>0</v>
      </c>
      <c r="FK19" s="291">
        <f>-FK16-FK18</f>
        <v>-1244907.8016537558</v>
      </c>
      <c r="FL19" s="291">
        <f>-FL16-FL18</f>
        <v>-120117.65165375613</v>
      </c>
      <c r="FM19" s="282">
        <f t="shared" si="20"/>
        <v>6</v>
      </c>
      <c r="FN19" s="182" t="s">
        <v>475</v>
      </c>
      <c r="FO19" s="235"/>
      <c r="FP19" s="239">
        <f>SUM(FP16:FP18)</f>
        <v>0</v>
      </c>
      <c r="FQ19" s="239">
        <f>SUM(FQ16:FQ18)</f>
        <v>0</v>
      </c>
      <c r="FR19" s="239">
        <f>SUM(FR16:FR18)</f>
        <v>0</v>
      </c>
      <c r="FS19" s="239">
        <f>SUM(FS16:FS18)</f>
        <v>20803079.051009424</v>
      </c>
      <c r="FT19" s="239">
        <f>SUM(FT16:FT18)</f>
        <v>20803079.051009424</v>
      </c>
      <c r="FU19" s="96">
        <v>5</v>
      </c>
      <c r="FV19" s="1" t="s">
        <v>557</v>
      </c>
      <c r="FW19" s="233"/>
      <c r="FX19" s="474">
        <f>+'[40]Lead E'!D15</f>
        <v>881986.25952470012</v>
      </c>
      <c r="FY19" s="474">
        <f>+'[40]Lead E'!E15</f>
        <v>881986.25952470012</v>
      </c>
      <c r="FZ19" s="474">
        <f t="shared" si="21"/>
        <v>0</v>
      </c>
      <c r="GA19" s="474">
        <f>+'[40]Lead E'!$G15</f>
        <v>660496.44105000002</v>
      </c>
      <c r="GB19" s="474">
        <f t="shared" si="22"/>
        <v>-221489.81847470009</v>
      </c>
      <c r="GC19" s="166">
        <f t="shared" si="23"/>
        <v>6</v>
      </c>
      <c r="GD19" s="182" t="s">
        <v>475</v>
      </c>
      <c r="GE19" s="235"/>
      <c r="GF19" s="239">
        <f>SUM(GF16:GF18)</f>
        <v>0</v>
      </c>
      <c r="GG19" s="239">
        <f>SUM(GG16:GG18)</f>
        <v>0</v>
      </c>
      <c r="GH19" s="239">
        <f>SUM(GH16:GH18)</f>
        <v>0</v>
      </c>
      <c r="GI19" s="239">
        <f>SUM(GI16:GI18)</f>
        <v>4087618.8281760626</v>
      </c>
      <c r="GJ19" s="239">
        <f>SUM(GJ16:GJ18)</f>
        <v>4087618.8281760626</v>
      </c>
      <c r="GK19" s="166">
        <f t="shared" si="24"/>
        <v>6</v>
      </c>
      <c r="GL19" s="288" t="s">
        <v>116</v>
      </c>
      <c r="GM19" s="260">
        <v>0.21</v>
      </c>
      <c r="GN19" s="248">
        <f>-GN17*GM19</f>
        <v>-174021.12</v>
      </c>
      <c r="GO19" s="248">
        <f>-GO17*GM19</f>
        <v>-174021.12</v>
      </c>
      <c r="GP19" s="248">
        <f>GO19-GN19</f>
        <v>0</v>
      </c>
      <c r="GQ19" s="248">
        <f>-GQ17*GM19</f>
        <v>-47135.724567749996</v>
      </c>
      <c r="GR19" s="248">
        <f>GQ19-GO19</f>
        <v>126885.39543224999</v>
      </c>
      <c r="GS19" s="166">
        <f t="shared" si="25"/>
        <v>6</v>
      </c>
      <c r="GT19" s="288" t="s">
        <v>469</v>
      </c>
      <c r="GU19" s="234"/>
      <c r="GV19" s="157">
        <f>'[42]Lead E'!$D$18</f>
        <v>0</v>
      </c>
      <c r="GW19" s="157">
        <f>GV19</f>
        <v>0</v>
      </c>
      <c r="GX19" s="157">
        <f>GW19-GV19</f>
        <v>0</v>
      </c>
      <c r="GY19" s="157">
        <f>'[42]Lead E'!$G$18</f>
        <v>-9006372.2399999984</v>
      </c>
      <c r="GZ19" s="157">
        <f>GY19-GW19</f>
        <v>-9006372.2399999984</v>
      </c>
      <c r="HA19" s="96">
        <v>6</v>
      </c>
      <c r="HB19" s="1"/>
      <c r="HC19" s="1"/>
      <c r="HD19" s="1"/>
      <c r="HE19" s="1"/>
      <c r="HF19" s="1"/>
      <c r="HG19" s="1"/>
      <c r="HH19" s="1"/>
      <c r="HI19" s="166">
        <f t="shared" si="26"/>
        <v>6</v>
      </c>
      <c r="HJ19" s="247"/>
      <c r="HQ19" s="166">
        <f t="shared" si="27"/>
        <v>6</v>
      </c>
      <c r="HR19" s="155" t="s">
        <v>475</v>
      </c>
      <c r="HS19" s="119"/>
      <c r="HT19" s="261">
        <f>SUM(HT16:HT18)</f>
        <v>0</v>
      </c>
      <c r="HU19" s="261">
        <f>SUM(HU16:HU18)</f>
        <v>0</v>
      </c>
      <c r="HV19" s="261">
        <f>SUM(HV16:HV18)</f>
        <v>0</v>
      </c>
      <c r="HW19" s="261">
        <f>SUM(HW16:HW18)</f>
        <v>0</v>
      </c>
      <c r="HX19" s="261">
        <f>SUM(HX16:HX18)</f>
        <v>0</v>
      </c>
      <c r="HY19" s="135">
        <v>6</v>
      </c>
      <c r="HZ19" s="187"/>
      <c r="IA19" s="235"/>
      <c r="IB19" s="145"/>
      <c r="IC19" s="145"/>
      <c r="ID19" s="145"/>
      <c r="IE19" s="145"/>
      <c r="IF19" s="145"/>
    </row>
    <row r="20" spans="1:240" ht="16.5" thickTop="1" thickBot="1" x14ac:dyDescent="0.3">
      <c r="A20" s="15">
        <f t="shared" si="5"/>
        <v>8</v>
      </c>
      <c r="B20" s="9" t="s">
        <v>516</v>
      </c>
      <c r="C20" s="155"/>
      <c r="D20" s="914"/>
      <c r="E20" s="914"/>
      <c r="F20" s="139">
        <v>0</v>
      </c>
      <c r="G20" s="916"/>
      <c r="H20" s="873">
        <v>-18966469.07</v>
      </c>
      <c r="I20" s="282">
        <f t="shared" si="0"/>
        <v>8</v>
      </c>
      <c r="J20" s="246" t="s">
        <v>125</v>
      </c>
      <c r="K20" s="147">
        <v>8.4790000000000004E-3</v>
      </c>
      <c r="L20" s="148">
        <f>$L$18*$K20</f>
        <v>6833479.8756278232</v>
      </c>
      <c r="M20" s="148">
        <f>M$18*$K20</f>
        <v>6878224.9152678233</v>
      </c>
      <c r="N20" s="148">
        <f>$N$18*$K20</f>
        <v>44745.039640000003</v>
      </c>
      <c r="O20" s="148">
        <f>O$18*$K20</f>
        <v>6955459.6684018234</v>
      </c>
      <c r="P20" s="148">
        <f>O20-M20</f>
        <v>77234.753134000115</v>
      </c>
      <c r="Q20" s="282">
        <f t="shared" si="29"/>
        <v>7</v>
      </c>
      <c r="R20" s="288" t="s">
        <v>74</v>
      </c>
      <c r="S20" s="246"/>
      <c r="T20" s="246"/>
      <c r="U20" s="246"/>
      <c r="V20" s="246"/>
      <c r="W20" s="246"/>
      <c r="X20" s="246"/>
      <c r="Y20" s="282">
        <f t="shared" si="6"/>
        <v>7</v>
      </c>
      <c r="Z20" s="26"/>
      <c r="AB20" s="347"/>
      <c r="AC20" s="347"/>
      <c r="AD20" s="347"/>
      <c r="AE20" s="347"/>
      <c r="AF20" s="347"/>
      <c r="AG20" s="15">
        <f t="shared" si="1"/>
        <v>7</v>
      </c>
      <c r="AH20" s="21" t="s">
        <v>134</v>
      </c>
      <c r="AJ20" s="262">
        <f>+'[32]Lead Sheet E'!D17</f>
        <v>-81156080.872999996</v>
      </c>
      <c r="AK20" s="262">
        <f>'[32]Lead Sheet E'!E17</f>
        <v>0</v>
      </c>
      <c r="AL20" s="262">
        <f t="shared" si="7"/>
        <v>81156080.872999996</v>
      </c>
      <c r="AM20" s="262">
        <f t="shared" si="8"/>
        <v>0</v>
      </c>
      <c r="AN20" s="262">
        <f t="shared" si="28"/>
        <v>0</v>
      </c>
      <c r="AO20" s="282">
        <f t="shared" si="9"/>
        <v>7</v>
      </c>
      <c r="AP20" s="155"/>
      <c r="AQ20" s="155"/>
      <c r="AR20" s="110"/>
      <c r="AS20" s="110"/>
      <c r="AT20" s="110"/>
      <c r="AU20" s="443">
        <f>SUM(AU18:AU19)</f>
        <v>921168.74924929114</v>
      </c>
      <c r="AV20" s="454"/>
      <c r="AW20" s="96"/>
      <c r="AX20" s="118"/>
      <c r="AY20" s="96"/>
      <c r="AZ20" s="105"/>
      <c r="BA20" s="106"/>
      <c r="BB20" s="138"/>
      <c r="BC20" s="138"/>
      <c r="BD20" s="138"/>
      <c r="BE20" s="96">
        <f t="shared" si="10"/>
        <v>7</v>
      </c>
      <c r="BF20" s="210" t="s">
        <v>165</v>
      </c>
      <c r="BH20" s="99">
        <f>'[34] Electric'!D19</f>
        <v>108711.12567047201</v>
      </c>
      <c r="BI20" s="99">
        <f>'[34] Electric'!E19</f>
        <v>106039.76376027713</v>
      </c>
      <c r="BJ20" s="99">
        <f>'[34] Electric'!F19</f>
        <v>-2671.3619101948861</v>
      </c>
      <c r="BK20" s="99">
        <f>'[34] Electric'!G19</f>
        <v>106039.76376027713</v>
      </c>
      <c r="BL20" s="62">
        <f>'[34] Electric'!H19</f>
        <v>0</v>
      </c>
      <c r="BM20" s="118">
        <v>7</v>
      </c>
      <c r="BN20" s="112" t="s">
        <v>121</v>
      </c>
      <c r="BO20" s="112"/>
      <c r="BP20" s="55">
        <f>-BP18-BP19</f>
        <v>-70507002.522611722</v>
      </c>
      <c r="BQ20" s="55">
        <f>-BQ18-BQ19</f>
        <v>-70435167.757770091</v>
      </c>
      <c r="BR20" s="55">
        <f>-BR18-BR19</f>
        <v>71834.76484162733</v>
      </c>
      <c r="BS20" s="55">
        <f>-BS18-BS19</f>
        <v>-70507002.522611722</v>
      </c>
      <c r="BT20" s="55">
        <f>-BT18-BT19</f>
        <v>-71834.764841627039</v>
      </c>
      <c r="BU20" s="135">
        <f t="shared" si="11"/>
        <v>7</v>
      </c>
      <c r="BV20" s="206" t="s">
        <v>128</v>
      </c>
      <c r="BW20" s="231">
        <f>FIT_E</f>
        <v>0.21</v>
      </c>
      <c r="BX20" s="194">
        <f>-BX18*$BW$20</f>
        <v>-17672.494185852189</v>
      </c>
      <c r="BY20" s="194">
        <f>-BY18*$BW$20</f>
        <v>-16263.27870541564</v>
      </c>
      <c r="BZ20" s="194">
        <f>-BZ18*$BW$20</f>
        <v>1409.2154804365487</v>
      </c>
      <c r="CA20" s="194">
        <f>-CA18*$BW$20</f>
        <v>-17672.494185852189</v>
      </c>
      <c r="CB20" s="194">
        <f>-CB18*$BW$20</f>
        <v>-1409.2154804365487</v>
      </c>
      <c r="CK20" s="96">
        <f t="shared" si="12"/>
        <v>7</v>
      </c>
      <c r="CL20" s="246" t="s">
        <v>142</v>
      </c>
      <c r="CM20" s="246"/>
      <c r="CN20" s="455">
        <f>SUM(CN16:CN19)</f>
        <v>-11803.907603</v>
      </c>
      <c r="CO20" s="455">
        <f>SUM(CO16:CO19)</f>
        <v>616750</v>
      </c>
      <c r="CP20" s="455">
        <f>SUM(CP16:CP19)</f>
        <v>628553.90760300006</v>
      </c>
      <c r="CQ20" s="455">
        <f>SUM(CQ16:CQ19)</f>
        <v>616750</v>
      </c>
      <c r="CR20" s="455">
        <f>SUM(CR16:CR19)</f>
        <v>0</v>
      </c>
      <c r="CS20" s="16"/>
      <c r="DA20" s="16"/>
      <c r="DI20" s="96">
        <f t="shared" si="13"/>
        <v>7</v>
      </c>
      <c r="DJ20" s="171" t="s">
        <v>165</v>
      </c>
      <c r="DK20" s="182"/>
      <c r="DL20" s="191">
        <f>+'[35]Electric RS + RP'!D18</f>
        <v>1325772.7039111818</v>
      </c>
      <c r="DM20" s="172">
        <f>+'[35]Electric RS + RP'!E18</f>
        <v>1326921.5073119954</v>
      </c>
      <c r="DN20" s="173">
        <f t="shared" si="14"/>
        <v>1148.8034008136019</v>
      </c>
      <c r="DO20" s="173">
        <f>+'[35]Electric RS + RP'!G18</f>
        <v>1376273.7558263356</v>
      </c>
      <c r="DP20" s="173">
        <f t="shared" si="15"/>
        <v>49352.248514340259</v>
      </c>
      <c r="DQ20" s="96">
        <f t="shared" si="16"/>
        <v>7</v>
      </c>
      <c r="DR20" s="202" t="s">
        <v>189</v>
      </c>
      <c r="DS20" s="189"/>
      <c r="DT20" s="186"/>
      <c r="DU20" s="186"/>
      <c r="DV20" s="186"/>
      <c r="DW20" s="186"/>
      <c r="DX20" s="186"/>
      <c r="DY20" s="282">
        <v>7</v>
      </c>
      <c r="DZ20" s="161" t="s">
        <v>404</v>
      </c>
      <c r="EA20" s="36"/>
      <c r="EB20" s="449">
        <f>'[37]Lead Elec'!$D$19</f>
        <v>15121148.928192388</v>
      </c>
      <c r="EC20" s="449">
        <f>'[37]Lead Elec'!$D$19</f>
        <v>15121148.928192388</v>
      </c>
      <c r="ED20" s="450">
        <f>EC20-EB20</f>
        <v>0</v>
      </c>
      <c r="EE20" s="449">
        <f>'[37]Lead Elec'!$D$19</f>
        <v>15121148.928192388</v>
      </c>
      <c r="EF20" s="442">
        <f>EE20-EC20</f>
        <v>0</v>
      </c>
      <c r="EG20" s="282">
        <f t="shared" si="17"/>
        <v>7</v>
      </c>
      <c r="EH20" s="155" t="s">
        <v>39</v>
      </c>
      <c r="EJ20" s="387">
        <f>SUM(EJ14:EJ19)</f>
        <v>5208778506.3049917</v>
      </c>
      <c r="EK20" s="387">
        <f>SUM(EK14:EK19)</f>
        <v>5391385344.0330009</v>
      </c>
      <c r="EL20" s="387">
        <f>SUM(EL14:EL19)</f>
        <v>182606837.72800946</v>
      </c>
      <c r="EM20" s="387">
        <f>SUM(EM14:EM19)</f>
        <v>5391385344.0330009</v>
      </c>
      <c r="EN20" s="472">
        <f>SUM(EN14:EN19)</f>
        <v>0</v>
      </c>
      <c r="EO20" s="282">
        <f t="shared" si="18"/>
        <v>7</v>
      </c>
      <c r="EP20" s="93" t="s">
        <v>392</v>
      </c>
      <c r="ER20" s="248">
        <f>'[30]Lead Electric'!D19</f>
        <v>3557679.0999999996</v>
      </c>
      <c r="ES20" s="248">
        <f>'[30]Lead Electric'!E19</f>
        <v>3537694.0799999996</v>
      </c>
      <c r="ET20" s="248">
        <f>ES20-ER20</f>
        <v>-19985.020000000019</v>
      </c>
      <c r="EU20" s="248">
        <f>ES20</f>
        <v>3537694.0799999996</v>
      </c>
      <c r="EV20" s="248">
        <f>EU20-ES20</f>
        <v>0</v>
      </c>
      <c r="EW20" s="83">
        <f t="shared" si="19"/>
        <v>7</v>
      </c>
      <c r="EX20" s="160" t="s">
        <v>95</v>
      </c>
      <c r="EY20" s="160"/>
      <c r="EZ20" s="291">
        <f>-EZ17-EZ19</f>
        <v>603357.25439999998</v>
      </c>
      <c r="FA20" s="291">
        <f>-FA17-FA19</f>
        <v>603357.25439999998</v>
      </c>
      <c r="FB20" s="291">
        <f>-FB17-FB19</f>
        <v>0</v>
      </c>
      <c r="FC20" s="291">
        <f>-FC17-FC19</f>
        <v>3395188.8091333327</v>
      </c>
      <c r="FD20" s="291">
        <f>-FD17-FD19</f>
        <v>2791831.5547333327</v>
      </c>
      <c r="FE20" s="282"/>
      <c r="FF20" s="41"/>
      <c r="FG20" s="41"/>
      <c r="FH20" s="199"/>
      <c r="FI20" s="199"/>
      <c r="FJ20" s="200"/>
      <c r="FK20" s="265"/>
      <c r="FL20" s="12"/>
      <c r="FM20" s="282">
        <f t="shared" si="20"/>
        <v>7</v>
      </c>
      <c r="FN20" s="8" t="s">
        <v>476</v>
      </c>
      <c r="FO20" s="235"/>
      <c r="FP20" s="239"/>
      <c r="FQ20" s="239"/>
      <c r="FR20" s="239"/>
      <c r="FS20" s="239"/>
      <c r="FT20" s="239"/>
      <c r="FU20" s="96">
        <v>6</v>
      </c>
      <c r="FV20" s="1" t="s">
        <v>558</v>
      </c>
      <c r="FW20" s="233"/>
      <c r="FX20" s="474">
        <f>+'[40]Lead E'!D16</f>
        <v>324257.87030945002</v>
      </c>
      <c r="FY20" s="474">
        <f>+'[40]Lead E'!E16</f>
        <v>324257.87030945002</v>
      </c>
      <c r="FZ20" s="474">
        <f t="shared" si="21"/>
        <v>0</v>
      </c>
      <c r="GA20" s="474">
        <f>+'[40]Lead E'!$G16</f>
        <v>783108.6066846</v>
      </c>
      <c r="GB20" s="474">
        <f t="shared" si="22"/>
        <v>458850.73637514998</v>
      </c>
      <c r="GC20" s="166">
        <f t="shared" si="23"/>
        <v>7</v>
      </c>
      <c r="GD20" s="182"/>
      <c r="GE20" s="235"/>
      <c r="GF20" s="239"/>
      <c r="GG20" s="239"/>
      <c r="GH20" s="239"/>
      <c r="GI20" s="239"/>
      <c r="GJ20" s="239"/>
      <c r="GK20" s="166">
        <f t="shared" si="24"/>
        <v>7</v>
      </c>
      <c r="GL20" s="288" t="s">
        <v>95</v>
      </c>
      <c r="GN20" s="201">
        <f>-GN17-GN19</f>
        <v>-654650.88</v>
      </c>
      <c r="GO20" s="201">
        <f>-GO17-GO19</f>
        <v>-654650.88</v>
      </c>
      <c r="GP20" s="201">
        <f>-GP17-GP19</f>
        <v>0</v>
      </c>
      <c r="GQ20" s="201">
        <f>-GQ17-GQ19</f>
        <v>-177320.10670725</v>
      </c>
      <c r="GR20" s="201">
        <f>-GR17-GR19</f>
        <v>477330.77329275</v>
      </c>
      <c r="GS20" s="166">
        <f t="shared" si="25"/>
        <v>7</v>
      </c>
      <c r="GT20" s="288" t="s">
        <v>110</v>
      </c>
      <c r="GU20" s="98"/>
      <c r="GV20" s="278">
        <f>GV19</f>
        <v>0</v>
      </c>
      <c r="GW20" s="278">
        <f>GW19</f>
        <v>0</v>
      </c>
      <c r="GX20" s="278">
        <f>GX19</f>
        <v>0</v>
      </c>
      <c r="GY20" s="278">
        <f>GY19</f>
        <v>-9006372.2399999984</v>
      </c>
      <c r="GZ20" s="278">
        <f>GZ19</f>
        <v>-9006372.2399999984</v>
      </c>
      <c r="HA20" s="96">
        <v>7</v>
      </c>
      <c r="HB20" s="236" t="s">
        <v>451</v>
      </c>
      <c r="HC20" s="236"/>
      <c r="HD20" s="1"/>
      <c r="HE20" s="1"/>
      <c r="HF20" s="1"/>
      <c r="HG20" s="1"/>
      <c r="HH20" s="1"/>
      <c r="HI20" s="166">
        <f t="shared" si="26"/>
        <v>7</v>
      </c>
      <c r="HJ20" s="247" t="s">
        <v>146</v>
      </c>
      <c r="HK20" s="107">
        <f>FIT_E</f>
        <v>0.21</v>
      </c>
      <c r="HL20" s="248">
        <f>-HL18*HK20</f>
        <v>-13141610.04428055</v>
      </c>
      <c r="HM20" s="248">
        <f>-HM18*HK20</f>
        <v>-13141610.04428055</v>
      </c>
      <c r="HN20" s="248">
        <f>HM20-HL20</f>
        <v>0</v>
      </c>
      <c r="HO20" s="248">
        <f>-HO18*HK20</f>
        <v>-13495347.323287621</v>
      </c>
      <c r="HP20" s="248">
        <f>HO20-HM20</f>
        <v>-353737.27900707163</v>
      </c>
      <c r="HQ20" s="166">
        <f t="shared" si="27"/>
        <v>7</v>
      </c>
      <c r="HS20" s="119"/>
      <c r="HY20" s="135">
        <v>7</v>
      </c>
      <c r="HZ20" s="815"/>
      <c r="IA20" s="182"/>
      <c r="IB20" s="97"/>
      <c r="IC20" s="97"/>
      <c r="ID20" s="97"/>
      <c r="IE20" s="97"/>
      <c r="IF20" s="97"/>
    </row>
    <row r="21" spans="1:240" ht="16.5" thickTop="1" thickBot="1" x14ac:dyDescent="0.3">
      <c r="A21" s="15">
        <f t="shared" si="5"/>
        <v>9</v>
      </c>
      <c r="B21" s="9" t="s">
        <v>510</v>
      </c>
      <c r="C21" s="155"/>
      <c r="D21" s="914"/>
      <c r="E21" s="914"/>
      <c r="F21" s="139">
        <f>'[21]Lead Electric'!E20</f>
        <v>114.23000000000138</v>
      </c>
      <c r="G21" s="916"/>
      <c r="H21" s="139">
        <v>0</v>
      </c>
      <c r="I21" s="282">
        <f t="shared" si="0"/>
        <v>9</v>
      </c>
      <c r="J21" s="246" t="s">
        <v>126</v>
      </c>
      <c r="K21" s="147">
        <v>2E-3</v>
      </c>
      <c r="L21" s="148">
        <f>$L$18*$K21</f>
        <v>1611859.8598013499</v>
      </c>
      <c r="M21" s="148">
        <f>$M$18*$K21</f>
        <v>1622414.17980135</v>
      </c>
      <c r="N21" s="148">
        <f>$N$18*$K21</f>
        <v>10554.32</v>
      </c>
      <c r="O21" s="148">
        <f>O$18*$K21</f>
        <v>1640632.07180135</v>
      </c>
      <c r="P21" s="148">
        <f>O21-M21</f>
        <v>18217.891999999993</v>
      </c>
      <c r="Q21" s="282">
        <f t="shared" si="29"/>
        <v>8</v>
      </c>
      <c r="R21" s="182" t="s">
        <v>946</v>
      </c>
      <c r="S21" s="155"/>
      <c r="T21" s="97">
        <v>0</v>
      </c>
      <c r="U21" s="97">
        <v>3379325.1106698341</v>
      </c>
      <c r="V21" s="97">
        <f>+T21+U21</f>
        <v>3379325.1106698341</v>
      </c>
      <c r="W21" s="821">
        <f>U21</f>
        <v>3379325.1106698341</v>
      </c>
      <c r="X21" s="97">
        <v>0</v>
      </c>
      <c r="Y21" s="282">
        <f t="shared" si="6"/>
        <v>8</v>
      </c>
      <c r="Z21" s="10" t="s">
        <v>154</v>
      </c>
      <c r="AA21" s="107">
        <f>FIT_E</f>
        <v>0.21</v>
      </c>
      <c r="AB21" s="352">
        <f>-AB19*$AA$21</f>
        <v>0</v>
      </c>
      <c r="AC21" s="352">
        <f>-AC19*$AA$21</f>
        <v>-32607563.054273214</v>
      </c>
      <c r="AD21" s="352">
        <f>-AD19*$AA$21</f>
        <v>-32607563.054273214</v>
      </c>
      <c r="AE21" s="352">
        <f>-AE19*$AA$21</f>
        <v>-31644354.737499565</v>
      </c>
      <c r="AF21" s="352">
        <f>-AF19*$AA$21</f>
        <v>963208.3167736521</v>
      </c>
      <c r="AG21" s="15">
        <f t="shared" si="1"/>
        <v>8</v>
      </c>
      <c r="AH21" s="132" t="s">
        <v>213</v>
      </c>
      <c r="AJ21" s="262">
        <f>+'[32]Lead Sheet E'!D18</f>
        <v>-657452.02800000005</v>
      </c>
      <c r="AK21" s="262">
        <f>'[32]Lead Sheet E'!E18</f>
        <v>0</v>
      </c>
      <c r="AL21" s="262">
        <f t="shared" si="7"/>
        <v>657452.02800000005</v>
      </c>
      <c r="AM21" s="262">
        <f t="shared" si="8"/>
        <v>0</v>
      </c>
      <c r="AN21" s="262">
        <f t="shared" si="28"/>
        <v>0</v>
      </c>
      <c r="AO21" s="282">
        <f t="shared" si="9"/>
        <v>8</v>
      </c>
      <c r="AP21" s="75" t="s">
        <v>95</v>
      </c>
      <c r="AQ21" s="75"/>
      <c r="AR21" s="76">
        <f>-AR18-AR19</f>
        <v>-987766.12411446206</v>
      </c>
      <c r="AS21" s="76">
        <f>-AS18-AS19</f>
        <v>-921168.74924929114</v>
      </c>
      <c r="AT21" s="76">
        <f>-AT18-AT19</f>
        <v>66597.374865170947</v>
      </c>
      <c r="AU21" s="76">
        <f>-AU18-AU19</f>
        <v>-921168.74924929114</v>
      </c>
      <c r="AV21" s="76">
        <f>-AV18-AV19</f>
        <v>0</v>
      </c>
      <c r="AW21" s="96"/>
      <c r="AX21" s="118"/>
      <c r="AY21" s="96"/>
      <c r="AZ21" s="108"/>
      <c r="BA21" s="109"/>
      <c r="BB21" s="110"/>
      <c r="BC21" s="109"/>
      <c r="BD21" s="109"/>
      <c r="BE21" s="96">
        <f t="shared" si="10"/>
        <v>8</v>
      </c>
      <c r="BF21" s="210" t="s">
        <v>166</v>
      </c>
      <c r="BH21" s="99">
        <f>'[34] Electric'!D20</f>
        <v>39554.718969287766</v>
      </c>
      <c r="BI21" s="99">
        <f>'[34] Electric'!E20</f>
        <v>38617.715938259505</v>
      </c>
      <c r="BJ21" s="99">
        <f>'[34] Electric'!F20</f>
        <v>-937.00303102826001</v>
      </c>
      <c r="BK21" s="99">
        <f>'[34] Electric'!G20</f>
        <v>38617.715938259505</v>
      </c>
      <c r="BL21" s="62">
        <f>'[34] Electric'!H20</f>
        <v>0</v>
      </c>
      <c r="BM21" s="16"/>
      <c r="BN21" s="56"/>
      <c r="BO21" s="62"/>
      <c r="BP21" s="47"/>
      <c r="BQ21" s="47"/>
      <c r="BR21" s="47"/>
      <c r="BS21" s="47"/>
      <c r="BT21" s="47"/>
      <c r="BU21" s="135">
        <f t="shared" si="11"/>
        <v>8</v>
      </c>
      <c r="BV21" s="206" t="s">
        <v>95</v>
      </c>
      <c r="BW21" s="232"/>
      <c r="BX21" s="168">
        <f>-BX18-BX20</f>
        <v>-66482.240032491565</v>
      </c>
      <c r="BY21" s="168">
        <f>-BY18-BY20</f>
        <v>-61180.905606087414</v>
      </c>
      <c r="BZ21" s="168">
        <f>-BZ18-BZ20</f>
        <v>5301.3344264041589</v>
      </c>
      <c r="CA21" s="168">
        <f>-CA18-CA20</f>
        <v>-66482.240032491565</v>
      </c>
      <c r="CB21" s="168">
        <f>-CB18-CB20</f>
        <v>-5301.3344264041589</v>
      </c>
      <c r="CK21" s="96">
        <f t="shared" si="12"/>
        <v>8</v>
      </c>
      <c r="CL21" s="247"/>
      <c r="CM21" s="247"/>
      <c r="DA21" s="16"/>
      <c r="DI21" s="96">
        <f t="shared" si="13"/>
        <v>8</v>
      </c>
      <c r="DJ21" s="171" t="s">
        <v>166</v>
      </c>
      <c r="DK21" s="182"/>
      <c r="DL21" s="191">
        <f>+'[35]Electric RS + RP'!D19</f>
        <v>482719.13067690859</v>
      </c>
      <c r="DM21" s="191">
        <f>+'[35]Electric RS + RP'!E19</f>
        <v>483201.84980758541</v>
      </c>
      <c r="DN21" s="173">
        <f t="shared" si="14"/>
        <v>482.71913067682181</v>
      </c>
      <c r="DO21" s="173">
        <f>+'[35]Electric RS + RP'!G19</f>
        <v>501708.48065521597</v>
      </c>
      <c r="DP21" s="173">
        <f t="shared" si="15"/>
        <v>18506.630847630557</v>
      </c>
      <c r="DQ21" s="96">
        <f t="shared" si="16"/>
        <v>8</v>
      </c>
      <c r="DR21" s="112" t="s">
        <v>190</v>
      </c>
      <c r="DS21" s="190"/>
      <c r="DT21" s="186">
        <f>+[36]Electric!D20</f>
        <v>1056410.8019999999</v>
      </c>
      <c r="DU21" s="186">
        <f>+[36]Electric!E20</f>
        <v>1080180.0450449998</v>
      </c>
      <c r="DV21" s="186">
        <f>+DU21-DT21</f>
        <v>23769.243044999894</v>
      </c>
      <c r="DW21" s="186">
        <f>+[36]Electric!G20</f>
        <v>1143181.5461722496</v>
      </c>
      <c r="DX21" s="186">
        <f>+DW21-DU21</f>
        <v>63001.501127249794</v>
      </c>
      <c r="DY21" s="282">
        <v>8</v>
      </c>
      <c r="DZ21" s="160" t="s">
        <v>103</v>
      </c>
      <c r="EA21" s="155"/>
      <c r="EB21" s="265">
        <f>EB19-EB20</f>
        <v>-31941.152528937906</v>
      </c>
      <c r="EC21" s="265">
        <f>EC19-EC20</f>
        <v>-1750.9599720146507</v>
      </c>
      <c r="ED21" s="158">
        <f>EC21-EB21</f>
        <v>30190.192556923255</v>
      </c>
      <c r="EE21" s="265">
        <f>EE19-EE20</f>
        <v>873245.10144112259</v>
      </c>
      <c r="EF21" s="109">
        <f>SUM(EF19:EF20)</f>
        <v>874996.06141313724</v>
      </c>
      <c r="EG21" s="282"/>
      <c r="EJ21" s="97"/>
      <c r="EK21" s="97"/>
      <c r="EL21" s="97"/>
      <c r="EM21" s="97"/>
      <c r="EN21" s="97"/>
      <c r="EO21" s="282">
        <f t="shared" si="18"/>
        <v>8</v>
      </c>
      <c r="EP21" s="93" t="s">
        <v>393</v>
      </c>
      <c r="ER21" s="97">
        <f>SUM(ER18:ER20)</f>
        <v>405261817.13353872</v>
      </c>
      <c r="ES21" s="97">
        <f>SUM(ES18:ES20)</f>
        <v>426660492.4238199</v>
      </c>
      <c r="ET21" s="97">
        <f>SUM(ET18:ET20)</f>
        <v>21398675.290281195</v>
      </c>
      <c r="EU21" s="97">
        <f>SUM(EU18:EU20)</f>
        <v>426660492.4238199</v>
      </c>
      <c r="EV21" s="97">
        <f>SUM(EV18:EV20)</f>
        <v>0</v>
      </c>
      <c r="EW21" s="83"/>
      <c r="FE21" s="282"/>
      <c r="FF21" s="398"/>
      <c r="FG21" s="398"/>
      <c r="FH21" s="398"/>
      <c r="FI21" s="1"/>
      <c r="FJ21" s="1"/>
      <c r="FK21" s="1"/>
      <c r="FL21" s="1"/>
      <c r="FM21" s="282">
        <f t="shared" si="20"/>
        <v>8</v>
      </c>
      <c r="FN21" s="235" t="s">
        <v>458</v>
      </c>
      <c r="FO21" s="235"/>
      <c r="FP21" s="109">
        <v>0</v>
      </c>
      <c r="FQ21" s="109">
        <v>0</v>
      </c>
      <c r="FR21" s="109">
        <f>+'[44]Lead E'!F21</f>
        <v>0</v>
      </c>
      <c r="FS21" s="109">
        <f>+'[44]Lead E'!G21</f>
        <v>11304151.202868855</v>
      </c>
      <c r="FT21" s="109">
        <f>+FS21-FR21</f>
        <v>11304151.202868855</v>
      </c>
      <c r="FU21" s="96">
        <v>7</v>
      </c>
      <c r="FV21" s="1" t="s">
        <v>559</v>
      </c>
      <c r="FW21" s="233"/>
      <c r="FX21" s="474">
        <f>+'[40]Lead E'!D17</f>
        <v>894121.3755996502</v>
      </c>
      <c r="FY21" s="474">
        <f>+'[40]Lead E'!E17</f>
        <v>894121.3755996502</v>
      </c>
      <c r="FZ21" s="474">
        <f t="shared" si="21"/>
        <v>0</v>
      </c>
      <c r="GA21" s="474">
        <f>+'[40]Lead E'!$G17</f>
        <v>715521.3874128001</v>
      </c>
      <c r="GB21" s="474">
        <f t="shared" si="22"/>
        <v>-178599.9881868501</v>
      </c>
      <c r="GC21" s="166">
        <f t="shared" si="23"/>
        <v>8</v>
      </c>
      <c r="GD21" s="8" t="s">
        <v>476</v>
      </c>
      <c r="GE21" s="235"/>
      <c r="GF21" s="109"/>
      <c r="GG21" s="109"/>
      <c r="GH21" s="109"/>
      <c r="GI21" s="109"/>
      <c r="GJ21" s="109"/>
      <c r="GK21" s="166"/>
      <c r="GS21" s="166">
        <f t="shared" si="25"/>
        <v>8</v>
      </c>
      <c r="GU21" s="112"/>
      <c r="GV21" s="119"/>
      <c r="GW21" s="119"/>
      <c r="GX21" s="119"/>
      <c r="GY21" s="119"/>
      <c r="GZ21" s="119"/>
      <c r="HA21" s="96">
        <v>8</v>
      </c>
      <c r="HB21" s="397" t="s">
        <v>102</v>
      </c>
      <c r="HC21" s="397"/>
      <c r="HD21" s="145">
        <v>0</v>
      </c>
      <c r="HE21" s="145">
        <v>0</v>
      </c>
      <c r="HF21" s="145">
        <f>HE21-HD21</f>
        <v>0</v>
      </c>
      <c r="HG21" s="145">
        <v>0</v>
      </c>
      <c r="HH21" s="145">
        <f>HG21-HF21</f>
        <v>0</v>
      </c>
      <c r="HI21" s="166">
        <f t="shared" si="26"/>
        <v>8</v>
      </c>
      <c r="HJ21" s="247" t="s">
        <v>121</v>
      </c>
      <c r="HL21" s="291">
        <f>-HL18-HL20</f>
        <v>-49437485.404674448</v>
      </c>
      <c r="HM21" s="291">
        <f>-HM18-HM20</f>
        <v>-49437485.404674448</v>
      </c>
      <c r="HN21" s="291">
        <f>-HN18-HN20</f>
        <v>0</v>
      </c>
      <c r="HO21" s="291">
        <f>-HO18-HO20</f>
        <v>-50768211.359034389</v>
      </c>
      <c r="HP21" s="291">
        <f>-HP18-HP20</f>
        <v>-1330725.9543599267</v>
      </c>
      <c r="HQ21" s="166">
        <f t="shared" si="27"/>
        <v>8</v>
      </c>
      <c r="HR21" s="288" t="s">
        <v>461</v>
      </c>
      <c r="HS21" s="119"/>
      <c r="HT21" s="261">
        <f t="shared" ref="HT21:HV21" si="30">HT19</f>
        <v>0</v>
      </c>
      <c r="HU21" s="261">
        <f t="shared" si="30"/>
        <v>0</v>
      </c>
      <c r="HV21" s="261">
        <f t="shared" si="30"/>
        <v>0</v>
      </c>
      <c r="HW21" s="261">
        <f>HW19</f>
        <v>0</v>
      </c>
      <c r="HX21" s="261">
        <f t="shared" ref="HX21" si="31">HX19</f>
        <v>0</v>
      </c>
      <c r="HY21" s="135">
        <v>8</v>
      </c>
      <c r="HZ21" s="182"/>
      <c r="IA21" s="182"/>
    </row>
    <row r="22" spans="1:240" ht="16.5" thickTop="1" thickBot="1" x14ac:dyDescent="0.3">
      <c r="A22" s="15">
        <f t="shared" si="5"/>
        <v>10</v>
      </c>
      <c r="B22" s="9" t="s">
        <v>369</v>
      </c>
      <c r="C22" s="155"/>
      <c r="D22" s="915"/>
      <c r="E22" s="915"/>
      <c r="F22" s="456">
        <f>'[21]Lead Electric'!E21</f>
        <v>3810955</v>
      </c>
      <c r="G22" s="915"/>
      <c r="H22" s="456">
        <v>0</v>
      </c>
      <c r="I22" s="282">
        <f t="shared" si="0"/>
        <v>10</v>
      </c>
      <c r="J22" s="246" t="s">
        <v>127</v>
      </c>
      <c r="K22" s="147">
        <v>3.8406000000000003E-2</v>
      </c>
      <c r="L22" s="148">
        <f>$L$18*$K22</f>
        <v>30952544.887765326</v>
      </c>
      <c r="M22" s="148">
        <f>$M$18*$K22</f>
        <v>31155219.494725324</v>
      </c>
      <c r="N22" s="148">
        <f>$N$18*$K22</f>
        <v>202674.60696</v>
      </c>
      <c r="O22" s="148">
        <f>O$18*$K22</f>
        <v>31505057.674801324</v>
      </c>
      <c r="P22" s="148">
        <f>O22-M22</f>
        <v>349838.18007599935</v>
      </c>
      <c r="Q22" s="282">
        <f t="shared" si="29"/>
        <v>9</v>
      </c>
      <c r="R22" s="288" t="s">
        <v>947</v>
      </c>
      <c r="S22" s="24"/>
      <c r="T22" s="248">
        <v>0</v>
      </c>
      <c r="U22" s="248">
        <v>29205744.84182819</v>
      </c>
      <c r="V22" s="248">
        <f>+T22+U22</f>
        <v>29205744.84182819</v>
      </c>
      <c r="W22" s="822">
        <f>U22</f>
        <v>29205744.84182819</v>
      </c>
      <c r="X22" s="248">
        <v>0</v>
      </c>
      <c r="Y22" s="282">
        <f t="shared" si="6"/>
        <v>9</v>
      </c>
      <c r="Z22" s="10" t="s">
        <v>95</v>
      </c>
      <c r="AB22" s="381">
        <f>-AB21</f>
        <v>0</v>
      </c>
      <c r="AC22" s="381">
        <f>-AC21</f>
        <v>32607563.054273214</v>
      </c>
      <c r="AD22" s="381">
        <f>-AD21</f>
        <v>32607563.054273214</v>
      </c>
      <c r="AE22" s="381">
        <f>-AE21</f>
        <v>31644354.737499565</v>
      </c>
      <c r="AF22" s="381">
        <f>-AF21</f>
        <v>-963208.3167736521</v>
      </c>
      <c r="AG22" s="15">
        <f t="shared" si="1"/>
        <v>9</v>
      </c>
      <c r="AH22" s="132" t="s">
        <v>214</v>
      </c>
      <c r="AJ22" s="262">
        <f>+'[32]Lead Sheet E'!D19</f>
        <v>544146.44999999995</v>
      </c>
      <c r="AK22" s="262">
        <f>'[32]Lead Sheet E'!E19</f>
        <v>0</v>
      </c>
      <c r="AL22" s="262">
        <f t="shared" si="7"/>
        <v>-544146.44999999995</v>
      </c>
      <c r="AM22" s="262">
        <f t="shared" si="8"/>
        <v>0</v>
      </c>
      <c r="AN22" s="262">
        <f t="shared" si="28"/>
        <v>0</v>
      </c>
      <c r="AO22" s="16"/>
      <c r="AT22" s="145"/>
      <c r="AW22" s="96"/>
      <c r="AX22" s="96"/>
      <c r="AY22" s="96"/>
      <c r="AZ22" s="108"/>
      <c r="BA22" s="109"/>
      <c r="BB22" s="110"/>
      <c r="BC22" s="109"/>
      <c r="BD22" s="109"/>
      <c r="BE22" s="96">
        <f t="shared" si="10"/>
        <v>9</v>
      </c>
      <c r="BF22" s="210" t="s">
        <v>167</v>
      </c>
      <c r="BH22" s="440">
        <f>'[34] Electric'!D21</f>
        <v>2305765.9693311718</v>
      </c>
      <c r="BI22" s="440">
        <f>'[34] Electric'!E21</f>
        <v>2249122.2129821805</v>
      </c>
      <c r="BJ22" s="440">
        <f>'[34] Electric'!F21</f>
        <v>-56643.756348991301</v>
      </c>
      <c r="BK22" s="440">
        <f>'[34] Electric'!G21</f>
        <v>2249122.2129821805</v>
      </c>
      <c r="BL22" s="62">
        <f>'[34] Electric'!H21</f>
        <v>0</v>
      </c>
      <c r="BM22" s="16"/>
      <c r="BU22" s="135"/>
      <c r="BV22" s="119"/>
      <c r="BW22" s="119"/>
      <c r="CK22" s="96">
        <f t="shared" si="12"/>
        <v>9</v>
      </c>
      <c r="CL22" s="247" t="s">
        <v>260</v>
      </c>
      <c r="CM22" s="260">
        <f>+FIT_E</f>
        <v>0.21</v>
      </c>
      <c r="CN22" s="262">
        <f>-CN20*$CM$22</f>
        <v>2478.8205966299997</v>
      </c>
      <c r="CO22" s="262">
        <f>-CO20*$CM$22</f>
        <v>-129517.5</v>
      </c>
      <c r="CP22" s="99">
        <f>CO22-CN22</f>
        <v>-131996.32059662999</v>
      </c>
      <c r="CQ22" s="262">
        <f>+CO22</f>
        <v>-129517.5</v>
      </c>
      <c r="CR22" s="262">
        <f>CQ22-CO22</f>
        <v>0</v>
      </c>
      <c r="DA22" s="16"/>
      <c r="DI22" s="96">
        <f t="shared" si="13"/>
        <v>9</v>
      </c>
      <c r="DJ22" s="171" t="s">
        <v>167</v>
      </c>
      <c r="DK22" s="182"/>
      <c r="DL22" s="457">
        <f>+'[35]Electric RS + RP'!D20</f>
        <v>28115834.299467236</v>
      </c>
      <c r="DM22" s="457">
        <f>+'[35]Electric RS + RP'!E20</f>
        <v>28143396.613986582</v>
      </c>
      <c r="DN22" s="458">
        <f t="shared" si="14"/>
        <v>27562.31451934576</v>
      </c>
      <c r="DO22" s="458">
        <f>+'[35]Electric RS + RP'!G20</f>
        <v>29215057.33172036</v>
      </c>
      <c r="DP22" s="458">
        <f t="shared" si="15"/>
        <v>1071660.7177337781</v>
      </c>
      <c r="DQ22" s="96">
        <f t="shared" si="16"/>
        <v>9</v>
      </c>
      <c r="DR22" s="47"/>
      <c r="DS22" s="188"/>
      <c r="DT22" s="466"/>
      <c r="DU22" s="466"/>
      <c r="DV22" s="466"/>
      <c r="DW22" s="466"/>
      <c r="DX22" s="466"/>
      <c r="DY22" s="282">
        <v>9</v>
      </c>
      <c r="DZ22" s="112"/>
      <c r="EA22" s="155"/>
      <c r="EB22" s="155"/>
      <c r="EC22" s="155"/>
      <c r="ED22" s="289"/>
      <c r="EE22" s="289"/>
      <c r="EF22" s="66"/>
      <c r="EG22" s="282"/>
      <c r="EJ22" s="1"/>
      <c r="EK22" s="1"/>
      <c r="EL22" s="1"/>
      <c r="EM22" s="1"/>
      <c r="EN22" s="1"/>
      <c r="EO22" s="282">
        <f t="shared" si="18"/>
        <v>9</v>
      </c>
      <c r="EW22" s="83"/>
      <c r="FD22" s="145"/>
      <c r="FE22" s="282"/>
      <c r="FF22" s="10"/>
      <c r="FG22" s="10"/>
      <c r="FH22" s="10"/>
      <c r="FI22" s="1"/>
      <c r="FJ22" s="1"/>
      <c r="FK22" s="1"/>
      <c r="FL22" s="1"/>
      <c r="FM22" s="282">
        <f t="shared" si="20"/>
        <v>9</v>
      </c>
      <c r="FN22" s="235" t="s">
        <v>459</v>
      </c>
      <c r="FO22" s="235"/>
      <c r="FP22" s="109">
        <v>0</v>
      </c>
      <c r="FQ22" s="109">
        <v>0</v>
      </c>
      <c r="FR22" s="109">
        <f>+'[44]Lead E'!F22</f>
        <v>0</v>
      </c>
      <c r="FS22" s="109">
        <f>+'[44]Lead E'!G22</f>
        <v>-1884025.2004781428</v>
      </c>
      <c r="FT22" s="109">
        <f>+FS22-FR22</f>
        <v>-1884025.2004781428</v>
      </c>
      <c r="FU22" s="96">
        <v>8</v>
      </c>
      <c r="FV22" s="1" t="s">
        <v>560</v>
      </c>
      <c r="FW22" s="233"/>
      <c r="FX22" s="474">
        <f>+'[40]Lead E'!D18</f>
        <v>-167598.16</v>
      </c>
      <c r="FY22" s="474">
        <f>+'[40]Lead E'!E18</f>
        <v>0</v>
      </c>
      <c r="FZ22" s="474">
        <f t="shared" si="21"/>
        <v>167598.16</v>
      </c>
      <c r="GA22" s="474">
        <f>+'[40]Lead E'!$G18</f>
        <v>0</v>
      </c>
      <c r="GB22" s="474">
        <f t="shared" si="22"/>
        <v>0</v>
      </c>
      <c r="GC22" s="166">
        <f t="shared" si="23"/>
        <v>9</v>
      </c>
      <c r="GD22" s="235" t="s">
        <v>477</v>
      </c>
      <c r="GE22" s="235"/>
      <c r="GF22" s="109">
        <f>'[45]Elec Lead '!D22</f>
        <v>0</v>
      </c>
      <c r="GG22" s="109">
        <f>'[45]Elec Lead '!E22</f>
        <v>0</v>
      </c>
      <c r="GH22" s="109">
        <v>0</v>
      </c>
      <c r="GI22" s="884">
        <v>11045491.805502929</v>
      </c>
      <c r="GJ22" s="109">
        <f>+GI22-GH22</f>
        <v>11045491.805502929</v>
      </c>
      <c r="GS22" s="166">
        <f t="shared" si="25"/>
        <v>9</v>
      </c>
      <c r="GT22" s="288" t="s">
        <v>249</v>
      </c>
      <c r="GU22" s="216">
        <v>0.21</v>
      </c>
      <c r="GV22" s="479" t="s">
        <v>470</v>
      </c>
      <c r="GW22" s="479" t="s">
        <v>470</v>
      </c>
      <c r="GX22" s="479" t="s">
        <v>470</v>
      </c>
      <c r="GY22" s="479" t="s">
        <v>470</v>
      </c>
      <c r="GZ22" s="479" t="s">
        <v>470</v>
      </c>
      <c r="HA22" s="96">
        <v>9</v>
      </c>
      <c r="HB22" s="397" t="s">
        <v>453</v>
      </c>
      <c r="HC22" s="397"/>
      <c r="HD22" s="55"/>
      <c r="HE22" s="55"/>
      <c r="HF22" s="55"/>
      <c r="HG22" s="55">
        <f>SUM(HG21)</f>
        <v>0</v>
      </c>
      <c r="HH22" s="55">
        <f>SUM(HH21)</f>
        <v>0</v>
      </c>
      <c r="HI22" s="166"/>
      <c r="HQ22" s="166">
        <f t="shared" si="27"/>
        <v>9</v>
      </c>
      <c r="HS22" s="119"/>
      <c r="HY22" s="135">
        <v>9</v>
      </c>
      <c r="HZ22" s="187"/>
      <c r="IA22" s="816"/>
      <c r="IB22" s="817"/>
      <c r="IC22" s="817"/>
      <c r="ID22" s="817"/>
      <c r="IE22" s="817"/>
      <c r="IF22" s="817"/>
    </row>
    <row r="23" spans="1:240" ht="16.5" customHeight="1" thickTop="1" thickBot="1" x14ac:dyDescent="0.3">
      <c r="A23" s="15">
        <f t="shared" si="5"/>
        <v>11</v>
      </c>
      <c r="B23" s="9" t="s">
        <v>377</v>
      </c>
      <c r="C23" s="155"/>
      <c r="D23" s="139"/>
      <c r="E23" s="139"/>
      <c r="F23" s="139">
        <f>SUM(F14:F22)</f>
        <v>41300096.629803978</v>
      </c>
      <c r="G23" s="139"/>
      <c r="H23" s="139">
        <f>SUM(H14:H22)</f>
        <v>-17794394.48</v>
      </c>
      <c r="I23" s="282">
        <f t="shared" si="0"/>
        <v>11</v>
      </c>
      <c r="J23" s="2" t="s">
        <v>97</v>
      </c>
      <c r="K23" s="147"/>
      <c r="L23" s="459">
        <f>SUM(L20:L22)</f>
        <v>39397884.623194501</v>
      </c>
      <c r="M23" s="459">
        <f>SUM(M20:M22)</f>
        <v>39655858.589794502</v>
      </c>
      <c r="N23" s="459">
        <f>SUM(N20:N22)</f>
        <v>257973.96660000001</v>
      </c>
      <c r="O23" s="459">
        <f>SUM(O20:O22)</f>
        <v>40101149.415004499</v>
      </c>
      <c r="P23" s="459">
        <f>SUM(P20:P22)</f>
        <v>445290.82520999946</v>
      </c>
      <c r="Q23" s="282">
        <f t="shared" si="29"/>
        <v>10</v>
      </c>
      <c r="R23" s="288" t="s">
        <v>948</v>
      </c>
      <c r="S23" s="155"/>
      <c r="T23" s="97">
        <f>+SUM(T21:T22)</f>
        <v>0</v>
      </c>
      <c r="U23" s="97">
        <f>+SUM(U21:U22)</f>
        <v>32585069.952498022</v>
      </c>
      <c r="V23" s="97">
        <f>+SUM(V21:V22)</f>
        <v>32585069.952498022</v>
      </c>
      <c r="W23" s="97">
        <f>+SUM(W21:W22)</f>
        <v>32585069.952498022</v>
      </c>
      <c r="X23" s="97">
        <f>+SUM(X21:X22)</f>
        <v>0</v>
      </c>
      <c r="Y23" s="1"/>
      <c r="Z23" s="1"/>
      <c r="AB23" s="289"/>
      <c r="AC23" s="289"/>
      <c r="AD23" s="289"/>
      <c r="AE23" s="289"/>
      <c r="AF23" s="347"/>
      <c r="AG23" s="15">
        <f t="shared" si="1"/>
        <v>10</v>
      </c>
      <c r="AH23" s="132" t="s">
        <v>215</v>
      </c>
      <c r="AJ23" s="262">
        <f>+'[32]Lead Sheet E'!D20</f>
        <v>16403352.696571918</v>
      </c>
      <c r="AK23" s="262">
        <f>'[32]Lead Sheet E'!E20</f>
        <v>0</v>
      </c>
      <c r="AL23" s="262">
        <f t="shared" si="7"/>
        <v>-16403352.696571918</v>
      </c>
      <c r="AM23" s="262">
        <f t="shared" si="8"/>
        <v>0</v>
      </c>
      <c r="AN23" s="262">
        <f t="shared" si="28"/>
        <v>0</v>
      </c>
      <c r="AO23" s="16"/>
      <c r="AW23" s="96"/>
      <c r="AX23" s="96"/>
      <c r="AY23" s="96"/>
      <c r="AZ23" s="106"/>
      <c r="BA23" s="109"/>
      <c r="BB23" s="111"/>
      <c r="BC23" s="109"/>
      <c r="BD23" s="109"/>
      <c r="BE23" s="96">
        <f t="shared" si="10"/>
        <v>10</v>
      </c>
      <c r="BF23" s="112" t="s">
        <v>224</v>
      </c>
      <c r="BG23" s="112"/>
      <c r="BH23" s="285">
        <f>SUM(BH15:BH22)</f>
        <v>8580199.7623793483</v>
      </c>
      <c r="BI23" s="285">
        <f>SUM(BI15:BI22)</f>
        <v>8366056.3124479</v>
      </c>
      <c r="BJ23" s="285">
        <f>SUM(BJ15:BJ22)</f>
        <v>-214143.44993144952</v>
      </c>
      <c r="BK23" s="285">
        <f>SUM(BK15:BK22)</f>
        <v>8366056.3124479</v>
      </c>
      <c r="BL23" s="445">
        <f>SUM(BL15:BL22)</f>
        <v>0</v>
      </c>
      <c r="BM23" s="16"/>
      <c r="BU23" s="16"/>
      <c r="BV23" s="155"/>
      <c r="BW23" s="155"/>
      <c r="BX23" s="155"/>
      <c r="BY23" s="155"/>
      <c r="CK23" s="96">
        <f t="shared" si="12"/>
        <v>10</v>
      </c>
      <c r="CL23" s="247" t="s">
        <v>121</v>
      </c>
      <c r="CM23" s="247"/>
      <c r="CN23" s="169">
        <f>-CN20-CN22</f>
        <v>9325.0870063700004</v>
      </c>
      <c r="CO23" s="169">
        <f>-CO20-CO22</f>
        <v>-487232.5</v>
      </c>
      <c r="CP23" s="169">
        <f>-CP20-CP22</f>
        <v>-496557.58700637007</v>
      </c>
      <c r="CQ23" s="169">
        <f>-CQ20-CQ22</f>
        <v>-487232.5</v>
      </c>
      <c r="CR23" s="169">
        <f>-CR20-CR22</f>
        <v>0</v>
      </c>
      <c r="DA23" s="16"/>
      <c r="DI23" s="96">
        <f t="shared" si="13"/>
        <v>10</v>
      </c>
      <c r="DJ23" s="98" t="s">
        <v>183</v>
      </c>
      <c r="DK23" s="187"/>
      <c r="DL23" s="191">
        <f>SUM(DL15:DL22)</f>
        <v>104626135.31606707</v>
      </c>
      <c r="DM23" s="191">
        <f>SUM(DM15:DM22)</f>
        <v>104684964.10209413</v>
      </c>
      <c r="DN23" s="173">
        <f t="shared" si="14"/>
        <v>58828.786027058959</v>
      </c>
      <c r="DO23" s="191">
        <f>SUM(DO15:DO22)</f>
        <v>108304747.09407419</v>
      </c>
      <c r="DP23" s="184">
        <f t="shared" si="15"/>
        <v>3619782.9919800609</v>
      </c>
      <c r="DQ23" s="96">
        <f t="shared" si="16"/>
        <v>10</v>
      </c>
      <c r="DR23" s="203" t="s">
        <v>66</v>
      </c>
      <c r="DS23" s="33"/>
      <c r="DT23" s="186"/>
      <c r="DU23" s="186"/>
      <c r="DV23" s="186"/>
      <c r="DW23" s="186"/>
      <c r="DX23" s="186"/>
      <c r="DY23" s="282">
        <v>10</v>
      </c>
      <c r="DZ23" s="160" t="s">
        <v>128</v>
      </c>
      <c r="EA23" s="156">
        <f>FIT_E</f>
        <v>0.21</v>
      </c>
      <c r="EB23" s="207">
        <f>-EB21*$EA$23</f>
        <v>6707.6420310769599</v>
      </c>
      <c r="EC23" s="207">
        <f>-EC21*$EA$23</f>
        <v>367.70159412307663</v>
      </c>
      <c r="ED23" s="84">
        <f>-ED21*EA23</f>
        <v>-6339.9404369538834</v>
      </c>
      <c r="EE23" s="207">
        <f>-EE21*$EA$23</f>
        <v>-183381.47130263573</v>
      </c>
      <c r="EF23" s="79">
        <f>-EF21*EA23</f>
        <v>-183749.17289675883</v>
      </c>
      <c r="EG23" s="282"/>
      <c r="EJ23" s="1"/>
      <c r="EK23" s="1"/>
      <c r="EL23" s="1"/>
      <c r="EM23" s="1"/>
      <c r="EN23" s="1"/>
      <c r="EO23" s="282">
        <f t="shared" si="18"/>
        <v>10</v>
      </c>
      <c r="EP23" s="93" t="s">
        <v>97</v>
      </c>
      <c r="ER23" s="97">
        <f>ER21</f>
        <v>405261817.13353872</v>
      </c>
      <c r="ES23" s="97">
        <f>ES21</f>
        <v>426660492.4238199</v>
      </c>
      <c r="ET23" s="97">
        <f>ET21</f>
        <v>21398675.290281195</v>
      </c>
      <c r="EU23" s="97">
        <f>EU21</f>
        <v>426660492.4238199</v>
      </c>
      <c r="EV23" s="97">
        <f>EV21</f>
        <v>0</v>
      </c>
      <c r="EW23" s="83"/>
      <c r="FM23" s="282">
        <f t="shared" si="20"/>
        <v>10</v>
      </c>
      <c r="FN23" s="235" t="s">
        <v>460</v>
      </c>
      <c r="FO23" s="235"/>
      <c r="FP23" s="109">
        <v>0</v>
      </c>
      <c r="FQ23" s="109">
        <v>0</v>
      </c>
      <c r="FR23" s="109">
        <f>+'[44]Lead E'!F23</f>
        <v>0</v>
      </c>
      <c r="FS23" s="109">
        <f>+'[44]Lead E'!G23</f>
        <v>-1978226.4605020492</v>
      </c>
      <c r="FT23" s="109">
        <f>+FS23-FR23</f>
        <v>-1978226.4605020492</v>
      </c>
      <c r="FU23" s="96">
        <v>9</v>
      </c>
      <c r="FV23" s="187" t="s">
        <v>561</v>
      </c>
      <c r="FW23" s="233"/>
      <c r="FX23" s="474"/>
      <c r="FY23" s="474"/>
      <c r="FZ23" s="474"/>
      <c r="GA23" s="474"/>
      <c r="GB23" s="474"/>
      <c r="GC23" s="166">
        <f t="shared" si="23"/>
        <v>10</v>
      </c>
      <c r="GD23" s="235" t="s">
        <v>478</v>
      </c>
      <c r="GE23" s="235"/>
      <c r="GF23" s="109">
        <f>'[45]Elec Lead '!D23</f>
        <v>0</v>
      </c>
      <c r="GG23" s="109">
        <f>'[45]Elec Lead '!E23</f>
        <v>0</v>
      </c>
      <c r="GH23" s="109">
        <v>0</v>
      </c>
      <c r="GI23" s="884">
        <v>-1840915.3009171553</v>
      </c>
      <c r="GJ23" s="109">
        <f>+GI23-GH23</f>
        <v>-1840915.3009171553</v>
      </c>
      <c r="GS23" s="166">
        <f t="shared" si="25"/>
        <v>10</v>
      </c>
      <c r="GT23" s="288" t="s">
        <v>95</v>
      </c>
      <c r="GU23" s="246"/>
      <c r="GV23" s="478">
        <f>-GV20</f>
        <v>0</v>
      </c>
      <c r="GW23" s="478">
        <f>-GW20</f>
        <v>0</v>
      </c>
      <c r="GX23" s="478">
        <f>-GX20</f>
        <v>0</v>
      </c>
      <c r="GY23" s="478">
        <f>-GY20</f>
        <v>9006372.2399999984</v>
      </c>
      <c r="GZ23" s="478">
        <f>-GZ20</f>
        <v>9006372.2399999984</v>
      </c>
      <c r="HA23" s="96">
        <v>10</v>
      </c>
      <c r="HB23" s="242"/>
      <c r="HC23" s="242"/>
      <c r="HD23" s="1"/>
      <c r="HE23" s="1"/>
      <c r="HF23" s="1"/>
      <c r="HG23" s="1"/>
      <c r="HH23" s="243"/>
      <c r="HI23" s="166"/>
      <c r="HQ23" s="166">
        <f t="shared" si="27"/>
        <v>10</v>
      </c>
      <c r="HR23" s="288" t="s">
        <v>451</v>
      </c>
      <c r="HS23" s="119"/>
      <c r="HY23" s="135">
        <v>10</v>
      </c>
      <c r="HZ23" s="182"/>
      <c r="IA23" s="182"/>
      <c r="IB23" s="818"/>
      <c r="IC23" s="818"/>
      <c r="ID23" s="818"/>
      <c r="IE23" s="818"/>
      <c r="IF23" s="818"/>
    </row>
    <row r="24" spans="1:240" ht="15.75" thickTop="1" x14ac:dyDescent="0.25">
      <c r="A24" s="15">
        <f t="shared" si="5"/>
        <v>12</v>
      </c>
      <c r="B24" s="221" t="s">
        <v>4</v>
      </c>
      <c r="D24" s="148"/>
      <c r="E24" s="148"/>
      <c r="F24" s="148"/>
      <c r="G24" s="148"/>
      <c r="H24" s="155"/>
      <c r="I24" s="282">
        <f t="shared" si="0"/>
        <v>12</v>
      </c>
      <c r="J24" s="2"/>
      <c r="K24" s="147"/>
      <c r="L24" s="459"/>
      <c r="M24" s="459"/>
      <c r="N24" s="459"/>
      <c r="O24" s="459"/>
      <c r="P24" s="459"/>
      <c r="R24" s="155"/>
      <c r="S24" s="155"/>
      <c r="T24" s="155"/>
      <c r="U24" s="155"/>
      <c r="V24" s="155"/>
      <c r="W24" s="155"/>
      <c r="X24" s="155"/>
      <c r="Y24" s="1"/>
      <c r="Z24" s="1"/>
      <c r="AB24" s="289"/>
      <c r="AC24" s="289"/>
      <c r="AD24" s="289"/>
      <c r="AE24" s="289"/>
      <c r="AF24" s="347"/>
      <c r="AG24" s="15">
        <f t="shared" si="1"/>
        <v>11</v>
      </c>
      <c r="AH24" s="132" t="s">
        <v>216</v>
      </c>
      <c r="AJ24" s="262">
        <f>+'[32]Lead Sheet E'!D21</f>
        <v>-15601474.800000001</v>
      </c>
      <c r="AK24" s="262">
        <f>'[32]Lead Sheet E'!E21</f>
        <v>0</v>
      </c>
      <c r="AL24" s="262">
        <f t="shared" si="7"/>
        <v>15601474.800000001</v>
      </c>
      <c r="AM24" s="262">
        <f t="shared" si="8"/>
        <v>0</v>
      </c>
      <c r="AN24" s="262">
        <f t="shared" si="28"/>
        <v>0</v>
      </c>
      <c r="AO24" s="16"/>
      <c r="AW24" s="96"/>
      <c r="AX24" s="96"/>
      <c r="AY24" s="96"/>
      <c r="AZ24" s="109"/>
      <c r="BA24" s="109"/>
      <c r="BB24" s="111"/>
      <c r="BC24" s="109"/>
      <c r="BD24" s="109"/>
      <c r="BE24" s="96">
        <f t="shared" si="10"/>
        <v>11</v>
      </c>
      <c r="BF24" s="47"/>
      <c r="BG24" s="47"/>
      <c r="BH24" s="285"/>
      <c r="BI24" s="285"/>
      <c r="BJ24" s="285"/>
      <c r="BK24" s="285"/>
      <c r="BL24" s="285"/>
      <c r="BM24" s="16"/>
      <c r="BU24" s="16"/>
      <c r="BV24" s="246"/>
      <c r="BW24" s="246"/>
      <c r="BX24" s="246"/>
      <c r="BY24" s="246"/>
      <c r="DA24" s="16"/>
      <c r="DI24" s="96">
        <f t="shared" si="13"/>
        <v>11</v>
      </c>
      <c r="DJ24" s="49"/>
      <c r="DK24" s="182"/>
      <c r="DL24" s="191"/>
      <c r="DM24" s="191"/>
      <c r="DN24" s="173"/>
      <c r="DO24" s="184"/>
      <c r="DP24" s="184"/>
      <c r="DQ24" s="96">
        <f t="shared" si="16"/>
        <v>11</v>
      </c>
      <c r="DR24" s="204" t="s">
        <v>690</v>
      </c>
      <c r="DS24" s="96"/>
      <c r="DT24" s="185">
        <f>+DT21+DT18+DT15</f>
        <v>13873355.148600001</v>
      </c>
      <c r="DU24" s="185">
        <f>+DU21+DU18+DU15</f>
        <v>13906664.896484401</v>
      </c>
      <c r="DV24" s="185">
        <f>+DV21+DV18+DV15</f>
        <v>33309.747884399723</v>
      </c>
      <c r="DW24" s="185">
        <f>+DW21+DW18+DW15</f>
        <v>14433726.319512019</v>
      </c>
      <c r="DX24" s="185">
        <f>+DW24-DU24</f>
        <v>527061.42302761786</v>
      </c>
      <c r="DY24" s="282">
        <v>11</v>
      </c>
      <c r="DZ24" s="160"/>
      <c r="EA24" s="155"/>
      <c r="EB24" s="230"/>
      <c r="EC24" s="230"/>
      <c r="ED24" s="230"/>
      <c r="EE24" s="230"/>
      <c r="EF24" s="230"/>
      <c r="EG24" s="282"/>
      <c r="EJ24" s="1"/>
      <c r="EK24" s="1"/>
      <c r="EL24" s="1"/>
      <c r="EM24" s="1"/>
      <c r="EN24" s="1"/>
      <c r="EO24" s="282">
        <f t="shared" si="18"/>
        <v>11</v>
      </c>
      <c r="ER24" s="97"/>
      <c r="ES24" s="97"/>
      <c r="ET24" s="97"/>
      <c r="EU24" s="97"/>
      <c r="EV24" s="97"/>
      <c r="FM24" s="282">
        <f t="shared" si="20"/>
        <v>11</v>
      </c>
      <c r="FN24" s="235" t="s">
        <v>517</v>
      </c>
      <c r="FO24" s="235"/>
      <c r="FP24" s="239">
        <f>SUM(FP21:FP23)</f>
        <v>0</v>
      </c>
      <c r="FQ24" s="239">
        <f>SUM(FQ21:FQ23)</f>
        <v>0</v>
      </c>
      <c r="FR24" s="239">
        <f>SUM(FR21:FR23)</f>
        <v>0</v>
      </c>
      <c r="FS24" s="239">
        <f>SUM(FS21:FS23)</f>
        <v>7441899.5418886635</v>
      </c>
      <c r="FT24" s="239">
        <f>SUM(FT21:FT23)</f>
        <v>7441899.5418886635</v>
      </c>
      <c r="FU24" s="96">
        <v>10</v>
      </c>
      <c r="FV24" s="379" t="s">
        <v>562</v>
      </c>
      <c r="FW24" s="233"/>
      <c r="FX24" s="474">
        <f>+'[40]Lead E'!D20</f>
        <v>65485.843500000003</v>
      </c>
      <c r="FY24" s="474">
        <f>+'[40]Lead E'!E20</f>
        <v>65485.843500000003</v>
      </c>
      <c r="FZ24" s="474">
        <f>FY24-FX24</f>
        <v>0</v>
      </c>
      <c r="GA24" s="474">
        <f>+'[40]Lead E'!G20</f>
        <v>0</v>
      </c>
      <c r="GB24" s="474">
        <f>GA24-FY24</f>
        <v>-65485.843500000003</v>
      </c>
      <c r="GC24" s="166">
        <f t="shared" si="23"/>
        <v>11</v>
      </c>
      <c r="GD24" s="235" t="s">
        <v>479</v>
      </c>
      <c r="GE24" s="235"/>
      <c r="GF24" s="109">
        <f>'[45]Elec Lead '!D24</f>
        <v>0</v>
      </c>
      <c r="GG24" s="109">
        <f>'[45]Elec Lead '!E24</f>
        <v>0</v>
      </c>
      <c r="GH24" s="109">
        <v>0</v>
      </c>
      <c r="GI24" s="884">
        <v>-1932961.0659630138</v>
      </c>
      <c r="GJ24" s="109">
        <f>+GI24-GH24</f>
        <v>-1932961.0659630138</v>
      </c>
      <c r="GS24" s="166"/>
      <c r="HA24" s="96">
        <v>11</v>
      </c>
      <c r="HB24" s="7" t="s">
        <v>103</v>
      </c>
      <c r="HC24" s="7"/>
      <c r="HD24" s="145">
        <f>HD22</f>
        <v>0</v>
      </c>
      <c r="HE24" s="145">
        <f>HE22</f>
        <v>0</v>
      </c>
      <c r="HF24" s="145">
        <f>HF22</f>
        <v>0</v>
      </c>
      <c r="HG24" s="145">
        <f>HG22</f>
        <v>0</v>
      </c>
      <c r="HH24" s="145">
        <f>HH22</f>
        <v>0</v>
      </c>
      <c r="HI24" s="166"/>
      <c r="HQ24" s="166">
        <f t="shared" si="27"/>
        <v>11</v>
      </c>
      <c r="HR24" s="288" t="s">
        <v>594</v>
      </c>
      <c r="HS24" s="119"/>
      <c r="HT24" s="145">
        <f>'[46]Lead E'!$D$29</f>
        <v>0</v>
      </c>
      <c r="HU24" s="145">
        <f>'[46]Lead E'!$E$29</f>
        <v>0</v>
      </c>
      <c r="HV24" s="145">
        <f>'[46]Lead E'!$F$29</f>
        <v>0</v>
      </c>
      <c r="HW24" s="145">
        <v>0</v>
      </c>
      <c r="HX24" s="145">
        <f>HW24-HU24</f>
        <v>0</v>
      </c>
    </row>
    <row r="25" spans="1:240" ht="15.75" thickBot="1" x14ac:dyDescent="0.3">
      <c r="A25" s="15">
        <f t="shared" si="5"/>
        <v>13</v>
      </c>
      <c r="B25" s="140" t="s">
        <v>370</v>
      </c>
      <c r="D25" s="917" t="s">
        <v>514</v>
      </c>
      <c r="E25" s="917"/>
      <c r="F25" s="139">
        <f>'[21]Lead Electric'!$E$24</f>
        <v>-10964420.23</v>
      </c>
      <c r="G25" s="917" t="s">
        <v>514</v>
      </c>
      <c r="H25" s="139">
        <v>0</v>
      </c>
      <c r="I25" s="282">
        <f t="shared" si="0"/>
        <v>13</v>
      </c>
      <c r="J25" s="246" t="s">
        <v>383</v>
      </c>
      <c r="K25" s="23"/>
      <c r="L25" s="139">
        <f>L18-L23</f>
        <v>766532045.27748048</v>
      </c>
      <c r="M25" s="139">
        <f>M18-M23</f>
        <v>771551231.31088042</v>
      </c>
      <c r="N25" s="139">
        <f>N18-N23</f>
        <v>5019186.0334000001</v>
      </c>
      <c r="O25" s="139">
        <f>O18-O23</f>
        <v>780214886.48567045</v>
      </c>
      <c r="P25" s="139">
        <f>P18-P23</f>
        <v>8663655.1747900005</v>
      </c>
      <c r="AG25" s="15">
        <f t="shared" si="1"/>
        <v>12</v>
      </c>
      <c r="AH25" s="206" t="s">
        <v>135</v>
      </c>
      <c r="AJ25" s="262">
        <f>+'[32]Lead Sheet E'!D22</f>
        <v>4470609.87</v>
      </c>
      <c r="AK25" s="262">
        <f>'[32]Lead Sheet E'!E22</f>
        <v>0</v>
      </c>
      <c r="AL25" s="262">
        <f t="shared" si="7"/>
        <v>-4470609.87</v>
      </c>
      <c r="AM25" s="262">
        <f t="shared" si="8"/>
        <v>0</v>
      </c>
      <c r="AN25" s="262">
        <f t="shared" si="28"/>
        <v>0</v>
      </c>
      <c r="AO25" s="16"/>
      <c r="AW25" s="96"/>
      <c r="AX25" s="96"/>
      <c r="AY25" s="96"/>
      <c r="AZ25" s="106"/>
      <c r="BA25" s="109"/>
      <c r="BB25" s="109"/>
      <c r="BC25" s="109"/>
      <c r="BD25" s="109"/>
      <c r="BE25" s="96">
        <f t="shared" si="10"/>
        <v>12</v>
      </c>
      <c r="BF25" s="98" t="s">
        <v>225</v>
      </c>
      <c r="BG25" s="98"/>
      <c r="BH25" s="440">
        <f>'[34] Electric'!D24</f>
        <v>759347.64181821421</v>
      </c>
      <c r="BI25" s="440">
        <f>'[34] Electric'!E24</f>
        <v>740395.94742652448</v>
      </c>
      <c r="BJ25" s="440">
        <f>'[34] Electric'!F24</f>
        <v>-18951.694391689729</v>
      </c>
      <c r="BK25" s="440">
        <f>'[34] Electric'!G24</f>
        <v>740395.94742652448</v>
      </c>
      <c r="BL25" s="62">
        <f>'[34] Electric'!H24</f>
        <v>0</v>
      </c>
      <c r="BM25" s="16"/>
      <c r="BU25" s="16"/>
      <c r="BV25" s="246"/>
      <c r="BW25" s="246"/>
      <c r="BX25" s="246"/>
      <c r="BY25" s="246"/>
      <c r="CK25" s="96"/>
      <c r="DA25" s="16"/>
      <c r="DI25" s="96">
        <f t="shared" si="13"/>
        <v>12</v>
      </c>
      <c r="DJ25" s="98" t="s">
        <v>119</v>
      </c>
      <c r="DK25" s="182"/>
      <c r="DL25" s="457">
        <f>+'[35]Electric RS + RP'!D23</f>
        <v>7658038.0723143257</v>
      </c>
      <c r="DM25" s="457">
        <f>+DL25+DN25</f>
        <v>7677450.3307888452</v>
      </c>
      <c r="DN25" s="458">
        <f>+'[35]Electric RS + RP'!F23</f>
        <v>19412.258474519269</v>
      </c>
      <c r="DO25" s="458">
        <f>+DM25+DP25</f>
        <v>7859638.4253364205</v>
      </c>
      <c r="DP25" s="458">
        <f>+'[35]Electric RS + RP'!H23</f>
        <v>182188.09454757578</v>
      </c>
      <c r="DQ25" s="96">
        <f t="shared" si="16"/>
        <v>12</v>
      </c>
      <c r="DR25" s="205"/>
      <c r="DS25" s="260"/>
      <c r="DT25" s="230"/>
      <c r="DU25" s="230"/>
      <c r="DV25" s="230"/>
      <c r="DW25" s="230"/>
      <c r="DX25" s="230"/>
      <c r="DY25" s="282">
        <v>12</v>
      </c>
      <c r="DZ25" s="246" t="s">
        <v>121</v>
      </c>
      <c r="EA25" s="246"/>
      <c r="EB25" s="387">
        <f>-EB21-EB23</f>
        <v>25233.510497860945</v>
      </c>
      <c r="EC25" s="387">
        <f>-EC21-EC23</f>
        <v>1383.2583778915741</v>
      </c>
      <c r="ED25" s="387">
        <f>-ED21-ED23</f>
        <v>-23850.252119969373</v>
      </c>
      <c r="EE25" s="387">
        <f>-EE21-EE23</f>
        <v>-689863.63013848686</v>
      </c>
      <c r="EF25" s="387">
        <f>-EF21-EF23</f>
        <v>-691246.88851637836</v>
      </c>
      <c r="EG25" s="282"/>
      <c r="EJ25" s="1"/>
      <c r="EK25" s="1"/>
      <c r="EL25" s="1"/>
      <c r="EM25" s="1"/>
      <c r="EN25" s="1"/>
      <c r="EO25" s="282">
        <f t="shared" si="18"/>
        <v>12</v>
      </c>
      <c r="EP25" s="93" t="s">
        <v>116</v>
      </c>
      <c r="EQ25" s="156">
        <f>FIT_E</f>
        <v>0.21</v>
      </c>
      <c r="ER25" s="97">
        <f>-ER23*$EQ$25</f>
        <v>-85104981.598043129</v>
      </c>
      <c r="ES25" s="97">
        <f>-ES23*$EQ$25</f>
        <v>-89598703.40900217</v>
      </c>
      <c r="ET25" s="97">
        <f>-ET23*$EQ$25</f>
        <v>-4493721.8109590504</v>
      </c>
      <c r="EU25" s="97">
        <f>-EU23*$EQ$25</f>
        <v>-89598703.40900217</v>
      </c>
      <c r="EV25" s="97">
        <f>EV23</f>
        <v>0</v>
      </c>
      <c r="FM25" s="282">
        <f t="shared" si="20"/>
        <v>12</v>
      </c>
      <c r="FN25" s="235" t="s">
        <v>341</v>
      </c>
      <c r="FO25" s="235"/>
      <c r="FP25" s="239"/>
      <c r="FQ25" s="239"/>
      <c r="FR25" s="239"/>
      <c r="FS25" s="239"/>
      <c r="FT25" s="239"/>
      <c r="FU25" s="96">
        <v>11</v>
      </c>
      <c r="FV25" s="379" t="s">
        <v>563</v>
      </c>
      <c r="FW25" s="233"/>
      <c r="FX25" s="474">
        <f>+'[40]Lead E'!D21</f>
        <v>101476.232</v>
      </c>
      <c r="FY25" s="474">
        <f>+'[40]Lead E'!E21</f>
        <v>101476.232</v>
      </c>
      <c r="FZ25" s="474">
        <f>FY25-FX25</f>
        <v>0</v>
      </c>
      <c r="GA25" s="474">
        <f>+'[40]Lead E'!G21</f>
        <v>0</v>
      </c>
      <c r="GB25" s="474">
        <f>GA25-FY25</f>
        <v>-101476.232</v>
      </c>
      <c r="GC25" s="166">
        <f t="shared" si="23"/>
        <v>12</v>
      </c>
      <c r="GD25" s="397" t="s">
        <v>480</v>
      </c>
      <c r="GE25" s="235"/>
      <c r="GF25" s="239">
        <f>SUM(GF22:GF24)</f>
        <v>0</v>
      </c>
      <c r="GG25" s="239">
        <f>SUM(GG22:GG24)</f>
        <v>0</v>
      </c>
      <c r="GH25" s="239">
        <f>SUM(GH22:GH24)</f>
        <v>0</v>
      </c>
      <c r="GI25" s="239">
        <f>SUM(GI22:GI24)</f>
        <v>7271615.4386227587</v>
      </c>
      <c r="GJ25" s="239">
        <f>SUM(GJ22:GJ24)</f>
        <v>7271615.4386227587</v>
      </c>
      <c r="GS25" s="166"/>
      <c r="HA25" s="96">
        <v>12</v>
      </c>
      <c r="HB25" s="7"/>
      <c r="HC25" s="7"/>
      <c r="HD25" s="1"/>
      <c r="HE25" s="1"/>
      <c r="HF25" s="1"/>
      <c r="HG25" s="1"/>
      <c r="HH25" s="109"/>
      <c r="HI25" s="166"/>
      <c r="HQ25" s="166">
        <f t="shared" si="27"/>
        <v>12</v>
      </c>
      <c r="HR25" s="288" t="s">
        <v>453</v>
      </c>
      <c r="HS25" s="119"/>
      <c r="HT25" s="261">
        <f>SUM(HT24:HT24)</f>
        <v>0</v>
      </c>
      <c r="HU25" s="261">
        <f>SUM(HU24:HU24)</f>
        <v>0</v>
      </c>
      <c r="HV25" s="261">
        <f>SUM(HV24:HV24)</f>
        <v>0</v>
      </c>
      <c r="HW25" s="261">
        <f>SUM(HW24:HW24)</f>
        <v>0</v>
      </c>
      <c r="HX25" s="261">
        <f>SUM(HX24:HX24)</f>
        <v>0</v>
      </c>
    </row>
    <row r="26" spans="1:240" ht="16.5" thickTop="1" thickBot="1" x14ac:dyDescent="0.3">
      <c r="A26" s="15">
        <f t="shared" si="5"/>
        <v>14</v>
      </c>
      <c r="B26" s="140" t="s">
        <v>371</v>
      </c>
      <c r="C26" s="65"/>
      <c r="D26" s="917"/>
      <c r="E26" s="917"/>
      <c r="F26" s="139">
        <v>0</v>
      </c>
      <c r="G26" s="917"/>
      <c r="H26" s="139">
        <f>'[21]Lead Electric'!G25</f>
        <v>-18227053.410000004</v>
      </c>
      <c r="I26" s="282">
        <f t="shared" si="0"/>
        <v>14</v>
      </c>
      <c r="J26" s="246"/>
      <c r="K26" s="265"/>
      <c r="L26" s="66"/>
      <c r="M26" s="66"/>
      <c r="N26" s="66"/>
      <c r="O26" s="66"/>
      <c r="P26" s="66"/>
      <c r="AF26" s="262"/>
      <c r="AG26" s="15">
        <f t="shared" si="1"/>
        <v>13</v>
      </c>
      <c r="AH26" s="206" t="s">
        <v>136</v>
      </c>
      <c r="AJ26" s="262">
        <f>+'[32]Lead Sheet E'!D23</f>
        <v>-684145.61</v>
      </c>
      <c r="AK26" s="262">
        <f>'[32]Lead Sheet E'!E23</f>
        <v>0</v>
      </c>
      <c r="AL26" s="262">
        <f t="shared" si="7"/>
        <v>684145.61</v>
      </c>
      <c r="AM26" s="262">
        <f t="shared" si="8"/>
        <v>0</v>
      </c>
      <c r="AN26" s="262">
        <f t="shared" si="28"/>
        <v>0</v>
      </c>
      <c r="AO26" s="16"/>
      <c r="AW26" s="96"/>
      <c r="AX26" s="96"/>
      <c r="AY26" s="96"/>
      <c r="AZ26" s="108"/>
      <c r="BA26" s="109"/>
      <c r="BB26" s="109"/>
      <c r="BC26" s="109"/>
      <c r="BD26" s="109"/>
      <c r="BE26" s="96">
        <f t="shared" si="10"/>
        <v>13</v>
      </c>
      <c r="BF26" s="98" t="s">
        <v>226</v>
      </c>
      <c r="BG26" s="98"/>
      <c r="BH26" s="48">
        <f>SUM(BH23:BH25)</f>
        <v>9339547.4041975625</v>
      </c>
      <c r="BI26" s="48">
        <f>SUM(BI23:BI25)</f>
        <v>9106452.259874424</v>
      </c>
      <c r="BJ26" s="48">
        <f>SUM(BJ23:BJ25)</f>
        <v>-233095.14432313925</v>
      </c>
      <c r="BK26" s="48">
        <f>SUM(BK23:BK25)</f>
        <v>9106452.259874424</v>
      </c>
      <c r="BL26" s="445">
        <f>SUM(BL23:BL25)</f>
        <v>0</v>
      </c>
      <c r="BM26" s="16"/>
      <c r="CS26" s="83"/>
      <c r="DA26" s="16"/>
      <c r="DI26" s="96">
        <f t="shared" si="13"/>
        <v>13</v>
      </c>
      <c r="DJ26" s="98" t="s">
        <v>184</v>
      </c>
      <c r="DK26" s="182"/>
      <c r="DL26" s="191">
        <f>+DL25+DL23</f>
        <v>112284173.38838139</v>
      </c>
      <c r="DM26" s="191">
        <f>+DM25+DM23</f>
        <v>112362414.43288298</v>
      </c>
      <c r="DN26" s="173">
        <f>+DN25+DN23</f>
        <v>78241.044501578232</v>
      </c>
      <c r="DO26" s="191">
        <f>+DM26+DP26</f>
        <v>116164385.51941061</v>
      </c>
      <c r="DP26" s="173">
        <f>+DP25+DP23</f>
        <v>3801971.0865276367</v>
      </c>
      <c r="DQ26" s="96">
        <f t="shared" si="16"/>
        <v>13</v>
      </c>
      <c r="DR26" s="204" t="s">
        <v>408</v>
      </c>
      <c r="DS26" s="193">
        <f>+'[47]SAP DL Downld'!$H$15</f>
        <v>0.49997132880489842</v>
      </c>
      <c r="DT26" s="191">
        <f>+DT24*$DS$26</f>
        <v>6936279.8086278215</v>
      </c>
      <c r="DU26" s="191">
        <f>+DU24*$DS$26</f>
        <v>6952933.7275397414</v>
      </c>
      <c r="DV26" s="191">
        <f>+DV24*$DS$26</f>
        <v>16653.918911919485</v>
      </c>
      <c r="DW26" s="191">
        <f>+DW24*$DS$26</f>
        <v>7216449.3275726596</v>
      </c>
      <c r="DX26" s="184">
        <f>+DX24*$DS$26</f>
        <v>263515.6000329188</v>
      </c>
      <c r="EG26" s="282"/>
      <c r="EJ26" s="1"/>
      <c r="EK26" s="1"/>
      <c r="EL26" s="1"/>
      <c r="EM26" s="1"/>
      <c r="EN26" s="1"/>
      <c r="EO26" s="282">
        <f t="shared" si="18"/>
        <v>13</v>
      </c>
      <c r="ER26" s="230"/>
      <c r="ES26" s="230"/>
      <c r="ET26" s="230"/>
      <c r="EU26" s="230"/>
      <c r="EV26" s="230"/>
      <c r="FM26" s="282">
        <f t="shared" si="20"/>
        <v>13</v>
      </c>
      <c r="FN26" s="182" t="s">
        <v>461</v>
      </c>
      <c r="FO26" s="182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6">
        <v>12</v>
      </c>
      <c r="FV26" s="379" t="s">
        <v>564</v>
      </c>
      <c r="FW26" s="233"/>
      <c r="FX26" s="474">
        <f>+'[40]Lead E'!D22</f>
        <v>17787.344273049999</v>
      </c>
      <c r="FY26" s="474">
        <f>+'[40]Lead E'!E22</f>
        <v>17787.344273049999</v>
      </c>
      <c r="FZ26" s="474">
        <f>FY26-FX26</f>
        <v>0</v>
      </c>
      <c r="GA26" s="474">
        <f>+'[40]Lead E'!G22</f>
        <v>0</v>
      </c>
      <c r="GB26" s="474">
        <f>GA26-FY26</f>
        <v>-17787.344273049999</v>
      </c>
      <c r="GC26" s="166">
        <f t="shared" si="23"/>
        <v>13</v>
      </c>
      <c r="GD26" s="235"/>
      <c r="GE26" s="235"/>
      <c r="GF26" s="239"/>
      <c r="GG26" s="239"/>
      <c r="GH26" s="239"/>
      <c r="GI26" s="239"/>
      <c r="GJ26" s="239"/>
      <c r="GS26" s="166"/>
      <c r="HA26" s="96">
        <v>13</v>
      </c>
      <c r="HB26" s="7" t="s">
        <v>128</v>
      </c>
      <c r="HC26" s="113">
        <f>FIT_E</f>
        <v>0.21</v>
      </c>
      <c r="HD26" s="250">
        <f>-HD24*$HC$26</f>
        <v>0</v>
      </c>
      <c r="HE26" s="250">
        <f>-HE24*$HC$26</f>
        <v>0</v>
      </c>
      <c r="HF26" s="250">
        <f>-HF24*$HC$26</f>
        <v>0</v>
      </c>
      <c r="HG26" s="250">
        <f>-HG24*$HC$26</f>
        <v>0</v>
      </c>
      <c r="HH26" s="250">
        <f>-HH24*$HC$26</f>
        <v>0</v>
      </c>
      <c r="HI26" s="166"/>
      <c r="HQ26" s="166">
        <f t="shared" si="27"/>
        <v>13</v>
      </c>
      <c r="HS26" s="267"/>
    </row>
    <row r="27" spans="1:240" ht="17.25" thickTop="1" thickBot="1" x14ac:dyDescent="0.3">
      <c r="A27" s="15">
        <f t="shared" si="5"/>
        <v>15</v>
      </c>
      <c r="B27" s="9" t="s">
        <v>372</v>
      </c>
      <c r="C27" s="65"/>
      <c r="D27" s="917"/>
      <c r="E27" s="917"/>
      <c r="F27" s="139">
        <f>'[21]Lead Electric'!E26</f>
        <v>24054569</v>
      </c>
      <c r="G27" s="917"/>
      <c r="H27" s="139">
        <v>0</v>
      </c>
      <c r="I27" s="282">
        <f t="shared" si="0"/>
        <v>15</v>
      </c>
      <c r="J27" s="246" t="s">
        <v>128</v>
      </c>
      <c r="K27" s="147">
        <f>FIT_E</f>
        <v>0.21</v>
      </c>
      <c r="L27" s="97">
        <f>L25*K$27</f>
        <v>160971729.50827089</v>
      </c>
      <c r="M27" s="97">
        <f>M$25*K$27</f>
        <v>162025758.57528487</v>
      </c>
      <c r="N27" s="97">
        <f>N25*K$27</f>
        <v>1054029.0670139999</v>
      </c>
      <c r="O27" s="97">
        <f>O$25*K$27</f>
        <v>163845126.16199079</v>
      </c>
      <c r="P27" s="97">
        <f>O27-M27</f>
        <v>1819367.5867059231</v>
      </c>
      <c r="AF27" s="262"/>
      <c r="AG27" s="15">
        <f t="shared" si="1"/>
        <v>14</v>
      </c>
      <c r="AH27" s="383" t="s">
        <v>515</v>
      </c>
      <c r="AJ27" s="262">
        <f>+'[32]Lead Sheet E'!D24</f>
        <v>-1234.01</v>
      </c>
      <c r="AK27" s="262">
        <f>'[32]Lead Sheet E'!E24</f>
        <v>0</v>
      </c>
      <c r="AL27" s="262">
        <f t="shared" si="7"/>
        <v>1234.01</v>
      </c>
      <c r="AM27" s="262">
        <f t="shared" si="8"/>
        <v>0</v>
      </c>
      <c r="AN27" s="262">
        <f t="shared" si="28"/>
        <v>0</v>
      </c>
      <c r="AW27" s="96"/>
      <c r="AX27" s="96"/>
      <c r="AY27" s="96"/>
      <c r="AZ27" s="112"/>
      <c r="BA27" s="113"/>
      <c r="BB27" s="124"/>
      <c r="BC27" s="114"/>
      <c r="BD27" s="114"/>
      <c r="BE27" s="96">
        <f t="shared" si="10"/>
        <v>14</v>
      </c>
      <c r="BF27" s="49"/>
      <c r="BG27" s="49"/>
      <c r="BH27" s="50"/>
      <c r="BI27" s="50"/>
      <c r="BJ27" s="50"/>
      <c r="BK27" s="50"/>
      <c r="BL27" s="50"/>
      <c r="BM27" s="16"/>
      <c r="DA27" s="16"/>
      <c r="DI27" s="96">
        <f t="shared" si="13"/>
        <v>14</v>
      </c>
      <c r="DJ27" s="98"/>
      <c r="DK27" s="187"/>
      <c r="DL27" s="187"/>
      <c r="DM27" s="187"/>
      <c r="DN27" s="187"/>
      <c r="DO27" s="187"/>
      <c r="DP27" s="187"/>
      <c r="DQ27" s="96">
        <f t="shared" si="16"/>
        <v>14</v>
      </c>
      <c r="DR27" s="205"/>
      <c r="DS27" s="260"/>
      <c r="DT27" s="230"/>
      <c r="DU27" s="230"/>
      <c r="DV27" s="230"/>
      <c r="DW27" s="230"/>
      <c r="DX27" s="230"/>
      <c r="EG27" s="282"/>
      <c r="EJ27" s="1"/>
      <c r="EK27" s="1"/>
      <c r="EL27" s="1"/>
      <c r="EM27" s="1"/>
      <c r="EN27" s="1"/>
      <c r="EO27" s="282">
        <f t="shared" si="18"/>
        <v>14</v>
      </c>
      <c r="EP27" s="93" t="s">
        <v>95</v>
      </c>
      <c r="ER27" s="387">
        <f>-ER23-ER25</f>
        <v>-320156835.53549558</v>
      </c>
      <c r="ES27" s="387">
        <f>-ES23-ES25</f>
        <v>-337061789.01481771</v>
      </c>
      <c r="ET27" s="387">
        <f>-ET23-ET25</f>
        <v>-16904953.479322143</v>
      </c>
      <c r="EU27" s="387">
        <f>-EU23-EU25</f>
        <v>-337061789.01481771</v>
      </c>
      <c r="EV27" s="387">
        <f>EV25</f>
        <v>0</v>
      </c>
      <c r="FM27" s="282">
        <f t="shared" si="20"/>
        <v>14</v>
      </c>
      <c r="FN27" s="240" t="s">
        <v>341</v>
      </c>
      <c r="FO27" s="240"/>
      <c r="FP27" s="109"/>
      <c r="FQ27" s="109"/>
      <c r="FR27" s="109"/>
      <c r="FS27" s="109"/>
      <c r="FT27" s="109"/>
      <c r="FU27" s="96">
        <v>13</v>
      </c>
      <c r="FV27" s="379" t="s">
        <v>565</v>
      </c>
      <c r="FW27" s="233"/>
      <c r="FX27" s="474">
        <f>+'[40]Lead E'!D23</f>
        <v>38838.009768800002</v>
      </c>
      <c r="FY27" s="474">
        <f>+'[40]Lead E'!E23</f>
        <v>38838.009768800002</v>
      </c>
      <c r="FZ27" s="474">
        <f>FY27-FX27</f>
        <v>0</v>
      </c>
      <c r="GA27" s="474">
        <f>+'[40]Lead E'!G23</f>
        <v>0</v>
      </c>
      <c r="GB27" s="474">
        <f>GA27-FY27</f>
        <v>-38838.009768800002</v>
      </c>
      <c r="GC27" s="166">
        <f t="shared" si="23"/>
        <v>14</v>
      </c>
      <c r="GD27" s="182" t="s">
        <v>461</v>
      </c>
      <c r="GE27" s="182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11359234.26679882</v>
      </c>
      <c r="GJ27" s="11">
        <f>GJ19+GJ25</f>
        <v>11359234.26679882</v>
      </c>
      <c r="GS27" s="166"/>
      <c r="HA27" s="96">
        <v>14</v>
      </c>
      <c r="HB27" s="7" t="s">
        <v>95</v>
      </c>
      <c r="HC27" s="7"/>
      <c r="HD27" s="244">
        <f>-HD24-HD26</f>
        <v>0</v>
      </c>
      <c r="HE27" s="244">
        <f>-HE24-HE26</f>
        <v>0</v>
      </c>
      <c r="HF27" s="244">
        <f>-HF24-HF26</f>
        <v>0</v>
      </c>
      <c r="HG27" s="244">
        <f>-HG24-HG26</f>
        <v>0</v>
      </c>
      <c r="HH27" s="244">
        <f>-HH24-HH26</f>
        <v>0</v>
      </c>
      <c r="HI27" s="166"/>
      <c r="HQ27" s="166">
        <f t="shared" si="27"/>
        <v>14</v>
      </c>
      <c r="HR27" s="288" t="s">
        <v>103</v>
      </c>
      <c r="HS27" s="119"/>
      <c r="HT27" s="145">
        <f>HT25</f>
        <v>0</v>
      </c>
      <c r="HU27" s="145">
        <f>HU25</f>
        <v>0</v>
      </c>
      <c r="HV27" s="145">
        <f>'[46]Lead E'!$F$30</f>
        <v>0</v>
      </c>
      <c r="HW27" s="145">
        <f>HW25</f>
        <v>0</v>
      </c>
      <c r="HX27" s="145">
        <f>HW27-HV27</f>
        <v>0</v>
      </c>
    </row>
    <row r="28" spans="1:240" ht="17.25" thickTop="1" thickBot="1" x14ac:dyDescent="0.3">
      <c r="A28" s="15">
        <f t="shared" si="5"/>
        <v>16</v>
      </c>
      <c r="B28" s="140" t="s">
        <v>380</v>
      </c>
      <c r="C28" s="155"/>
      <c r="D28" s="917"/>
      <c r="E28" s="917"/>
      <c r="F28" s="139">
        <f>'[21]Lead Electric'!E27</f>
        <v>-10345744.779999999</v>
      </c>
      <c r="G28" s="917"/>
      <c r="H28" s="139">
        <v>0</v>
      </c>
      <c r="I28" s="282">
        <f t="shared" si="0"/>
        <v>16</v>
      </c>
      <c r="J28" s="246" t="s">
        <v>95</v>
      </c>
      <c r="L28" s="291">
        <f>L25-L27</f>
        <v>605560315.76920962</v>
      </c>
      <c r="M28" s="291">
        <f>M25-M27</f>
        <v>609525472.73559558</v>
      </c>
      <c r="N28" s="291">
        <f>N25-N27</f>
        <v>3965156.9663860002</v>
      </c>
      <c r="O28" s="291">
        <f>O25-O27</f>
        <v>616369760.32367969</v>
      </c>
      <c r="P28" s="291">
        <f>P25-P27</f>
        <v>6844287.5880840775</v>
      </c>
      <c r="AG28" s="15">
        <f t="shared" si="1"/>
        <v>15</v>
      </c>
      <c r="AH28" s="206" t="s">
        <v>490</v>
      </c>
      <c r="AJ28" s="222">
        <f>SUM(AJ15:AJ27)</f>
        <v>190710324.65857193</v>
      </c>
      <c r="AK28" s="222">
        <f>SUM(AK15:AK27)</f>
        <v>0</v>
      </c>
      <c r="AL28" s="222">
        <f>SUM(AL15:AL27)</f>
        <v>-190710324.65857193</v>
      </c>
      <c r="AM28" s="222">
        <f>SUM(AM15:AM27)</f>
        <v>0</v>
      </c>
      <c r="AN28" s="222">
        <f>SUM(AN15:AN27)</f>
        <v>0</v>
      </c>
      <c r="AW28" s="96"/>
      <c r="AX28" s="96"/>
      <c r="AY28" s="96"/>
      <c r="AZ28" s="115"/>
      <c r="BA28" s="109"/>
      <c r="BB28" s="109"/>
      <c r="BC28" s="109"/>
      <c r="BD28" s="109"/>
      <c r="BE28" s="96">
        <f t="shared" si="10"/>
        <v>15</v>
      </c>
      <c r="BF28" s="51" t="s">
        <v>128</v>
      </c>
      <c r="BG28" s="102">
        <f>FIT_E</f>
        <v>0.21</v>
      </c>
      <c r="BH28" s="51">
        <f>-$BG$28*BH26</f>
        <v>-1961304.9548814881</v>
      </c>
      <c r="BI28" s="51">
        <f>-$BG$28*BI26</f>
        <v>-1912354.974573629</v>
      </c>
      <c r="BJ28" s="62">
        <f>+BI28-BH28</f>
        <v>48949.980307859136</v>
      </c>
      <c r="BK28" s="51">
        <f>+BI28</f>
        <v>-1912354.974573629</v>
      </c>
      <c r="BL28" s="62">
        <f>-BL26*BG28</f>
        <v>0</v>
      </c>
      <c r="BM28" s="16"/>
      <c r="DA28" s="16"/>
      <c r="DI28" s="96">
        <f t="shared" si="13"/>
        <v>15</v>
      </c>
      <c r="DJ28" s="31" t="s">
        <v>110</v>
      </c>
      <c r="DK28" s="187"/>
      <c r="DL28" s="174">
        <f>+DL26</f>
        <v>112284173.38838139</v>
      </c>
      <c r="DM28" s="174">
        <f>+DM26</f>
        <v>112362414.43288298</v>
      </c>
      <c r="DN28" s="174">
        <f>+DN26</f>
        <v>78241.044501578232</v>
      </c>
      <c r="DO28" s="174">
        <f>+DO26</f>
        <v>116164385.51941061</v>
      </c>
      <c r="DP28" s="174">
        <f>+DP26</f>
        <v>3801971.0865276367</v>
      </c>
      <c r="DQ28" s="96">
        <f t="shared" si="16"/>
        <v>15</v>
      </c>
      <c r="DR28" s="206" t="s">
        <v>107</v>
      </c>
      <c r="DS28" s="182"/>
      <c r="DT28" s="192">
        <f>SUM(DT26:DT27)</f>
        <v>6936279.8086278215</v>
      </c>
      <c r="DU28" s="192">
        <f>SUM(DU26:DU27)</f>
        <v>6952933.7275397414</v>
      </c>
      <c r="DV28" s="185">
        <f>+DU28-DT28</f>
        <v>16653.918911919929</v>
      </c>
      <c r="DW28" s="192">
        <f>SUM(DW26:DW27)</f>
        <v>7216449.3275726596</v>
      </c>
      <c r="DX28" s="184">
        <f>+DW28-DU28</f>
        <v>263515.60003291816</v>
      </c>
      <c r="EG28" s="282"/>
      <c r="EJ28" s="1"/>
      <c r="EK28" s="1"/>
      <c r="EL28" s="1"/>
      <c r="EM28" s="1"/>
      <c r="EN28" s="1"/>
      <c r="EO28" s="282">
        <f t="shared" si="18"/>
        <v>15</v>
      </c>
      <c r="ER28" s="97"/>
      <c r="ES28" s="97"/>
      <c r="ET28" s="97"/>
      <c r="EU28" s="97"/>
      <c r="EV28" s="97"/>
      <c r="FM28" s="282">
        <f t="shared" si="20"/>
        <v>15</v>
      </c>
      <c r="FN28" s="236" t="s">
        <v>451</v>
      </c>
      <c r="FO28" s="236"/>
      <c r="FP28" s="243"/>
      <c r="FQ28" s="243"/>
      <c r="FR28" s="243"/>
      <c r="FS28" s="243"/>
      <c r="FT28" s="243"/>
      <c r="FU28" s="96">
        <v>14</v>
      </c>
      <c r="FV28" s="1" t="s">
        <v>566</v>
      </c>
      <c r="FW28" s="233"/>
      <c r="FX28" s="474">
        <f>+'[40]Lead E'!D24</f>
        <v>213558.06360000002</v>
      </c>
      <c r="FY28" s="474">
        <f>+'[40]Lead E'!E24</f>
        <v>213558.06360000002</v>
      </c>
      <c r="FZ28" s="474">
        <f>FY28-FX28</f>
        <v>0</v>
      </c>
      <c r="GA28" s="474">
        <f>+'[40]Lead E'!G24</f>
        <v>0</v>
      </c>
      <c r="GB28" s="474">
        <f>GA28-FY28</f>
        <v>-213558.06360000002</v>
      </c>
      <c r="GC28" s="166">
        <f t="shared" si="23"/>
        <v>15</v>
      </c>
      <c r="GD28" s="240"/>
      <c r="GE28" s="240"/>
      <c r="GF28" s="241"/>
      <c r="GG28" s="241"/>
      <c r="GH28" s="241"/>
      <c r="GI28" s="241"/>
      <c r="GJ28" s="380"/>
      <c r="GS28" s="166"/>
      <c r="HA28" s="282"/>
      <c r="HB28" s="7"/>
      <c r="HH28" s="237"/>
      <c r="HI28" s="166"/>
      <c r="HQ28" s="166">
        <f t="shared" si="27"/>
        <v>15</v>
      </c>
      <c r="HS28" s="119"/>
    </row>
    <row r="29" spans="1:240" ht="16.5" thickTop="1" thickBot="1" x14ac:dyDescent="0.3">
      <c r="A29" s="15">
        <f t="shared" si="5"/>
        <v>17</v>
      </c>
      <c r="B29" s="140" t="s">
        <v>511</v>
      </c>
      <c r="C29" s="155"/>
      <c r="D29" s="917"/>
      <c r="E29" s="917"/>
      <c r="F29" s="139">
        <v>0</v>
      </c>
      <c r="G29" s="917"/>
      <c r="H29" s="139">
        <f>'[21]Lead Electric'!G28</f>
        <v>835357.9</v>
      </c>
      <c r="I29" s="282">
        <f t="shared" si="0"/>
        <v>17</v>
      </c>
      <c r="L29" s="97"/>
      <c r="M29" s="97"/>
      <c r="N29" s="97"/>
      <c r="O29" s="97"/>
      <c r="P29" s="97"/>
      <c r="AG29" s="15">
        <f t="shared" si="1"/>
        <v>16</v>
      </c>
      <c r="AH29" s="155"/>
      <c r="AN29" s="262"/>
      <c r="AW29" s="96"/>
      <c r="AX29" s="96"/>
      <c r="AY29" s="96"/>
      <c r="AZ29" s="116"/>
      <c r="BA29" s="109"/>
      <c r="BB29" s="109"/>
      <c r="BC29" s="109"/>
      <c r="BD29" s="109"/>
      <c r="BE29" s="96">
        <f t="shared" si="10"/>
        <v>16</v>
      </c>
      <c r="BF29" s="98" t="s">
        <v>95</v>
      </c>
      <c r="BG29" s="289"/>
      <c r="BH29" s="465">
        <f>-BH26-BH28</f>
        <v>-7378242.4493160741</v>
      </c>
      <c r="BI29" s="465">
        <f>-BI26-BI28</f>
        <v>-7194097.285300795</v>
      </c>
      <c r="BJ29" s="465">
        <f>-BJ26-BJ28</f>
        <v>184145.16401528011</v>
      </c>
      <c r="BK29" s="465">
        <f>-BK26-BK28</f>
        <v>-7194097.285300795</v>
      </c>
      <c r="BL29" s="465">
        <f>-BL26-BL28</f>
        <v>0</v>
      </c>
      <c r="BM29" s="16"/>
      <c r="DA29" s="16"/>
      <c r="DI29" s="96">
        <f t="shared" si="13"/>
        <v>16</v>
      </c>
      <c r="DJ29" s="98" t="s">
        <v>154</v>
      </c>
      <c r="DK29" s="193">
        <f>+[0]!FIT_E</f>
        <v>0.21</v>
      </c>
      <c r="DL29" s="175">
        <f>-DL28*$DK$29</f>
        <v>-23579676.411560092</v>
      </c>
      <c r="DM29" s="175">
        <f>-DM28*$DK$29</f>
        <v>-23596107.030905426</v>
      </c>
      <c r="DN29" s="175">
        <f>-DN28*$DK$29</f>
        <v>-16430.619345331426</v>
      </c>
      <c r="DO29" s="175">
        <f>-DO28*$DK$29</f>
        <v>-24394520.959076226</v>
      </c>
      <c r="DP29" s="175">
        <f>-DP28*$DK$29</f>
        <v>-798413.9281708037</v>
      </c>
      <c r="DQ29" s="96">
        <f t="shared" si="16"/>
        <v>16</v>
      </c>
      <c r="DR29" s="206"/>
      <c r="DS29" s="182"/>
      <c r="DT29" s="230"/>
      <c r="DU29" s="230"/>
      <c r="DV29" s="230"/>
      <c r="DW29" s="230"/>
      <c r="DX29" s="230"/>
      <c r="EG29" s="282"/>
      <c r="EJ29" s="1"/>
      <c r="EK29" s="1"/>
      <c r="EL29" s="1"/>
      <c r="EM29" s="1"/>
      <c r="EN29" s="1"/>
      <c r="EO29" s="282">
        <f t="shared" si="18"/>
        <v>16</v>
      </c>
      <c r="EP29" s="93" t="s">
        <v>394</v>
      </c>
      <c r="ER29" s="97"/>
      <c r="ES29" s="97"/>
      <c r="ET29" s="97"/>
      <c r="EU29" s="97"/>
      <c r="EV29" s="97"/>
      <c r="FM29" s="282">
        <f t="shared" si="20"/>
        <v>16</v>
      </c>
      <c r="FN29" s="397" t="s">
        <v>452</v>
      </c>
      <c r="FO29" s="397"/>
      <c r="FP29" s="109">
        <v>0</v>
      </c>
      <c r="FQ29" s="109">
        <v>0</v>
      </c>
      <c r="FR29" s="109">
        <f>+'[44]Lead E'!F29</f>
        <v>0</v>
      </c>
      <c r="FS29" s="109">
        <f>+'[44]Lead E'!G29</f>
        <v>1355467.7185500001</v>
      </c>
      <c r="FT29" s="109">
        <f>+FS29-FR29</f>
        <v>1355467.7185500001</v>
      </c>
      <c r="FU29" s="96">
        <v>15</v>
      </c>
      <c r="FV29" s="246" t="s">
        <v>142</v>
      </c>
      <c r="FW29" s="246"/>
      <c r="FX29" s="475">
        <f>SUM(FX15:FX28)</f>
        <v>6037166.6034654509</v>
      </c>
      <c r="FY29" s="475">
        <f>SUM(FY15:FY28)</f>
        <v>5605656.5497177504</v>
      </c>
      <c r="FZ29" s="475">
        <f>SUM(FZ15:FZ28)</f>
        <v>-431510.05374770041</v>
      </c>
      <c r="GA29" s="475">
        <f>SUM(GA15:GA28)</f>
        <v>5106227.474543401</v>
      </c>
      <c r="GB29" s="475">
        <f>SUM(GB15:GB28)</f>
        <v>-499429.07517434994</v>
      </c>
      <c r="GC29" s="166">
        <f t="shared" si="23"/>
        <v>16</v>
      </c>
      <c r="GD29" s="236" t="s">
        <v>451</v>
      </c>
      <c r="GE29" s="236"/>
      <c r="GF29" s="155"/>
      <c r="GG29" s="155"/>
      <c r="GH29" s="155"/>
      <c r="GI29" s="155"/>
      <c r="GJ29" s="155"/>
      <c r="GS29" s="166"/>
      <c r="HA29" s="166"/>
      <c r="HI29" s="166"/>
      <c r="HQ29" s="166">
        <f t="shared" si="27"/>
        <v>16</v>
      </c>
      <c r="HR29" s="288" t="s">
        <v>128</v>
      </c>
      <c r="HS29" s="268">
        <v>0.21</v>
      </c>
      <c r="HT29" s="237">
        <f>-HT27*HS29</f>
        <v>0</v>
      </c>
      <c r="HU29" s="237">
        <f>+HU27*HS29</f>
        <v>0</v>
      </c>
      <c r="HV29" s="237">
        <f>'[46]Lead E'!$F$30</f>
        <v>0</v>
      </c>
      <c r="HW29" s="237">
        <f>-HW27*HS29</f>
        <v>0</v>
      </c>
      <c r="HX29" s="237">
        <f>HW29-HV29</f>
        <v>0</v>
      </c>
    </row>
    <row r="30" spans="1:240" ht="16.5" thickTop="1" thickBot="1" x14ac:dyDescent="0.3">
      <c r="A30" s="15">
        <f t="shared" si="5"/>
        <v>18</v>
      </c>
      <c r="B30" s="140" t="s">
        <v>512</v>
      </c>
      <c r="C30" s="71"/>
      <c r="D30" s="918"/>
      <c r="E30" s="918"/>
      <c r="F30" s="139">
        <v>0</v>
      </c>
      <c r="G30" s="918"/>
      <c r="H30" s="139">
        <f>'[21]Lead Electric'!$H$29</f>
        <v>1010226.96</v>
      </c>
      <c r="I30" s="282">
        <f t="shared" si="0"/>
        <v>18</v>
      </c>
      <c r="J30" s="288" t="s">
        <v>384</v>
      </c>
      <c r="N30" s="145">
        <f>[22]Lead!$F$25</f>
        <v>3019</v>
      </c>
      <c r="O30" s="97"/>
      <c r="P30" s="145">
        <f>[22]Lead!$H$25</f>
        <v>0</v>
      </c>
      <c r="AG30" s="15">
        <f t="shared" si="1"/>
        <v>17</v>
      </c>
      <c r="AH30" s="22" t="s">
        <v>137</v>
      </c>
      <c r="AN30" s="262"/>
      <c r="AW30" s="96"/>
      <c r="AX30" s="96"/>
      <c r="AY30" s="96"/>
      <c r="AZ30" s="123"/>
      <c r="BA30" s="132"/>
      <c r="BB30" s="132"/>
      <c r="BC30" s="132"/>
      <c r="BD30" s="132"/>
      <c r="DA30" s="16"/>
      <c r="DI30" s="96">
        <f t="shared" si="13"/>
        <v>17</v>
      </c>
      <c r="DJ30" s="98" t="s">
        <v>95</v>
      </c>
      <c r="DK30" s="187"/>
      <c r="DL30" s="176">
        <f>-DL28-DL29</f>
        <v>-88704496.976821303</v>
      </c>
      <c r="DM30" s="176">
        <f>-DM28-DM29</f>
        <v>-88766307.401977554</v>
      </c>
      <c r="DN30" s="176">
        <f>-DN28-DN29</f>
        <v>-61810.425156246805</v>
      </c>
      <c r="DO30" s="176">
        <f>-DO28-DO29</f>
        <v>-91769864.560334384</v>
      </c>
      <c r="DP30" s="176">
        <f>-DP28-DP29</f>
        <v>-3003557.1583568333</v>
      </c>
      <c r="DQ30" s="96">
        <f t="shared" si="16"/>
        <v>17</v>
      </c>
      <c r="DR30" s="206" t="s">
        <v>230</v>
      </c>
      <c r="DS30" s="182"/>
      <c r="DT30" s="184">
        <f>+DT28</f>
        <v>6936279.8086278215</v>
      </c>
      <c r="DU30" s="184">
        <f>+DU28</f>
        <v>6952933.7275397414</v>
      </c>
      <c r="DV30" s="184">
        <f>+DV28</f>
        <v>16653.918911919929</v>
      </c>
      <c r="DW30" s="184">
        <f>+DW28</f>
        <v>7216449.3275726596</v>
      </c>
      <c r="DX30" s="184">
        <f>+DX28</f>
        <v>263515.60003291816</v>
      </c>
      <c r="EJ30" s="1"/>
      <c r="EK30" s="1"/>
      <c r="EL30" s="1"/>
      <c r="EM30" s="1"/>
      <c r="EN30" s="1"/>
      <c r="EO30" s="282">
        <f t="shared" si="18"/>
        <v>17</v>
      </c>
      <c r="EP30" s="93" t="s">
        <v>395</v>
      </c>
      <c r="ER30" s="30">
        <f t="shared" ref="ER30:ES30" si="32">-ER23</f>
        <v>-405261817.13353872</v>
      </c>
      <c r="ES30" s="30">
        <f t="shared" si="32"/>
        <v>-426660492.4238199</v>
      </c>
      <c r="ET30" s="30">
        <f>-ET23</f>
        <v>-21398675.290281195</v>
      </c>
      <c r="EU30" s="30">
        <f t="shared" ref="EU30:EV30" si="33">-EU23</f>
        <v>-426660492.4238199</v>
      </c>
      <c r="EV30" s="30">
        <f t="shared" si="33"/>
        <v>0</v>
      </c>
      <c r="EW30" s="282"/>
      <c r="FM30" s="282">
        <f t="shared" si="20"/>
        <v>17</v>
      </c>
      <c r="FN30" s="397" t="s">
        <v>501</v>
      </c>
      <c r="FP30" s="109">
        <v>0</v>
      </c>
      <c r="FQ30" s="109">
        <v>0</v>
      </c>
      <c r="FR30" s="109">
        <f>+'[44]Lead E'!F29</f>
        <v>0</v>
      </c>
      <c r="FS30" s="109">
        <f>+'[44]Lead E'!$G$30</f>
        <v>-66474.208822265355</v>
      </c>
      <c r="FT30" s="109">
        <f>+FS30-FR30</f>
        <v>-66474.208822265355</v>
      </c>
      <c r="FU30" s="96">
        <v>16</v>
      </c>
      <c r="FV30" s="247" t="s">
        <v>341</v>
      </c>
      <c r="FW30" s="247"/>
      <c r="FX30" s="476"/>
      <c r="FY30" s="476"/>
      <c r="FZ30" s="476"/>
      <c r="GA30" s="476"/>
      <c r="GB30" s="476"/>
      <c r="GC30" s="166">
        <f t="shared" si="23"/>
        <v>17</v>
      </c>
      <c r="GD30" s="397" t="s">
        <v>489</v>
      </c>
      <c r="GE30" s="397"/>
      <c r="GF30" s="106"/>
      <c r="GG30" s="106"/>
      <c r="GH30" s="106">
        <v>0</v>
      </c>
      <c r="GI30" s="883">
        <v>2876916.4773086668</v>
      </c>
      <c r="GJ30" s="106">
        <f>+GI30-GH30</f>
        <v>2876916.4773086668</v>
      </c>
      <c r="GS30" s="166"/>
      <c r="HA30" s="166"/>
      <c r="HI30" s="166"/>
      <c r="HQ30" s="166">
        <f t="shared" si="27"/>
        <v>17</v>
      </c>
      <c r="HR30" s="288" t="s">
        <v>95</v>
      </c>
      <c r="HS30" s="119"/>
      <c r="HT30" s="291">
        <f>-HT27-HT29</f>
        <v>0</v>
      </c>
      <c r="HU30" s="291">
        <f>-HU27-HU29</f>
        <v>0</v>
      </c>
      <c r="HV30" s="291">
        <f>-HV27-HV29</f>
        <v>0</v>
      </c>
      <c r="HW30" s="291">
        <f>-HW27-HW29</f>
        <v>0</v>
      </c>
      <c r="HX30" s="291">
        <f>-HX27-HX29</f>
        <v>0</v>
      </c>
    </row>
    <row r="31" spans="1:240" ht="15.75" thickTop="1" x14ac:dyDescent="0.25">
      <c r="A31" s="15">
        <f t="shared" si="5"/>
        <v>19</v>
      </c>
      <c r="B31" s="9" t="s">
        <v>378</v>
      </c>
      <c r="C31" s="155"/>
      <c r="D31" s="456"/>
      <c r="E31" s="456"/>
      <c r="F31" s="256">
        <f>SUM(F25:F30)</f>
        <v>2744403.99</v>
      </c>
      <c r="G31" s="256"/>
      <c r="H31" s="256">
        <f>SUM(H25:H30)</f>
        <v>-16381468.550000004</v>
      </c>
      <c r="I31" s="282">
        <f t="shared" si="0"/>
        <v>19</v>
      </c>
      <c r="J31" s="288" t="s">
        <v>385</v>
      </c>
      <c r="N31" s="97">
        <f>[22]Lead!$F$26</f>
        <v>5274141</v>
      </c>
      <c r="O31" s="97"/>
      <c r="P31" s="97">
        <f>[22]Lead!$H$26</f>
        <v>9108946</v>
      </c>
      <c r="AE31" s="262"/>
      <c r="AG31" s="15">
        <f t="shared" si="1"/>
        <v>18</v>
      </c>
      <c r="AH31" s="155" t="s">
        <v>82</v>
      </c>
      <c r="AI31" s="224">
        <f>'COC, Def, ConvF'!M12</f>
        <v>8.4790000000000004E-3</v>
      </c>
      <c r="AJ31" s="97">
        <f>+'[32]Lead Sheet E'!D28</f>
        <v>1605619.9023454485</v>
      </c>
      <c r="AK31" s="262">
        <f>'[32]Lead Sheet E'!E28</f>
        <v>0</v>
      </c>
      <c r="AL31" s="262">
        <f>+AK31-AJ31</f>
        <v>-1605619.9023454485</v>
      </c>
      <c r="AM31" s="262">
        <f>+AK31</f>
        <v>0</v>
      </c>
      <c r="AN31" s="262">
        <f>AM31-AK31</f>
        <v>0</v>
      </c>
      <c r="AW31" s="96"/>
      <c r="AX31" s="96"/>
      <c r="AY31" s="96"/>
      <c r="AZ31" s="123"/>
      <c r="BA31" s="132"/>
      <c r="BB31" s="132"/>
      <c r="BC31" s="132"/>
      <c r="BD31" s="132"/>
      <c r="DA31" s="16"/>
      <c r="DQ31" s="96">
        <f t="shared" si="16"/>
        <v>18</v>
      </c>
      <c r="DR31" s="206"/>
      <c r="DS31" s="182"/>
      <c r="DT31" s="187"/>
      <c r="DU31" s="187"/>
      <c r="DV31" s="187"/>
      <c r="DW31" s="187"/>
      <c r="DX31" s="187"/>
      <c r="EJ31" s="1"/>
      <c r="EK31" s="1"/>
      <c r="EL31" s="1"/>
      <c r="EM31" s="1"/>
      <c r="EN31" s="1"/>
      <c r="EO31" s="282">
        <f t="shared" si="18"/>
        <v>18</v>
      </c>
      <c r="EP31" s="93" t="s">
        <v>258</v>
      </c>
      <c r="ER31" s="97">
        <f t="shared" ref="ER31:ES31" si="34">-ER30*0.21</f>
        <v>85104981.598043129</v>
      </c>
      <c r="ES31" s="97">
        <f t="shared" si="34"/>
        <v>89598703.40900217</v>
      </c>
      <c r="ET31" s="97">
        <f>-ET30*0.21</f>
        <v>4493721.8109590504</v>
      </c>
      <c r="EU31" s="97">
        <f t="shared" ref="EU31:EV31" si="35">-EU30*0.21</f>
        <v>89598703.40900217</v>
      </c>
      <c r="EV31" s="97">
        <f t="shared" si="35"/>
        <v>0</v>
      </c>
      <c r="EW31" s="282"/>
      <c r="FM31" s="282">
        <f t="shared" si="20"/>
        <v>18</v>
      </c>
      <c r="FN31" s="397" t="s">
        <v>462</v>
      </c>
      <c r="FO31" s="397"/>
      <c r="FP31" s="109">
        <v>0</v>
      </c>
      <c r="FQ31" s="109">
        <v>0</v>
      </c>
      <c r="FR31" s="109">
        <f>+'[44]Lead E'!F30</f>
        <v>0</v>
      </c>
      <c r="FS31" s="109">
        <f>+'[44]Lead E'!$G$31</f>
        <v>1100394.6870659131</v>
      </c>
      <c r="FT31" s="109">
        <f>+FS31-FR31</f>
        <v>1100394.6870659131</v>
      </c>
      <c r="FU31" s="96">
        <v>17</v>
      </c>
      <c r="FV31" s="247" t="s">
        <v>146</v>
      </c>
      <c r="FW31" s="156">
        <f>+[0]!FIT_E</f>
        <v>0.21</v>
      </c>
      <c r="FX31" s="476">
        <f>-$FW$31*FX29</f>
        <v>-1267804.9867277446</v>
      </c>
      <c r="FY31" s="476">
        <f>-$FW$31*FY29</f>
        <v>-1177187.8754407275</v>
      </c>
      <c r="FZ31" s="476">
        <f>-$FW$31*FZ29</f>
        <v>90617.111287017076</v>
      </c>
      <c r="GA31" s="476">
        <f>-$FW$31*GA29</f>
        <v>-1072307.7696541143</v>
      </c>
      <c r="GB31" s="476">
        <f>-$FW$31*GB29</f>
        <v>104880.10578661348</v>
      </c>
      <c r="GC31" s="166">
        <f t="shared" si="23"/>
        <v>18</v>
      </c>
      <c r="GD31" s="397" t="s">
        <v>484</v>
      </c>
      <c r="GE31" s="397"/>
      <c r="GF31" s="109"/>
      <c r="GG31" s="109"/>
      <c r="GH31" s="109">
        <v>0</v>
      </c>
      <c r="GI31" s="884">
        <v>3681830.6018343112</v>
      </c>
      <c r="GJ31" s="109">
        <f>+GI31-GH31</f>
        <v>3681830.6018343112</v>
      </c>
      <c r="GS31" s="166"/>
      <c r="HA31" s="166"/>
      <c r="HI31" s="166"/>
      <c r="HR31" s="119"/>
      <c r="HS31" s="119"/>
    </row>
    <row r="32" spans="1:240" ht="15.75" thickBot="1" x14ac:dyDescent="0.3">
      <c r="A32" s="15">
        <f t="shared" si="5"/>
        <v>20</v>
      </c>
      <c r="B32" s="398" t="s">
        <v>496</v>
      </c>
      <c r="C32" s="155"/>
      <c r="D32" s="139"/>
      <c r="E32" s="139"/>
      <c r="F32" s="139">
        <f>F23+F31</f>
        <v>44044500.61980398</v>
      </c>
      <c r="G32" s="139"/>
      <c r="H32" s="139">
        <f>H23+H31</f>
        <v>-34175863.030000001</v>
      </c>
      <c r="I32" s="282">
        <f t="shared" si="0"/>
        <v>20</v>
      </c>
      <c r="J32" s="288" t="s">
        <v>688</v>
      </c>
      <c r="N32" s="291">
        <f>SUM(N30:N31)</f>
        <v>5277160</v>
      </c>
      <c r="O32" s="97"/>
      <c r="P32" s="291">
        <f>SUM(P30:P31)</f>
        <v>9108946</v>
      </c>
      <c r="AE32" s="262"/>
      <c r="AG32" s="15">
        <f t="shared" si="1"/>
        <v>19</v>
      </c>
      <c r="AH32" s="155" t="s">
        <v>83</v>
      </c>
      <c r="AI32" s="224">
        <f>'COC, Def, ConvF'!M13</f>
        <v>2E-3</v>
      </c>
      <c r="AJ32" s="97">
        <f>+'[32]Lead Sheet E'!D29</f>
        <v>378728.60062400007</v>
      </c>
      <c r="AK32" s="262">
        <f>'[32]Lead Sheet E'!E29</f>
        <v>0</v>
      </c>
      <c r="AL32" s="262">
        <f>+AK32-AJ32</f>
        <v>-378728.60062400007</v>
      </c>
      <c r="AM32" s="262">
        <f>+AK32</f>
        <v>0</v>
      </c>
      <c r="AN32" s="262">
        <f>AM32-AK32</f>
        <v>0</v>
      </c>
      <c r="AW32" s="96"/>
      <c r="AX32" s="96"/>
      <c r="AY32" s="96"/>
      <c r="AZ32" s="123"/>
      <c r="BA32" s="132"/>
      <c r="BB32" s="132"/>
      <c r="BC32" s="132"/>
      <c r="BD32" s="132"/>
      <c r="DA32" s="16"/>
      <c r="DQ32" s="96">
        <f t="shared" si="16"/>
        <v>19</v>
      </c>
      <c r="DR32" s="206" t="s">
        <v>128</v>
      </c>
      <c r="DS32" s="193">
        <f>+[0]!FIT_E</f>
        <v>0.21</v>
      </c>
      <c r="DT32" s="194">
        <f>-DT30*$DS$32</f>
        <v>-1456618.7598118423</v>
      </c>
      <c r="DU32" s="194">
        <f>-DU30*$DS$32</f>
        <v>-1460116.0827833456</v>
      </c>
      <c r="DV32" s="194">
        <f>-DV30*$DS$32</f>
        <v>-3497.3229715031848</v>
      </c>
      <c r="DW32" s="194">
        <f>-DW30*$DS$32</f>
        <v>-1515454.3587902584</v>
      </c>
      <c r="DX32" s="194">
        <f>-DX30*$DS$32</f>
        <v>-55338.276006912813</v>
      </c>
      <c r="EJ32" s="1"/>
      <c r="EK32" s="1"/>
      <c r="EL32" s="1"/>
      <c r="EM32" s="1"/>
      <c r="EN32" s="1"/>
      <c r="EO32" s="282">
        <f t="shared" si="18"/>
        <v>19</v>
      </c>
      <c r="EP32" s="93" t="s">
        <v>396</v>
      </c>
      <c r="ER32" s="55">
        <f t="shared" ref="ER32:ES32" si="36">SUM(ER30:ER31)</f>
        <v>-320156835.53549558</v>
      </c>
      <c r="ES32" s="55">
        <f t="shared" si="36"/>
        <v>-337061789.01481771</v>
      </c>
      <c r="ET32" s="55">
        <f>SUM(ET30:ET31)</f>
        <v>-16904953.479322143</v>
      </c>
      <c r="EU32" s="55">
        <f t="shared" ref="EU32:EV32" si="37">SUM(EU30:EU31)</f>
        <v>-337061789.01481771</v>
      </c>
      <c r="EV32" s="55">
        <f t="shared" si="37"/>
        <v>0</v>
      </c>
      <c r="EW32" s="282"/>
      <c r="FM32" s="282">
        <f t="shared" si="20"/>
        <v>19</v>
      </c>
      <c r="FN32" s="397" t="s">
        <v>463</v>
      </c>
      <c r="FO32" s="397"/>
      <c r="FP32" s="109">
        <v>0</v>
      </c>
      <c r="FQ32" s="109">
        <v>0</v>
      </c>
      <c r="FR32" s="109">
        <f>+'[44]Lead E'!F31</f>
        <v>0</v>
      </c>
      <c r="FS32" s="109">
        <f>+'[44]Lead E'!$G$32</f>
        <v>3768050.4009562861</v>
      </c>
      <c r="FT32" s="109">
        <f>+FS32-FR32</f>
        <v>3768050.4009562861</v>
      </c>
      <c r="FU32" s="96">
        <v>18</v>
      </c>
      <c r="FV32" s="247" t="s">
        <v>121</v>
      </c>
      <c r="FW32" s="247"/>
      <c r="FX32" s="477">
        <f>-FX29-FX31</f>
        <v>-4769361.6167377066</v>
      </c>
      <c r="FY32" s="477">
        <f>-FY29-FY31</f>
        <v>-4428468.6742770225</v>
      </c>
      <c r="FZ32" s="477">
        <f>-FZ29-FZ31</f>
        <v>340892.94246068335</v>
      </c>
      <c r="GA32" s="477">
        <f>-GA29-GA31</f>
        <v>-4033919.7048892868</v>
      </c>
      <c r="GB32" s="477">
        <f>-GB29-GB31</f>
        <v>394548.96938773646</v>
      </c>
      <c r="GC32" s="166">
        <f t="shared" si="23"/>
        <v>19</v>
      </c>
      <c r="GD32" s="397" t="s">
        <v>481</v>
      </c>
      <c r="GE32" s="397"/>
      <c r="GF32" s="109"/>
      <c r="GG32" s="109"/>
      <c r="GH32" s="109">
        <v>0</v>
      </c>
      <c r="GI32" s="884">
        <v>0</v>
      </c>
      <c r="GJ32" s="109">
        <f>+GI32-GH32</f>
        <v>0</v>
      </c>
    </row>
    <row r="33" spans="1:192" ht="16.5" thickTop="1" thickBot="1" x14ac:dyDescent="0.3">
      <c r="A33" s="15">
        <f t="shared" si="5"/>
        <v>21</v>
      </c>
      <c r="B33" s="246"/>
      <c r="C33" s="155"/>
      <c r="D33" s="284"/>
      <c r="E33" s="284"/>
      <c r="F33" s="284"/>
      <c r="G33" s="284"/>
      <c r="H33" s="109"/>
      <c r="N33" s="97"/>
      <c r="O33" s="97"/>
      <c r="P33" s="97"/>
      <c r="AE33" s="262"/>
      <c r="AG33" s="15">
        <f t="shared" si="1"/>
        <v>20</v>
      </c>
      <c r="AH33" s="155" t="s">
        <v>138</v>
      </c>
      <c r="AI33" s="224">
        <f>'COC, Def, ConvF'!M14</f>
        <v>3.8406000000000003E-2</v>
      </c>
      <c r="AJ33" s="97">
        <f>+'[32]Lead Sheet E'!D30</f>
        <v>7272725.317782674</v>
      </c>
      <c r="AK33" s="262">
        <f>'[32]Lead Sheet E'!E30</f>
        <v>0</v>
      </c>
      <c r="AL33" s="262">
        <f>+AK33-AJ33</f>
        <v>-7272725.317782674</v>
      </c>
      <c r="AM33" s="262">
        <f>+AK33</f>
        <v>0</v>
      </c>
      <c r="AN33" s="262">
        <f>AM33-AK33</f>
        <v>0</v>
      </c>
      <c r="AW33" s="187"/>
      <c r="AX33" s="187"/>
      <c r="AY33" s="187"/>
      <c r="AZ33" s="209"/>
      <c r="BA33" s="209"/>
      <c r="BB33" s="209"/>
      <c r="BC33" s="209"/>
      <c r="BD33" s="209"/>
      <c r="DQ33" s="96">
        <f t="shared" si="16"/>
        <v>20</v>
      </c>
      <c r="DR33" s="206"/>
      <c r="DS33" s="182"/>
      <c r="DT33" s="230"/>
      <c r="DU33" s="230"/>
      <c r="DV33" s="230"/>
      <c r="DW33" s="230"/>
      <c r="DX33" s="230"/>
      <c r="EJ33" s="1"/>
      <c r="EK33" s="1"/>
      <c r="EL33" s="1"/>
      <c r="EM33" s="1"/>
      <c r="EN33" s="1"/>
      <c r="EO33" s="282"/>
      <c r="FM33" s="282">
        <f t="shared" si="20"/>
        <v>20</v>
      </c>
      <c r="FN33" s="397" t="s">
        <v>453</v>
      </c>
      <c r="FO33" s="397"/>
      <c r="FP33" s="239">
        <f>SUM(FP29:FP32)</f>
        <v>0</v>
      </c>
      <c r="FQ33" s="239">
        <f>SUM(FQ29:FQ32)</f>
        <v>0</v>
      </c>
      <c r="FR33" s="239">
        <f>SUM(FR29:FR32)</f>
        <v>0</v>
      </c>
      <c r="FS33" s="239">
        <f>SUM(FS29:FS32)</f>
        <v>6157438.5977499336</v>
      </c>
      <c r="FT33" s="239">
        <f>SUM(FT29:FT32)</f>
        <v>6157438.5977499336</v>
      </c>
      <c r="FU33" s="96"/>
      <c r="FV33" s="1"/>
      <c r="FW33" s="1"/>
      <c r="FX33" s="1"/>
      <c r="FY33" s="1"/>
      <c r="FZ33" s="1"/>
      <c r="GA33" s="1"/>
      <c r="GB33" s="1"/>
      <c r="GC33" s="166">
        <f t="shared" si="23"/>
        <v>20</v>
      </c>
      <c r="GD33" s="397" t="s">
        <v>453</v>
      </c>
      <c r="GE33" s="397"/>
      <c r="GF33" s="55">
        <f>SUM(GF30:GF32)</f>
        <v>0</v>
      </c>
      <c r="GG33" s="55">
        <f>SUM(GG30:GG32)</f>
        <v>0</v>
      </c>
      <c r="GH33" s="55">
        <f>SUM(GH30:GH32)</f>
        <v>0</v>
      </c>
      <c r="GI33" s="55">
        <f>SUM(GI30:GI32)</f>
        <v>6558747.0791429784</v>
      </c>
      <c r="GJ33" s="55">
        <f>SUM(GJ30:GJ32)</f>
        <v>6558747.0791429784</v>
      </c>
    </row>
    <row r="34" spans="1:192" ht="17.25" thickTop="1" thickBot="1" x14ac:dyDescent="0.3">
      <c r="A34" s="15">
        <f t="shared" si="5"/>
        <v>22</v>
      </c>
      <c r="B34" s="246"/>
      <c r="D34" s="139"/>
      <c r="E34" s="139"/>
      <c r="F34" s="139"/>
      <c r="G34" s="139"/>
      <c r="H34" s="139"/>
      <c r="N34" s="97"/>
      <c r="O34" s="97"/>
      <c r="P34" s="97"/>
      <c r="AE34" s="158"/>
      <c r="AG34" s="15">
        <f t="shared" si="1"/>
        <v>21</v>
      </c>
      <c r="AH34" s="155" t="s">
        <v>66</v>
      </c>
      <c r="AJ34" s="263">
        <f>SUM(AJ31:AJ33)</f>
        <v>9257073.8207521215</v>
      </c>
      <c r="AK34" s="263">
        <f>SUM(AK31:AK33)</f>
        <v>0</v>
      </c>
      <c r="AL34" s="263">
        <f>SUM(AL31:AL33)</f>
        <v>-9257073.8207521215</v>
      </c>
      <c r="AM34" s="229"/>
      <c r="AN34" s="229"/>
      <c r="AW34" s="187"/>
      <c r="AX34" s="187"/>
      <c r="AY34" s="187"/>
      <c r="AZ34" s="187"/>
      <c r="BA34" s="187"/>
      <c r="BB34" s="187"/>
      <c r="BC34" s="187"/>
      <c r="BD34" s="187"/>
      <c r="DQ34" s="96">
        <f t="shared" si="16"/>
        <v>21</v>
      </c>
      <c r="DR34" s="182" t="s">
        <v>95</v>
      </c>
      <c r="DS34" s="182"/>
      <c r="DT34" s="387">
        <f>-DT30-DT32</f>
        <v>-5479661.0488159787</v>
      </c>
      <c r="DU34" s="387">
        <f>-DU30-DU32</f>
        <v>-5492817.6447563954</v>
      </c>
      <c r="DV34" s="387">
        <f>-DV30-DV32</f>
        <v>-13156.595940416744</v>
      </c>
      <c r="DW34" s="387">
        <f>-DW30-DW32</f>
        <v>-5700994.9687824007</v>
      </c>
      <c r="DX34" s="387">
        <f>-DX30-DX32</f>
        <v>-208177.32402600534</v>
      </c>
      <c r="EJ34" s="1"/>
      <c r="EK34" s="1"/>
      <c r="EL34" s="1"/>
      <c r="EM34" s="1"/>
      <c r="EN34" s="1"/>
      <c r="FM34" s="282">
        <f t="shared" si="20"/>
        <v>21</v>
      </c>
      <c r="FN34" s="242" t="s">
        <v>341</v>
      </c>
      <c r="FO34" s="242"/>
      <c r="FP34" s="473"/>
      <c r="FQ34" s="473"/>
      <c r="FR34" s="473"/>
      <c r="FS34" s="473"/>
      <c r="FT34" s="473"/>
      <c r="FU34" s="96"/>
      <c r="FV34" s="1"/>
      <c r="FW34" s="1"/>
      <c r="FX34" s="1"/>
      <c r="FY34" s="1"/>
      <c r="FZ34" s="1"/>
      <c r="GA34" s="1"/>
      <c r="GB34" s="1"/>
      <c r="GC34" s="166">
        <f t="shared" si="23"/>
        <v>21</v>
      </c>
      <c r="GD34" s="406" t="s">
        <v>591</v>
      </c>
      <c r="GE34" s="249">
        <f>[47]Lead!$E$35</f>
        <v>0.66190000000000004</v>
      </c>
      <c r="GF34" s="243"/>
      <c r="GG34" s="243"/>
      <c r="GH34" s="243"/>
      <c r="GI34" s="243"/>
      <c r="GJ34" s="243"/>
    </row>
    <row r="35" spans="1:192" ht="16.5" customHeight="1" thickTop="1" x14ac:dyDescent="0.25">
      <c r="A35" s="15">
        <f t="shared" si="5"/>
        <v>23</v>
      </c>
      <c r="D35" s="139"/>
      <c r="E35" s="139"/>
      <c r="F35" s="139"/>
      <c r="G35" s="139"/>
      <c r="H35" s="139"/>
      <c r="N35" s="97"/>
      <c r="O35" s="97"/>
      <c r="P35" s="97"/>
      <c r="AE35" s="262"/>
      <c r="AG35" s="15">
        <f t="shared" si="1"/>
        <v>22</v>
      </c>
      <c r="AH35" s="155"/>
      <c r="AN35" s="262"/>
      <c r="AW35" s="187"/>
      <c r="AX35" s="187"/>
      <c r="AY35" s="187"/>
      <c r="AZ35" s="187"/>
      <c r="BA35" s="187"/>
      <c r="BB35" s="187"/>
      <c r="BC35" s="187"/>
      <c r="BD35" s="187"/>
      <c r="EJ35" s="1"/>
      <c r="EK35" s="1"/>
      <c r="EL35" s="1"/>
      <c r="EM35" s="1"/>
      <c r="EN35" s="1"/>
      <c r="FM35" s="282">
        <f t="shared" si="20"/>
        <v>22</v>
      </c>
      <c r="FN35" s="7" t="s">
        <v>103</v>
      </c>
      <c r="FO35" s="7"/>
      <c r="FP35" s="109"/>
      <c r="FQ35" s="109"/>
      <c r="FR35" s="109"/>
      <c r="FS35" s="109">
        <f>+FS33</f>
        <v>6157438.5977499336</v>
      </c>
      <c r="FT35" s="109">
        <f>FT33</f>
        <v>6157438.5977499336</v>
      </c>
      <c r="FU35" s="96"/>
      <c r="FV35" s="1"/>
      <c r="FW35" s="1"/>
      <c r="FX35" s="1"/>
      <c r="FY35" s="1"/>
      <c r="FZ35" s="1"/>
      <c r="GA35" s="1"/>
      <c r="GB35" s="1"/>
      <c r="GC35" s="166">
        <f t="shared" si="23"/>
        <v>22</v>
      </c>
      <c r="GD35" s="7" t="s">
        <v>103</v>
      </c>
      <c r="GE35" s="7"/>
      <c r="GF35" s="109"/>
      <c r="GG35" s="109"/>
      <c r="GH35" s="109"/>
      <c r="GI35" s="109">
        <f>GI33</f>
        <v>6558747.0791429784</v>
      </c>
      <c r="GJ35" s="106">
        <f>+GI35-GH35</f>
        <v>6558747.0791429784</v>
      </c>
    </row>
    <row r="36" spans="1:192" ht="15" x14ac:dyDescent="0.25">
      <c r="A36" s="15">
        <f t="shared" si="5"/>
        <v>24</v>
      </c>
      <c r="B36" s="167" t="s">
        <v>23</v>
      </c>
      <c r="C36" s="155"/>
      <c r="D36" s="139"/>
      <c r="E36" s="139"/>
      <c r="F36" s="139"/>
      <c r="G36" s="139"/>
      <c r="H36" s="139"/>
      <c r="N36" s="97"/>
      <c r="O36" s="97"/>
      <c r="P36" s="97"/>
      <c r="AG36" s="15">
        <f t="shared" si="1"/>
        <v>23</v>
      </c>
      <c r="AH36" s="13" t="s">
        <v>139</v>
      </c>
      <c r="AN36" s="262"/>
      <c r="AW36" s="187"/>
      <c r="AX36" s="187"/>
      <c r="AY36" s="187"/>
      <c r="AZ36" s="187"/>
      <c r="BA36" s="187"/>
      <c r="BB36" s="187"/>
      <c r="BC36" s="187"/>
      <c r="BD36" s="187"/>
      <c r="DT36" s="225"/>
      <c r="DU36" s="225"/>
      <c r="DV36" s="225"/>
      <c r="DW36" s="225"/>
      <c r="DX36" s="225"/>
      <c r="EJ36" s="1"/>
      <c r="EK36" s="1"/>
      <c r="EL36" s="1"/>
      <c r="EM36" s="1"/>
      <c r="EN36" s="1"/>
      <c r="FM36" s="282">
        <f t="shared" si="20"/>
        <v>23</v>
      </c>
      <c r="FN36" s="7" t="s">
        <v>341</v>
      </c>
      <c r="FO36" s="7"/>
      <c r="FP36" s="109"/>
      <c r="FQ36" s="109"/>
      <c r="FR36" s="109"/>
      <c r="FS36" s="109"/>
      <c r="FT36" s="109"/>
      <c r="FU36" s="96"/>
      <c r="FV36" s="1"/>
      <c r="FW36" s="1"/>
      <c r="FX36" s="1"/>
      <c r="FY36" s="1"/>
      <c r="FZ36" s="1"/>
      <c r="GA36" s="1"/>
      <c r="GB36" s="1"/>
      <c r="GC36" s="166">
        <f t="shared" si="23"/>
        <v>23</v>
      </c>
      <c r="GD36" s="7"/>
      <c r="GE36" s="7"/>
      <c r="GF36" s="109"/>
      <c r="GG36" s="109"/>
      <c r="GH36" s="109"/>
      <c r="GI36" s="109"/>
      <c r="GJ36" s="109"/>
    </row>
    <row r="37" spans="1:192" ht="15" x14ac:dyDescent="0.25">
      <c r="A37" s="15">
        <f t="shared" si="5"/>
        <v>25</v>
      </c>
      <c r="B37" s="9" t="s">
        <v>373</v>
      </c>
      <c r="C37" s="155"/>
      <c r="D37" s="917" t="s">
        <v>514</v>
      </c>
      <c r="E37" s="917"/>
      <c r="F37" s="139">
        <f>+'[21]Lead Electric'!E36</f>
        <v>31779966.02</v>
      </c>
      <c r="G37" s="917" t="s">
        <v>514</v>
      </c>
      <c r="H37" s="139">
        <v>0</v>
      </c>
      <c r="I37" s="384"/>
      <c r="J37" s="384"/>
      <c r="K37" s="384"/>
      <c r="L37" s="384"/>
      <c r="M37" s="384"/>
      <c r="N37" s="384"/>
      <c r="O37" s="384"/>
      <c r="P37" s="384"/>
      <c r="AE37" s="262">
        <f>+AE36+AE35</f>
        <v>0</v>
      </c>
      <c r="AG37" s="15">
        <f t="shared" si="1"/>
        <v>24</v>
      </c>
      <c r="AH37" s="20" t="s">
        <v>131</v>
      </c>
      <c r="AJ37" s="262">
        <f>+'[32]Lead Sheet E'!D34</f>
        <v>97087902.950000003</v>
      </c>
      <c r="AK37" s="262">
        <f>'[32]Lead Sheet E'!E34</f>
        <v>0</v>
      </c>
      <c r="AL37" s="262">
        <f t="shared" ref="AL37:AL46" si="38">AK37-AJ37</f>
        <v>-97087902.950000003</v>
      </c>
      <c r="AM37" s="262">
        <f t="shared" ref="AM37:AM46" si="39">+AK37</f>
        <v>0</v>
      </c>
      <c r="AN37" s="262">
        <f t="shared" ref="AN37:AN46" si="40">AM37-AK37</f>
        <v>0</v>
      </c>
      <c r="AW37" s="187"/>
      <c r="AX37" s="187"/>
      <c r="AY37" s="187"/>
      <c r="AZ37" s="187"/>
      <c r="BA37" s="187"/>
      <c r="BB37" s="187"/>
      <c r="BC37" s="187"/>
      <c r="BD37" s="187"/>
      <c r="DU37" s="1"/>
      <c r="DV37" s="1"/>
      <c r="DW37" s="1"/>
      <c r="DX37" s="1"/>
      <c r="EJ37" s="1"/>
      <c r="EK37" s="1"/>
      <c r="EL37" s="1"/>
      <c r="EM37" s="1"/>
      <c r="EN37" s="1"/>
      <c r="FM37" s="282">
        <f t="shared" si="20"/>
        <v>24</v>
      </c>
      <c r="FN37" s="7" t="s">
        <v>128</v>
      </c>
      <c r="FO37" s="113">
        <v>0.21</v>
      </c>
      <c r="FP37" s="250"/>
      <c r="FQ37" s="250"/>
      <c r="FR37" s="250">
        <f>+'[44]Lead E'!F36</f>
        <v>0</v>
      </c>
      <c r="FS37" s="250">
        <f>-$FO$37*FS35</f>
        <v>-1293062.105527486</v>
      </c>
      <c r="FT37" s="250">
        <f>-$FO$37*FT35</f>
        <v>-1293062.105527486</v>
      </c>
      <c r="FU37" s="96"/>
      <c r="FV37" s="1"/>
      <c r="FW37" s="1"/>
      <c r="FX37" s="1"/>
      <c r="FY37" s="1"/>
      <c r="FZ37" s="1"/>
      <c r="GA37" s="1"/>
      <c r="GB37" s="1"/>
      <c r="GC37" s="166">
        <f t="shared" si="23"/>
        <v>24</v>
      </c>
      <c r="GD37" s="7" t="s">
        <v>128</v>
      </c>
      <c r="GE37" s="113">
        <v>0.21</v>
      </c>
      <c r="GF37" s="250"/>
      <c r="GG37" s="250"/>
      <c r="GH37" s="250"/>
      <c r="GI37" s="250">
        <f>-GI35*GE37</f>
        <v>-1377336.8866200254</v>
      </c>
      <c r="GJ37" s="250">
        <f>+GI37-GH37</f>
        <v>-1377336.8866200254</v>
      </c>
    </row>
    <row r="38" spans="1:192" ht="15.75" thickBot="1" x14ac:dyDescent="0.3">
      <c r="A38" s="15">
        <f t="shared" si="5"/>
        <v>26</v>
      </c>
      <c r="B38" s="9" t="s">
        <v>379</v>
      </c>
      <c r="C38" s="67"/>
      <c r="D38" s="918"/>
      <c r="E38" s="918"/>
      <c r="F38" s="460">
        <f>+'[21]Lead Electric'!E37</f>
        <v>-430100</v>
      </c>
      <c r="G38" s="918"/>
      <c r="H38" s="139">
        <v>0</v>
      </c>
      <c r="AG38" s="15">
        <f t="shared" si="1"/>
        <v>25</v>
      </c>
      <c r="AH38" s="214" t="s">
        <v>217</v>
      </c>
      <c r="AJ38" s="262">
        <f>+'[32]Lead Sheet E'!D35</f>
        <v>59265943.382832997</v>
      </c>
      <c r="AK38" s="262">
        <f>'[32]Lead Sheet E'!E35</f>
        <v>0</v>
      </c>
      <c r="AL38" s="262">
        <f t="shared" si="38"/>
        <v>-59265943.382832997</v>
      </c>
      <c r="AM38" s="262">
        <f t="shared" si="39"/>
        <v>0</v>
      </c>
      <c r="AN38" s="262">
        <f t="shared" si="40"/>
        <v>0</v>
      </c>
      <c r="AW38" s="187"/>
      <c r="AX38" s="187"/>
      <c r="AY38" s="187"/>
      <c r="AZ38" s="187"/>
      <c r="BA38" s="187"/>
      <c r="BB38" s="187"/>
      <c r="BC38" s="187"/>
      <c r="BD38" s="187"/>
      <c r="DI38" s="91"/>
      <c r="DT38" s="226"/>
      <c r="DU38" s="226"/>
      <c r="DV38" s="226"/>
      <c r="DW38" s="226"/>
      <c r="DX38" s="226"/>
      <c r="EJ38" s="1"/>
      <c r="EK38" s="1"/>
      <c r="EL38" s="1"/>
      <c r="EM38" s="1"/>
      <c r="EN38" s="1"/>
      <c r="FM38" s="282">
        <f t="shared" si="20"/>
        <v>25</v>
      </c>
      <c r="FN38" s="7" t="s">
        <v>95</v>
      </c>
      <c r="FO38" s="7"/>
      <c r="FP38" s="55"/>
      <c r="FQ38" s="55"/>
      <c r="FR38" s="55"/>
      <c r="FS38" s="55">
        <f>-FS35-FS37</f>
        <v>-4864376.4922224479</v>
      </c>
      <c r="FT38" s="55">
        <f>-FT35-FT37</f>
        <v>-4864376.4922224479</v>
      </c>
      <c r="FU38" s="96"/>
      <c r="FV38" s="1"/>
      <c r="FW38" s="1"/>
      <c r="FX38" s="1"/>
      <c r="FY38" s="1"/>
      <c r="FZ38" s="1"/>
      <c r="GA38" s="1"/>
      <c r="GB38" s="1"/>
      <c r="GC38" s="166">
        <f t="shared" si="23"/>
        <v>25</v>
      </c>
      <c r="GD38" s="7" t="s">
        <v>95</v>
      </c>
      <c r="GE38" s="7"/>
      <c r="GF38" s="244">
        <f>-GF35-GF37</f>
        <v>0</v>
      </c>
      <c r="GG38" s="244">
        <f>-GG35-GG37</f>
        <v>0</v>
      </c>
      <c r="GH38" s="244">
        <f>-GH35-GH37</f>
        <v>0</v>
      </c>
      <c r="GI38" s="244">
        <f>-GI35-GI37</f>
        <v>-5181410.1925229533</v>
      </c>
      <c r="GJ38" s="244">
        <f>-GJ35-GJ37</f>
        <v>-5181410.1925229533</v>
      </c>
    </row>
    <row r="39" spans="1:192" ht="15.75" thickTop="1" x14ac:dyDescent="0.25">
      <c r="A39" s="15">
        <f t="shared" si="5"/>
        <v>27</v>
      </c>
      <c r="B39" s="9" t="s">
        <v>374</v>
      </c>
      <c r="C39" s="155"/>
      <c r="D39" s="109"/>
      <c r="E39" s="239"/>
      <c r="F39" s="109">
        <f>SUM(F37:F38)</f>
        <v>31349866.02</v>
      </c>
      <c r="G39" s="239"/>
      <c r="H39" s="239">
        <f>SUM(H37:H38)</f>
        <v>0</v>
      </c>
      <c r="AG39" s="15">
        <f t="shared" si="1"/>
        <v>26</v>
      </c>
      <c r="AH39" s="44" t="s">
        <v>132</v>
      </c>
      <c r="AJ39" s="262">
        <f>+'[32]Lead Sheet E'!D36</f>
        <v>82000442.209999993</v>
      </c>
      <c r="AK39" s="262">
        <f>'[32]Lead Sheet E'!E36</f>
        <v>0</v>
      </c>
      <c r="AL39" s="262">
        <f t="shared" si="38"/>
        <v>-82000442.209999993</v>
      </c>
      <c r="AM39" s="262">
        <f t="shared" si="39"/>
        <v>0</v>
      </c>
      <c r="AN39" s="262">
        <f t="shared" si="40"/>
        <v>0</v>
      </c>
      <c r="AW39" s="187"/>
      <c r="AX39" s="187"/>
      <c r="AY39" s="187"/>
      <c r="AZ39" s="187"/>
      <c r="BA39" s="187"/>
      <c r="BB39" s="187"/>
      <c r="BC39" s="187"/>
      <c r="BD39" s="187"/>
      <c r="DI39" s="89"/>
      <c r="DU39" s="1"/>
      <c r="DV39" s="1"/>
      <c r="DW39" s="1"/>
      <c r="DX39" s="1"/>
      <c r="FM39" s="282">
        <f t="shared" si="20"/>
        <v>26</v>
      </c>
      <c r="FN39" s="1" t="s">
        <v>341</v>
      </c>
      <c r="FO39" s="1"/>
      <c r="FP39" s="380"/>
      <c r="FQ39" s="380"/>
      <c r="FR39" s="380"/>
      <c r="FS39" s="380"/>
      <c r="FT39" s="380"/>
      <c r="FU39" s="96"/>
      <c r="FV39" s="1"/>
      <c r="FW39" s="1"/>
      <c r="FX39" s="1"/>
      <c r="FY39" s="1"/>
      <c r="FZ39" s="1"/>
      <c r="GA39" s="1"/>
      <c r="GB39" s="1"/>
    </row>
    <row r="40" spans="1:192" ht="15" x14ac:dyDescent="0.25">
      <c r="A40" s="15">
        <f t="shared" si="5"/>
        <v>28</v>
      </c>
      <c r="B40" s="246"/>
      <c r="C40" s="155"/>
      <c r="D40" s="109"/>
      <c r="E40" s="109"/>
      <c r="F40" s="109"/>
      <c r="G40" s="109"/>
      <c r="H40" s="59"/>
      <c r="AG40" s="15">
        <f t="shared" si="1"/>
        <v>27</v>
      </c>
      <c r="AH40" s="44" t="s">
        <v>133</v>
      </c>
      <c r="AJ40" s="262">
        <f>+'[32]Lead Sheet E'!D37</f>
        <v>17158857.68</v>
      </c>
      <c r="AK40" s="262">
        <f>'[32]Lead Sheet E'!E37</f>
        <v>0</v>
      </c>
      <c r="AL40" s="262">
        <f t="shared" si="38"/>
        <v>-17158857.68</v>
      </c>
      <c r="AM40" s="262">
        <f t="shared" si="39"/>
        <v>0</v>
      </c>
      <c r="AN40" s="262">
        <f t="shared" si="40"/>
        <v>0</v>
      </c>
      <c r="AW40" s="187"/>
      <c r="AX40" s="187"/>
      <c r="AY40" s="187"/>
      <c r="AZ40" s="187"/>
      <c r="BA40" s="187"/>
      <c r="BB40" s="187"/>
      <c r="BC40" s="187"/>
      <c r="BD40" s="187"/>
      <c r="DI40" s="91"/>
      <c r="DU40" s="1"/>
      <c r="DV40" s="1"/>
      <c r="DW40" s="1"/>
      <c r="DX40" s="1"/>
      <c r="FM40" s="282">
        <f t="shared" si="20"/>
        <v>27</v>
      </c>
      <c r="FN40" s="245" t="s">
        <v>518</v>
      </c>
      <c r="FO40" s="245"/>
      <c r="FP40" s="155"/>
      <c r="FQ40" s="155"/>
      <c r="FR40" s="155"/>
      <c r="FS40" s="155"/>
      <c r="FT40" s="155"/>
      <c r="FU40" s="96"/>
      <c r="FV40" s="1"/>
      <c r="FW40" s="1"/>
      <c r="FX40" s="1"/>
      <c r="FY40" s="1"/>
      <c r="FZ40" s="1"/>
      <c r="GA40" s="1"/>
      <c r="GB40" s="1"/>
    </row>
    <row r="41" spans="1:192" ht="15" x14ac:dyDescent="0.25">
      <c r="A41" s="15">
        <f t="shared" si="5"/>
        <v>29</v>
      </c>
      <c r="C41" s="155"/>
      <c r="D41" s="59"/>
      <c r="E41" s="59"/>
      <c r="F41" s="59"/>
      <c r="G41" s="59"/>
      <c r="H41" s="109"/>
      <c r="AG41" s="15">
        <f t="shared" si="1"/>
        <v>28</v>
      </c>
      <c r="AH41" s="132" t="s">
        <v>134</v>
      </c>
      <c r="AJ41" s="262">
        <f>+'[32]Lead Sheet E'!D38</f>
        <v>-77453659.510000005</v>
      </c>
      <c r="AK41" s="262">
        <f>'[32]Lead Sheet E'!E38</f>
        <v>0</v>
      </c>
      <c r="AL41" s="262">
        <f t="shared" si="38"/>
        <v>77453659.510000005</v>
      </c>
      <c r="AM41" s="262">
        <f t="shared" si="39"/>
        <v>0</v>
      </c>
      <c r="AN41" s="262">
        <f t="shared" si="40"/>
        <v>0</v>
      </c>
      <c r="AW41" s="187"/>
      <c r="AX41" s="187"/>
      <c r="AY41" s="187"/>
      <c r="AZ41" s="187"/>
      <c r="BA41" s="187"/>
      <c r="BB41" s="187"/>
      <c r="BC41" s="187"/>
      <c r="BD41" s="187"/>
      <c r="DI41" s="91"/>
      <c r="DU41" s="1"/>
      <c r="DV41" s="1"/>
      <c r="DW41" s="1"/>
      <c r="DX41" s="1"/>
      <c r="FM41" s="282">
        <f t="shared" si="20"/>
        <v>28</v>
      </c>
      <c r="FN41" s="245" t="s">
        <v>519</v>
      </c>
      <c r="FO41" s="245"/>
      <c r="FP41" s="155"/>
      <c r="FQ41" s="155"/>
      <c r="FR41" s="155"/>
      <c r="FS41" s="155"/>
      <c r="FT41" s="155"/>
      <c r="FU41" s="96"/>
      <c r="FV41" s="1"/>
      <c r="FW41" s="1"/>
      <c r="FX41" s="1"/>
      <c r="FY41" s="1"/>
      <c r="FZ41" s="1"/>
      <c r="GA41" s="1"/>
      <c r="GB41" s="1"/>
    </row>
    <row r="42" spans="1:192" ht="15" x14ac:dyDescent="0.25">
      <c r="A42" s="15">
        <f t="shared" si="5"/>
        <v>30</v>
      </c>
      <c r="B42" s="2" t="s">
        <v>125</v>
      </c>
      <c r="C42" s="131">
        <f>+'COC, Def, ConvF'!M12</f>
        <v>8.4790000000000004E-3</v>
      </c>
      <c r="D42" s="139"/>
      <c r="E42" s="284"/>
      <c r="F42" s="284">
        <f>F32*$C$42</f>
        <v>373453.32075531798</v>
      </c>
      <c r="G42" s="284"/>
      <c r="H42" s="66">
        <f>H32*C42</f>
        <v>-289777.14263137005</v>
      </c>
      <c r="AG42" s="15">
        <f t="shared" si="1"/>
        <v>29</v>
      </c>
      <c r="AH42" s="132" t="s">
        <v>218</v>
      </c>
      <c r="AJ42" s="262">
        <f>+'[32]Lead Sheet E'!D39</f>
        <v>-83311.960000000006</v>
      </c>
      <c r="AK42" s="262">
        <f>'[32]Lead Sheet E'!E39</f>
        <v>0</v>
      </c>
      <c r="AL42" s="262">
        <f t="shared" si="38"/>
        <v>83311.960000000006</v>
      </c>
      <c r="AM42" s="262">
        <f t="shared" si="39"/>
        <v>0</v>
      </c>
      <c r="AN42" s="262">
        <f t="shared" si="40"/>
        <v>0</v>
      </c>
      <c r="AW42" s="187"/>
      <c r="AX42" s="187"/>
      <c r="AY42" s="187"/>
      <c r="AZ42" s="187"/>
      <c r="BA42" s="187"/>
      <c r="BB42" s="187"/>
      <c r="BC42" s="187"/>
      <c r="BD42" s="187"/>
      <c r="DU42" s="1"/>
      <c r="DV42" s="1"/>
      <c r="DW42" s="1"/>
      <c r="DX42" s="1"/>
      <c r="FM42" s="282">
        <f t="shared" si="20"/>
        <v>29</v>
      </c>
      <c r="FN42" s="245" t="s">
        <v>520</v>
      </c>
      <c r="FO42" s="245"/>
      <c r="FP42" s="1"/>
      <c r="FQ42" s="1"/>
      <c r="FR42" s="1"/>
      <c r="FS42" s="1"/>
      <c r="FT42" s="1"/>
      <c r="FU42" s="96"/>
      <c r="FV42" s="1"/>
      <c r="FW42" s="1"/>
      <c r="FX42" s="1"/>
      <c r="FY42" s="1"/>
      <c r="FZ42" s="1"/>
      <c r="GA42" s="1"/>
      <c r="GB42" s="1"/>
    </row>
    <row r="43" spans="1:192" ht="15" x14ac:dyDescent="0.25">
      <c r="A43" s="15">
        <f t="shared" si="5"/>
        <v>31</v>
      </c>
      <c r="B43" s="246" t="s">
        <v>126</v>
      </c>
      <c r="C43" s="131">
        <f>+'COC, Def, ConvF'!M13</f>
        <v>2E-3</v>
      </c>
      <c r="D43" s="139"/>
      <c r="E43" s="284"/>
      <c r="F43" s="284">
        <f>F32*$C$43</f>
        <v>88089.001239607955</v>
      </c>
      <c r="G43" s="284"/>
      <c r="H43" s="284">
        <f>H32*C43</f>
        <v>-68351.726060000001</v>
      </c>
      <c r="AG43" s="15">
        <f t="shared" si="1"/>
        <v>30</v>
      </c>
      <c r="AH43" s="132" t="s">
        <v>572</v>
      </c>
      <c r="AJ43" s="262">
        <f>+'[32]Lead Sheet E'!D40</f>
        <v>1459363.53</v>
      </c>
      <c r="AK43" s="262">
        <f>'[32]Lead Sheet E'!E40</f>
        <v>1459363.53</v>
      </c>
      <c r="AL43" s="262">
        <f t="shared" si="38"/>
        <v>0</v>
      </c>
      <c r="AM43" s="262">
        <f t="shared" si="39"/>
        <v>1459363.53</v>
      </c>
      <c r="AN43" s="262">
        <f t="shared" si="40"/>
        <v>0</v>
      </c>
      <c r="AW43" s="187"/>
      <c r="AX43" s="187"/>
      <c r="AY43" s="187"/>
      <c r="AZ43" s="187"/>
      <c r="BA43" s="187"/>
      <c r="BB43" s="187"/>
      <c r="BC43" s="187"/>
      <c r="BD43" s="187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6"/>
      <c r="FV43" s="1"/>
    </row>
    <row r="44" spans="1:192" ht="15" x14ac:dyDescent="0.25">
      <c r="A44" s="15">
        <f t="shared" si="5"/>
        <v>32</v>
      </c>
      <c r="B44" s="246" t="s">
        <v>376</v>
      </c>
      <c r="C44" s="224">
        <f>+'COC, Def, ConvF'!M14</f>
        <v>3.8406000000000003E-2</v>
      </c>
      <c r="D44" s="139"/>
      <c r="E44" s="460"/>
      <c r="F44" s="460">
        <f>(F32+F34)*$C$44</f>
        <v>1691573.0908041918</v>
      </c>
      <c r="G44" s="460"/>
      <c r="H44" s="460">
        <f>(H32+H34)*$C$44</f>
        <v>-1312558.1955301801</v>
      </c>
      <c r="AG44" s="15">
        <f t="shared" si="1"/>
        <v>31</v>
      </c>
      <c r="AH44" s="123" t="s">
        <v>219</v>
      </c>
      <c r="AJ44" s="262">
        <f>+'[32]Lead Sheet E'!D41</f>
        <v>964405.32000000007</v>
      </c>
      <c r="AK44" s="262">
        <f>'[32]Lead Sheet E'!E41</f>
        <v>0</v>
      </c>
      <c r="AL44" s="262">
        <f t="shared" si="38"/>
        <v>-964405.32000000007</v>
      </c>
      <c r="AM44" s="262">
        <f t="shared" si="39"/>
        <v>0</v>
      </c>
      <c r="AN44" s="262">
        <f t="shared" si="40"/>
        <v>0</v>
      </c>
      <c r="AW44" s="187"/>
      <c r="AX44" s="187"/>
      <c r="AY44" s="187"/>
      <c r="AZ44" s="187"/>
      <c r="BA44" s="187"/>
      <c r="BB44" s="187"/>
      <c r="BC44" s="187"/>
      <c r="BD44" s="187"/>
      <c r="DU44" s="1"/>
      <c r="DV44" s="1"/>
      <c r="DW44" s="1"/>
      <c r="DX44" s="1"/>
      <c r="FU44" s="96"/>
      <c r="FV44" s="1"/>
    </row>
    <row r="45" spans="1:192" ht="15" x14ac:dyDescent="0.25">
      <c r="A45" s="15">
        <f t="shared" si="5"/>
        <v>33</v>
      </c>
      <c r="B45" s="214" t="s">
        <v>375</v>
      </c>
      <c r="C45" s="68"/>
      <c r="D45" s="255"/>
      <c r="E45" s="284"/>
      <c r="F45" s="284">
        <f>SUM(F42:F44)</f>
        <v>2153115.4127991176</v>
      </c>
      <c r="G45" s="284"/>
      <c r="H45" s="284">
        <f>SUM(H42:H44)</f>
        <v>-1670687.0642215502</v>
      </c>
      <c r="AG45" s="15">
        <f t="shared" si="1"/>
        <v>32</v>
      </c>
      <c r="AH45" s="123" t="s">
        <v>140</v>
      </c>
      <c r="AJ45" s="262">
        <f>+'[32]Lead Sheet E'!D42</f>
        <v>29354.23</v>
      </c>
      <c r="AK45" s="262">
        <f>'[32]Lead Sheet E'!E42</f>
        <v>0</v>
      </c>
      <c r="AL45" s="262">
        <f t="shared" si="38"/>
        <v>-29354.23</v>
      </c>
      <c r="AM45" s="262">
        <f t="shared" si="39"/>
        <v>0</v>
      </c>
      <c r="AN45" s="262">
        <f t="shared" si="40"/>
        <v>0</v>
      </c>
      <c r="AW45" s="187"/>
      <c r="AX45" s="187"/>
      <c r="AY45" s="187"/>
      <c r="AZ45" s="187"/>
      <c r="BA45" s="187"/>
      <c r="BB45" s="187"/>
      <c r="BC45" s="187"/>
      <c r="BD45" s="187"/>
      <c r="DU45" s="1"/>
      <c r="DV45" s="1"/>
      <c r="DW45" s="1"/>
      <c r="DX45" s="1"/>
      <c r="FV45" s="1"/>
    </row>
    <row r="46" spans="1:192" ht="15" x14ac:dyDescent="0.25">
      <c r="A46" s="15">
        <f t="shared" si="5"/>
        <v>34</v>
      </c>
      <c r="C46" s="155"/>
      <c r="D46" s="284"/>
      <c r="E46" s="284"/>
      <c r="F46" s="284"/>
      <c r="G46" s="284"/>
      <c r="H46" s="109"/>
      <c r="AG46" s="15">
        <f t="shared" si="1"/>
        <v>33</v>
      </c>
      <c r="AH46" s="123" t="s">
        <v>141</v>
      </c>
      <c r="AJ46" s="262">
        <f>+'[32]Lead Sheet E'!D43</f>
        <v>7384.6</v>
      </c>
      <c r="AK46" s="262">
        <f>'[32]Lead Sheet E'!E43</f>
        <v>0</v>
      </c>
      <c r="AL46" s="262">
        <f t="shared" si="38"/>
        <v>-7384.6</v>
      </c>
      <c r="AM46" s="262">
        <f t="shared" si="39"/>
        <v>0</v>
      </c>
      <c r="AN46" s="262">
        <f t="shared" si="40"/>
        <v>0</v>
      </c>
      <c r="AW46" s="187"/>
      <c r="AX46" s="187"/>
      <c r="AY46" s="187"/>
      <c r="AZ46" s="187"/>
      <c r="BA46" s="187"/>
      <c r="BB46" s="187"/>
      <c r="BC46" s="187"/>
      <c r="BD46" s="187"/>
      <c r="DU46" s="1"/>
      <c r="DV46" s="1"/>
      <c r="DW46" s="1"/>
      <c r="DX46" s="1"/>
      <c r="FV46" s="1"/>
    </row>
    <row r="47" spans="1:192" ht="15" x14ac:dyDescent="0.25">
      <c r="A47" s="15">
        <f t="shared" si="5"/>
        <v>35</v>
      </c>
      <c r="B47" s="246" t="s">
        <v>94</v>
      </c>
      <c r="C47" s="155"/>
      <c r="D47" s="66"/>
      <c r="E47" s="66"/>
      <c r="F47" s="66">
        <f>F32+F34-F39-F45</f>
        <v>10541519.187004862</v>
      </c>
      <c r="G47" s="66"/>
      <c r="H47" s="66">
        <f>H32+H34-H39-H45</f>
        <v>-32505175.965778451</v>
      </c>
      <c r="AG47" s="15">
        <f t="shared" si="1"/>
        <v>34</v>
      </c>
      <c r="AH47" s="71"/>
      <c r="AJ47" s="223">
        <f>SUM(AJ37:AJ46)</f>
        <v>180436682.43283296</v>
      </c>
      <c r="AK47" s="223">
        <f>SUM(AK37:AK46)</f>
        <v>1459363.53</v>
      </c>
      <c r="AL47" s="223">
        <f>SUM(AL37:AL46)</f>
        <v>-178977318.90283296</v>
      </c>
      <c r="AM47" s="223">
        <f>SUM(AM37:AM46)</f>
        <v>1459363.53</v>
      </c>
      <c r="AN47" s="223">
        <f>SUM(AN37:AN46)</f>
        <v>0</v>
      </c>
      <c r="AW47" s="187"/>
      <c r="AX47" s="187"/>
      <c r="AY47" s="187"/>
      <c r="AZ47" s="187"/>
      <c r="BA47" s="187"/>
      <c r="BB47" s="187"/>
      <c r="BC47" s="187"/>
      <c r="BD47" s="187"/>
      <c r="DU47" s="1"/>
      <c r="DV47" s="1"/>
      <c r="DW47" s="1"/>
      <c r="DX47" s="1"/>
      <c r="FV47" s="1"/>
    </row>
    <row r="48" spans="1:192" ht="15" x14ac:dyDescent="0.25">
      <c r="A48" s="15">
        <f t="shared" si="5"/>
        <v>36</v>
      </c>
      <c r="C48" s="155"/>
      <c r="D48" s="155"/>
      <c r="E48" s="155"/>
      <c r="F48" s="155"/>
      <c r="G48" s="155"/>
      <c r="H48" s="155"/>
      <c r="AG48" s="15">
        <f t="shared" si="1"/>
        <v>35</v>
      </c>
      <c r="AW48" s="187"/>
      <c r="AX48" s="187"/>
      <c r="AY48" s="187"/>
      <c r="AZ48" s="187"/>
      <c r="BA48" s="187"/>
      <c r="BB48" s="187"/>
      <c r="BC48" s="187"/>
      <c r="BD48" s="187"/>
      <c r="FV48" s="1"/>
    </row>
    <row r="49" spans="1:178" ht="15" x14ac:dyDescent="0.25">
      <c r="A49" s="15">
        <f t="shared" si="5"/>
        <v>37</v>
      </c>
      <c r="B49" s="155" t="s">
        <v>128</v>
      </c>
      <c r="C49" s="68">
        <f>+FIT_E</f>
        <v>0.21</v>
      </c>
      <c r="D49" s="456"/>
      <c r="E49" s="461"/>
      <c r="F49" s="461">
        <f>F47*$C$49</f>
        <v>2213719.029271021</v>
      </c>
      <c r="G49" s="453"/>
      <c r="H49" s="453">
        <f>H47*$C$49</f>
        <v>-6826086.9528134745</v>
      </c>
      <c r="AG49" s="15">
        <f t="shared" si="1"/>
        <v>36</v>
      </c>
      <c r="AH49" s="71" t="s">
        <v>143</v>
      </c>
      <c r="AJ49" s="66">
        <f>+AJ28-AJ34-AJ47</f>
        <v>1016568.4049868584</v>
      </c>
      <c r="AK49" s="66">
        <f>+AK28-AK34-AK47</f>
        <v>-1459363.53</v>
      </c>
      <c r="AL49" s="66">
        <f>+AL28-AL34-AL47</f>
        <v>-2475931.9349868596</v>
      </c>
      <c r="AM49" s="66">
        <f>+AM28-AM34-AM47</f>
        <v>-1459363.53</v>
      </c>
      <c r="AN49" s="66">
        <f>AN28-AN34-AN47</f>
        <v>0</v>
      </c>
      <c r="AW49" s="187"/>
      <c r="AX49" s="187"/>
      <c r="AY49" s="187"/>
      <c r="AZ49" s="187"/>
      <c r="BA49" s="187"/>
      <c r="BB49" s="187"/>
      <c r="BC49" s="187"/>
      <c r="BD49" s="187"/>
      <c r="FV49" s="1"/>
    </row>
    <row r="50" spans="1:178" ht="15.75" thickBot="1" x14ac:dyDescent="0.3">
      <c r="A50" s="15">
        <f t="shared" si="5"/>
        <v>38</v>
      </c>
      <c r="B50" s="288" t="s">
        <v>95</v>
      </c>
      <c r="D50" s="291"/>
      <c r="E50" s="291"/>
      <c r="F50" s="291">
        <f>F47-F49</f>
        <v>8327800.1577338409</v>
      </c>
      <c r="G50" s="291"/>
      <c r="H50" s="291">
        <f>H47-H49</f>
        <v>-25679089.012964979</v>
      </c>
      <c r="AG50" s="15">
        <f t="shared" si="1"/>
        <v>37</v>
      </c>
      <c r="AH50" s="71" t="s">
        <v>116</v>
      </c>
      <c r="AI50" s="107">
        <f>FIT_E</f>
        <v>0.21</v>
      </c>
      <c r="AJ50" s="265">
        <f>AJ49*$AI$50</f>
        <v>213479.36504724025</v>
      </c>
      <c r="AK50" s="265">
        <f>AK49*$AI$50</f>
        <v>-306466.34129999997</v>
      </c>
      <c r="AL50" s="265">
        <f>AL49*$AI$50</f>
        <v>-519945.70634724048</v>
      </c>
      <c r="AM50" s="265">
        <f>AM49*$AI$50</f>
        <v>-306466.34129999997</v>
      </c>
      <c r="AN50" s="264">
        <f>AN49*$AI$50</f>
        <v>0</v>
      </c>
      <c r="AW50" s="187"/>
      <c r="AX50" s="187"/>
      <c r="AY50" s="187"/>
      <c r="AZ50" s="187"/>
      <c r="BA50" s="187"/>
      <c r="BB50" s="187"/>
      <c r="BC50" s="187"/>
      <c r="BD50" s="187"/>
      <c r="FV50" s="1"/>
    </row>
    <row r="51" spans="1:178" ht="16.5" thickTop="1" thickBot="1" x14ac:dyDescent="0.3">
      <c r="A51" s="15">
        <f t="shared" si="5"/>
        <v>39</v>
      </c>
      <c r="AG51" s="15">
        <f t="shared" si="1"/>
        <v>38</v>
      </c>
      <c r="AH51" s="71" t="s">
        <v>95</v>
      </c>
      <c r="AJ51" s="55">
        <f>AJ49-AJ50</f>
        <v>803089.03993961809</v>
      </c>
      <c r="AK51" s="55">
        <f>AK49-AK50</f>
        <v>-1152897.1887000001</v>
      </c>
      <c r="AL51" s="55">
        <f>AL49-AL50</f>
        <v>-1955986.228639619</v>
      </c>
      <c r="AM51" s="55">
        <f>AM49-AM50</f>
        <v>-1152897.1887000001</v>
      </c>
      <c r="AN51" s="55">
        <f>AN49-AN50</f>
        <v>0</v>
      </c>
      <c r="AW51" s="187"/>
      <c r="AX51" s="187"/>
      <c r="AY51" s="187"/>
      <c r="AZ51" s="187"/>
      <c r="BA51" s="187"/>
      <c r="BB51" s="187"/>
      <c r="BC51" s="187"/>
      <c r="BD51" s="187"/>
      <c r="FV51" s="1"/>
    </row>
    <row r="52" spans="1:178" ht="15.75" thickTop="1" x14ac:dyDescent="0.25">
      <c r="A52" s="15">
        <f t="shared" si="5"/>
        <v>40</v>
      </c>
      <c r="B52" s="288" t="s">
        <v>552</v>
      </c>
      <c r="AW52" s="187"/>
      <c r="AX52" s="187"/>
      <c r="AY52" s="187"/>
      <c r="AZ52" s="187"/>
      <c r="BA52" s="187"/>
      <c r="BB52" s="187"/>
      <c r="BC52" s="187"/>
      <c r="BD52" s="187"/>
      <c r="FV52" s="1"/>
    </row>
    <row r="53" spans="1:178" ht="15" x14ac:dyDescent="0.25">
      <c r="A53" s="15">
        <f t="shared" si="5"/>
        <v>41</v>
      </c>
      <c r="B53" s="288" t="s">
        <v>553</v>
      </c>
      <c r="AW53" s="187"/>
      <c r="AX53" s="187"/>
      <c r="AY53" s="187"/>
      <c r="AZ53" s="187"/>
      <c r="BA53" s="187"/>
      <c r="BB53" s="187"/>
      <c r="BC53" s="187"/>
      <c r="BD53" s="187"/>
      <c r="FV53" s="1"/>
    </row>
    <row r="54" spans="1:178" ht="15" x14ac:dyDescent="0.25">
      <c r="A54" s="15"/>
      <c r="AW54" s="187"/>
      <c r="AX54" s="187"/>
      <c r="AY54" s="187"/>
      <c r="AZ54" s="187"/>
      <c r="BA54" s="187"/>
      <c r="BB54" s="187"/>
      <c r="BC54" s="187"/>
      <c r="BD54" s="187"/>
      <c r="FV54" s="1"/>
    </row>
    <row r="55" spans="1:178" ht="15" x14ac:dyDescent="0.25">
      <c r="I55" s="15"/>
      <c r="AW55" s="187"/>
      <c r="AX55" s="187"/>
      <c r="AY55" s="187"/>
      <c r="AZ55" s="187"/>
      <c r="BA55" s="187"/>
      <c r="BB55" s="187"/>
      <c r="BC55" s="187"/>
      <c r="BD55" s="187"/>
      <c r="FV55" s="1"/>
    </row>
    <row r="56" spans="1:178" ht="15" x14ac:dyDescent="0.25">
      <c r="I56" s="15"/>
      <c r="AW56" s="187"/>
      <c r="AX56" s="187"/>
      <c r="AY56" s="187"/>
      <c r="AZ56" s="187"/>
      <c r="BA56" s="187"/>
      <c r="BB56" s="187"/>
      <c r="BC56" s="187"/>
      <c r="BD56" s="187"/>
      <c r="FV56" s="1"/>
    </row>
    <row r="57" spans="1:178" ht="15" x14ac:dyDescent="0.25">
      <c r="I57" s="15"/>
      <c r="AW57" s="187"/>
      <c r="AX57" s="187"/>
      <c r="AY57" s="187"/>
      <c r="AZ57" s="187"/>
      <c r="BA57" s="187"/>
      <c r="BB57" s="187"/>
      <c r="BC57" s="187"/>
      <c r="BD57" s="187"/>
      <c r="CS57" s="83"/>
      <c r="FV57" s="1"/>
    </row>
    <row r="58" spans="1:178" ht="15" x14ac:dyDescent="0.25">
      <c r="I58" s="15"/>
      <c r="AW58" s="187"/>
      <c r="AX58" s="187"/>
      <c r="AY58" s="187"/>
      <c r="AZ58" s="187"/>
      <c r="BA58" s="187"/>
      <c r="BB58" s="187"/>
      <c r="BC58" s="187"/>
      <c r="BD58" s="187"/>
      <c r="CS58" s="83"/>
      <c r="FV58" s="1"/>
    </row>
    <row r="59" spans="1:178" ht="15" x14ac:dyDescent="0.25">
      <c r="I59" s="15"/>
      <c r="AW59" s="187"/>
      <c r="AX59" s="187"/>
      <c r="AY59" s="187"/>
      <c r="AZ59" s="187"/>
      <c r="BA59" s="187"/>
      <c r="BB59" s="187"/>
      <c r="BC59" s="187"/>
      <c r="BD59" s="187"/>
      <c r="FV59" s="1"/>
    </row>
    <row r="60" spans="1:178" x14ac:dyDescent="0.2">
      <c r="I60" s="15"/>
      <c r="AW60" s="187"/>
      <c r="AX60" s="187"/>
      <c r="AY60" s="187"/>
      <c r="AZ60" s="187"/>
      <c r="BA60" s="187"/>
      <c r="BB60" s="187"/>
      <c r="BC60" s="187"/>
      <c r="BD60" s="187"/>
    </row>
    <row r="61" spans="1:178" x14ac:dyDescent="0.2">
      <c r="I61" s="15"/>
      <c r="AW61" s="187"/>
      <c r="AX61" s="187"/>
      <c r="AY61" s="187"/>
      <c r="AZ61" s="187"/>
      <c r="BA61" s="187"/>
      <c r="BB61" s="187"/>
      <c r="BC61" s="187"/>
      <c r="BD61" s="187"/>
    </row>
    <row r="62" spans="1:178" x14ac:dyDescent="0.2">
      <c r="I62" s="15"/>
      <c r="AW62" s="187"/>
      <c r="AX62" s="187"/>
      <c r="AY62" s="187"/>
      <c r="AZ62" s="187"/>
      <c r="BA62" s="187"/>
      <c r="BB62" s="187"/>
      <c r="BC62" s="187"/>
      <c r="BD62" s="187"/>
    </row>
    <row r="63" spans="1:178" x14ac:dyDescent="0.2">
      <c r="AW63" s="187"/>
      <c r="AX63" s="187"/>
      <c r="AY63" s="187"/>
      <c r="AZ63" s="187"/>
      <c r="BA63" s="187"/>
      <c r="BB63" s="187"/>
      <c r="BC63" s="187"/>
      <c r="BD63" s="187"/>
    </row>
    <row r="73" spans="4:4" x14ac:dyDescent="0.2">
      <c r="D73" s="866"/>
    </row>
    <row r="101" spans="1:8" x14ac:dyDescent="0.2">
      <c r="A101" s="144"/>
      <c r="B101" s="144"/>
      <c r="C101" s="144"/>
      <c r="D101" s="144"/>
      <c r="E101" s="144"/>
      <c r="F101" s="144"/>
      <c r="G101" s="144"/>
      <c r="H101" s="144"/>
    </row>
    <row r="102" spans="1:8" x14ac:dyDescent="0.2">
      <c r="A102" s="139"/>
      <c r="B102" s="139"/>
      <c r="C102" s="139"/>
      <c r="D102" s="139"/>
      <c r="E102" s="139"/>
      <c r="F102" s="139"/>
      <c r="G102" s="139"/>
      <c r="H102" s="139"/>
    </row>
    <row r="103" spans="1:8" x14ac:dyDescent="0.2">
      <c r="A103" s="66"/>
      <c r="B103" s="66"/>
      <c r="C103" s="66"/>
      <c r="D103" s="66"/>
      <c r="E103" s="66"/>
      <c r="F103" s="66"/>
      <c r="G103" s="66"/>
      <c r="H103" s="66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19" priority="3" operator="equal">
      <formula>0</formula>
    </cfRule>
    <cfRule type="cellIs" dxfId="18" priority="4" operator="notEqual">
      <formula>0</formula>
    </cfRule>
  </conditionalFormatting>
  <conditionalFormatting sqref="HY1:IF1">
    <cfRule type="cellIs" dxfId="17" priority="1" operator="equal">
      <formula>0</formula>
    </cfRule>
    <cfRule type="cellIs" dxfId="16" priority="2" operator="notEqual">
      <formula>0</formula>
    </cfRule>
  </conditionalFormatting>
  <pageMargins left="0.7" right="0.45" top="0.75" bottom="0.75" header="0.3" footer="0.3"/>
  <pageSetup scale="60" orientation="portrait" r:id="rId1"/>
  <colBreaks count="6" manualBreakCount="6">
    <brk id="16" min="4" max="53" man="1"/>
    <brk id="24" min="4" max="53" man="1"/>
    <brk id="32" min="4" max="53" man="1"/>
    <brk id="192" min="4" max="53" man="1"/>
    <brk id="224" min="4" max="53" man="1"/>
    <brk id="232" min="4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B1:I100"/>
  <sheetViews>
    <sheetView zoomScale="85" zoomScaleNormal="85" workbookViewId="0">
      <selection activeCell="Q45" sqref="Q45"/>
    </sheetView>
  </sheetViews>
  <sheetFormatPr defaultRowHeight="15" outlineLevelCol="1" x14ac:dyDescent="0.25"/>
  <cols>
    <col min="1" max="1" width="4.28515625" customWidth="1"/>
    <col min="2" max="2" width="15" customWidth="1"/>
    <col min="3" max="3" width="12.5703125" customWidth="1" outlineLevel="1"/>
    <col min="4" max="4" width="11.5703125" customWidth="1" outlineLevel="1"/>
    <col min="5" max="5" width="12.5703125" customWidth="1" outlineLevel="1"/>
    <col min="6" max="6" width="11.5703125" bestFit="1" customWidth="1" outlineLevel="1"/>
    <col min="7" max="7" width="21.85546875" style="756" bestFit="1" customWidth="1"/>
    <col min="8" max="8" width="9.85546875" style="756" bestFit="1" customWidth="1"/>
    <col min="9" max="9" width="19.7109375" style="756" bestFit="1" customWidth="1"/>
    <col min="21" max="32" width="9" customWidth="1"/>
  </cols>
  <sheetData>
    <row r="1" spans="2:9" x14ac:dyDescent="0.25">
      <c r="B1" s="613" t="s">
        <v>857</v>
      </c>
    </row>
    <row r="2" spans="2:9" x14ac:dyDescent="0.25">
      <c r="B2" s="613" t="s">
        <v>856</v>
      </c>
    </row>
    <row r="3" spans="2:9" x14ac:dyDescent="0.25">
      <c r="B3" s="613"/>
    </row>
    <row r="4" spans="2:9" x14ac:dyDescent="0.25">
      <c r="B4" s="613"/>
    </row>
    <row r="5" spans="2:9" x14ac:dyDescent="0.25">
      <c r="C5" s="919" t="s">
        <v>855</v>
      </c>
      <c r="D5" s="920"/>
      <c r="E5" s="921"/>
    </row>
    <row r="6" spans="2:9" x14ac:dyDescent="0.25">
      <c r="C6" s="760">
        <v>25300071</v>
      </c>
      <c r="D6" s="760">
        <v>25400261</v>
      </c>
      <c r="E6" s="759" t="s">
        <v>418</v>
      </c>
      <c r="G6" s="758" t="s">
        <v>851</v>
      </c>
      <c r="H6" s="758" t="s">
        <v>854</v>
      </c>
      <c r="I6" s="758" t="s">
        <v>853</v>
      </c>
    </row>
    <row r="7" spans="2:9" x14ac:dyDescent="0.25">
      <c r="B7" s="614">
        <v>2016</v>
      </c>
      <c r="C7" s="756">
        <v>197205295</v>
      </c>
      <c r="D7" s="756">
        <v>93615823</v>
      </c>
      <c r="E7" s="756">
        <f>SUM(C7:D7)</f>
        <v>290821118</v>
      </c>
      <c r="G7" s="756">
        <f>E7*0.65</f>
        <v>189033726.70000002</v>
      </c>
      <c r="H7" s="757">
        <v>0.35</v>
      </c>
      <c r="I7" s="756">
        <f>G7/0.65</f>
        <v>290821118</v>
      </c>
    </row>
    <row r="8" spans="2:9" x14ac:dyDescent="0.25">
      <c r="B8" s="614">
        <v>2017</v>
      </c>
      <c r="C8" s="756">
        <v>143874194</v>
      </c>
      <c r="D8" s="756">
        <v>93615823</v>
      </c>
      <c r="E8" s="756">
        <f>SUM(C8:D8)</f>
        <v>237490017</v>
      </c>
      <c r="F8" s="491"/>
      <c r="G8" s="756">
        <f>E8*0.79</f>
        <v>187617113.43000001</v>
      </c>
      <c r="H8" s="757">
        <v>0.21</v>
      </c>
      <c r="I8" s="756">
        <f>G8/0.79</f>
        <v>237490017</v>
      </c>
    </row>
    <row r="9" spans="2:9" x14ac:dyDescent="0.25">
      <c r="B9" s="614">
        <v>2018</v>
      </c>
      <c r="C9" s="756">
        <v>60328609</v>
      </c>
      <c r="D9" s="756">
        <v>93615823</v>
      </c>
      <c r="E9" s="756">
        <f>SUM(C9:D9)</f>
        <v>153944432</v>
      </c>
      <c r="F9" s="491"/>
      <c r="G9" s="756">
        <f>E9*0.79</f>
        <v>121616101.28</v>
      </c>
      <c r="H9" s="757">
        <v>0.21</v>
      </c>
      <c r="I9" s="756">
        <f>G9/0.79</f>
        <v>153944432</v>
      </c>
    </row>
    <row r="10" spans="2:9" x14ac:dyDescent="0.25">
      <c r="B10" s="614" t="s">
        <v>852</v>
      </c>
      <c r="C10" s="756">
        <v>24858901</v>
      </c>
      <c r="D10" s="756">
        <v>93615823</v>
      </c>
      <c r="E10" s="756">
        <f>SUM(C10:D10)</f>
        <v>118474724</v>
      </c>
      <c r="G10" s="756">
        <f>E10*0.79</f>
        <v>93595031.960000008</v>
      </c>
      <c r="H10" s="757">
        <v>0.21</v>
      </c>
      <c r="I10" s="756">
        <f>G10/0.79</f>
        <v>118474724</v>
      </c>
    </row>
    <row r="11" spans="2:9" x14ac:dyDescent="0.25">
      <c r="B11" s="614"/>
    </row>
    <row r="25" ht="9" customHeight="1" x14ac:dyDescent="0.25"/>
    <row r="27" ht="8.25" customHeight="1" x14ac:dyDescent="0.25"/>
    <row r="30" ht="9" customHeight="1" x14ac:dyDescent="0.25"/>
    <row r="35" ht="9" customHeight="1" x14ac:dyDescent="0.25"/>
    <row r="40" ht="9" customHeight="1" x14ac:dyDescent="0.25"/>
    <row r="45" ht="9" customHeight="1" x14ac:dyDescent="0.25"/>
    <row r="47" ht="9" customHeight="1" x14ac:dyDescent="0.25"/>
    <row r="49" ht="9" customHeight="1" x14ac:dyDescent="0.25"/>
    <row r="53" ht="9" customHeight="1" x14ac:dyDescent="0.25"/>
    <row r="55" ht="10.5" customHeight="1" x14ac:dyDescent="0.25"/>
    <row r="59" ht="10.5" customHeight="1" x14ac:dyDescent="0.25"/>
    <row r="61" ht="10.5" customHeight="1" x14ac:dyDescent="0.25"/>
    <row r="63" ht="10.5" customHeight="1" x14ac:dyDescent="0.25"/>
    <row r="65" ht="10.5" customHeight="1" x14ac:dyDescent="0.25"/>
    <row r="68" ht="10.5" customHeight="1" x14ac:dyDescent="0.25"/>
    <row r="73" ht="10.5" customHeight="1" x14ac:dyDescent="0.25"/>
    <row r="77" ht="10.5" customHeight="1" x14ac:dyDescent="0.25"/>
    <row r="80" ht="10.5" customHeight="1" x14ac:dyDescent="0.25"/>
    <row r="82" ht="10.5" customHeight="1" x14ac:dyDescent="0.25"/>
    <row r="85" ht="10.5" customHeight="1" x14ac:dyDescent="0.25"/>
    <row r="88" ht="10.5" customHeight="1" x14ac:dyDescent="0.25"/>
    <row r="91" ht="9.75" customHeight="1" x14ac:dyDescent="0.25"/>
    <row r="94" ht="9.75" customHeight="1" x14ac:dyDescent="0.25"/>
    <row r="96" ht="9.75" customHeight="1" x14ac:dyDescent="0.25"/>
    <row r="98" ht="9.75" customHeight="1" x14ac:dyDescent="0.25"/>
    <row r="100" ht="9.75" customHeight="1" x14ac:dyDescent="0.25"/>
  </sheetData>
  <mergeCells count="1">
    <mergeCell ref="C5:E5"/>
  </mergeCells>
  <phoneticPr fontId="52" type="noConversion"/>
  <pageMargins left="0.7" right="0.7" top="0.7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FF33"/>
    <pageSetUpPr fitToPage="1"/>
  </sheetPr>
  <dimension ref="A1:U64"/>
  <sheetViews>
    <sheetView zoomScale="85" zoomScaleNormal="85" workbookViewId="0">
      <pane xSplit="1" ySplit="6" topLeftCell="B7" activePane="bottomRight" state="frozenSplit"/>
      <selection activeCell="AT80" sqref="AT80"/>
      <selection pane="topRight" activeCell="AT80" sqref="AT80"/>
      <selection pane="bottomLeft" activeCell="AT80" sqref="AT80"/>
      <selection pane="bottomRight" activeCell="D1" sqref="D1"/>
    </sheetView>
  </sheetViews>
  <sheetFormatPr defaultRowHeight="15" outlineLevelRow="1" x14ac:dyDescent="0.25"/>
  <cols>
    <col min="1" max="1" width="71.28515625" bestFit="1" customWidth="1"/>
    <col min="2" max="2" width="9.140625" customWidth="1"/>
    <col min="3" max="3" width="13.42578125" customWidth="1"/>
    <col min="4" max="4" width="12.28515625" bestFit="1" customWidth="1"/>
    <col min="5" max="5" width="13.5703125" bestFit="1" customWidth="1"/>
    <col min="6" max="6" width="13.42578125" bestFit="1" customWidth="1"/>
    <col min="7" max="7" width="16" bestFit="1" customWidth="1"/>
    <col min="8" max="8" width="13.7109375" bestFit="1" customWidth="1"/>
    <col min="9" max="9" width="13.7109375" customWidth="1"/>
    <col min="10" max="10" width="10.5703125" bestFit="1" customWidth="1"/>
    <col min="11" max="11" width="13.42578125" bestFit="1" customWidth="1"/>
    <col min="12" max="12" width="12.28515625" bestFit="1" customWidth="1"/>
    <col min="13" max="13" width="11.5703125" bestFit="1" customWidth="1"/>
    <col min="14" max="14" width="13.42578125" bestFit="1" customWidth="1"/>
    <col min="15" max="15" width="11.5703125" bestFit="1" customWidth="1"/>
    <col min="16" max="16" width="13.42578125" bestFit="1" customWidth="1"/>
    <col min="17" max="17" width="12.28515625" bestFit="1" customWidth="1"/>
    <col min="18" max="18" width="13.5703125" bestFit="1" customWidth="1"/>
    <col min="19" max="19" width="12.5703125" bestFit="1" customWidth="1"/>
    <col min="20" max="20" width="13.42578125" bestFit="1" customWidth="1"/>
    <col min="21" max="21" width="15.28515625" bestFit="1" customWidth="1"/>
  </cols>
  <sheetData>
    <row r="1" spans="1:11" ht="18.75" x14ac:dyDescent="0.3">
      <c r="A1" s="706" t="s">
        <v>796</v>
      </c>
      <c r="D1" s="615">
        <f>+'COC, Def, ConvF'!H14</f>
        <v>7.4300000000000005E-2</v>
      </c>
      <c r="H1" s="691">
        <f>+H2-1</f>
        <v>1.4578070656687148E-2</v>
      </c>
    </row>
    <row r="2" spans="1:11" x14ac:dyDescent="0.25">
      <c r="D2" s="615">
        <f>+'COC, Def, ConvF'!H12</f>
        <v>2.87E-2</v>
      </c>
      <c r="H2" s="665">
        <f>+'[48]RJA-3_Electric_Attrition'!$M$115</f>
        <v>1.0145780706566871</v>
      </c>
      <c r="I2" s="690"/>
    </row>
    <row r="3" spans="1:11" x14ac:dyDescent="0.25">
      <c r="D3" s="668">
        <f>+'COC, Def, ConvF'!L19</f>
        <v>0.21</v>
      </c>
      <c r="G3" s="614">
        <f>D4</f>
        <v>0.75138099999999997</v>
      </c>
      <c r="H3" s="660" t="s">
        <v>768</v>
      </c>
      <c r="I3" s="704"/>
    </row>
    <row r="4" spans="1:11" x14ac:dyDescent="0.25">
      <c r="B4" s="667"/>
      <c r="D4">
        <f>+'COC, Def, ConvF'!M20</f>
        <v>0.75138099999999997</v>
      </c>
      <c r="F4" s="666">
        <f>+[48]Electric_OM!$D$31</f>
        <v>2.5146037645821018E-2</v>
      </c>
      <c r="G4" s="614">
        <f>+'COC, Def, ConvF'!M18</f>
        <v>0.95111500000000004</v>
      </c>
      <c r="H4" s="660" t="s">
        <v>764</v>
      </c>
      <c r="I4" s="705" t="s">
        <v>793</v>
      </c>
      <c r="J4" s="665"/>
    </row>
    <row r="5" spans="1:11" x14ac:dyDescent="0.25">
      <c r="B5" s="660" t="s">
        <v>782</v>
      </c>
      <c r="C5" s="660" t="s">
        <v>743</v>
      </c>
      <c r="E5" s="660" t="s">
        <v>800</v>
      </c>
      <c r="F5" s="660" t="s">
        <v>770</v>
      </c>
      <c r="G5" s="660" t="s">
        <v>769</v>
      </c>
      <c r="H5" s="660" t="s">
        <v>780</v>
      </c>
      <c r="I5" s="660" t="s">
        <v>794</v>
      </c>
      <c r="J5" s="660"/>
    </row>
    <row r="6" spans="1:11" x14ac:dyDescent="0.25">
      <c r="A6" s="660" t="s">
        <v>122</v>
      </c>
      <c r="B6" s="660" t="s">
        <v>783</v>
      </c>
      <c r="C6" s="660" t="s">
        <v>767</v>
      </c>
      <c r="D6" s="660" t="s">
        <v>766</v>
      </c>
      <c r="E6" s="660" t="s">
        <v>801</v>
      </c>
      <c r="F6" s="660" t="s">
        <v>765</v>
      </c>
      <c r="G6" s="660" t="s">
        <v>697</v>
      </c>
      <c r="H6" s="660" t="s">
        <v>781</v>
      </c>
      <c r="I6" s="660" t="s">
        <v>795</v>
      </c>
      <c r="J6" s="660"/>
    </row>
    <row r="7" spans="1:11" x14ac:dyDescent="0.25">
      <c r="A7" s="660"/>
      <c r="B7" s="660"/>
      <c r="C7" s="660"/>
      <c r="D7" s="660"/>
      <c r="E7" s="660"/>
      <c r="F7" s="660"/>
      <c r="G7" s="660"/>
      <c r="H7" s="660"/>
      <c r="I7" s="660"/>
      <c r="J7" s="660"/>
    </row>
    <row r="8" spans="1:11" x14ac:dyDescent="0.25">
      <c r="A8" s="707" t="s">
        <v>792</v>
      </c>
      <c r="B8" s="708"/>
      <c r="C8" s="708"/>
      <c r="D8" s="708"/>
      <c r="E8" s="708"/>
      <c r="F8" s="708"/>
      <c r="G8" s="708"/>
      <c r="H8" s="708"/>
      <c r="I8" s="716">
        <f>'COC, Def, ConvF'!AL36</f>
        <v>139881758.88943172</v>
      </c>
      <c r="J8" s="660"/>
    </row>
    <row r="9" spans="1:11" x14ac:dyDescent="0.25">
      <c r="A9" s="697"/>
      <c r="B9" s="660"/>
      <c r="C9" s="660"/>
      <c r="D9" s="660"/>
      <c r="E9" s="660"/>
      <c r="F9" s="660"/>
      <c r="G9" s="660"/>
      <c r="H9" s="660"/>
      <c r="I9" s="698"/>
      <c r="J9" s="660"/>
    </row>
    <row r="10" spans="1:11" x14ac:dyDescent="0.25">
      <c r="A10" s="707" t="s">
        <v>790</v>
      </c>
      <c r="B10" s="709"/>
      <c r="C10" s="709"/>
      <c r="D10" s="709"/>
      <c r="E10" s="709"/>
      <c r="F10" s="709"/>
      <c r="G10" s="709"/>
      <c r="H10" s="709"/>
      <c r="I10" s="710"/>
      <c r="J10" s="660"/>
    </row>
    <row r="11" spans="1:11" x14ac:dyDescent="0.25">
      <c r="A11" s="699" t="s">
        <v>757</v>
      </c>
      <c r="B11" s="693" t="s">
        <v>784</v>
      </c>
      <c r="C11" s="659">
        <f>C37</f>
        <v>-23391891.903797138</v>
      </c>
      <c r="D11" s="657">
        <f>-(C11*$D$1-C11*$D$2*$D$3)</f>
        <v>1597034.6359479423</v>
      </c>
      <c r="E11" s="670">
        <f>E37</f>
        <v>-11519133.519036409</v>
      </c>
      <c r="F11" s="659">
        <f>F37</f>
        <v>-328317.35936691333</v>
      </c>
      <c r="G11" s="659">
        <f>-D11/$G$3+SUM(E11:F11)/$G$4</f>
        <v>-14581846.890384141</v>
      </c>
      <c r="H11" s="659">
        <f t="shared" ref="H11:H17" si="0">G11-G11/$H$2</f>
        <v>-209520.78545855358</v>
      </c>
      <c r="I11" s="659">
        <f>+G11-H11</f>
        <v>-14372326.104925588</v>
      </c>
      <c r="J11" s="659"/>
      <c r="K11" s="659"/>
    </row>
    <row r="12" spans="1:11" x14ac:dyDescent="0.25">
      <c r="A12" s="699" t="s">
        <v>763</v>
      </c>
      <c r="B12" s="693" t="s">
        <v>784</v>
      </c>
      <c r="C12" s="657"/>
      <c r="D12" s="657">
        <f t="shared" ref="D12:D15" si="1">-(C12*$D$1-C12*$D$2*$D$3)</f>
        <v>0</v>
      </c>
      <c r="E12" s="669">
        <f>+'BGM-9 (2) Detailed Summary'!BF38</f>
        <v>13521271.800000004</v>
      </c>
      <c r="F12" s="689" t="s">
        <v>720</v>
      </c>
      <c r="G12" s="657">
        <f>SUM(E12:F12)/$G$4</f>
        <v>14216232.316807119</v>
      </c>
      <c r="H12" s="657">
        <f t="shared" si="0"/>
        <v>204267.41438650899</v>
      </c>
      <c r="I12" s="657">
        <f t="shared" ref="I12:I16" si="2">+G12-H12</f>
        <v>14011964.90242061</v>
      </c>
      <c r="J12" s="657"/>
      <c r="K12" s="657"/>
    </row>
    <row r="13" spans="1:11" x14ac:dyDescent="0.25">
      <c r="A13" s="699" t="s">
        <v>762</v>
      </c>
      <c r="B13" s="693" t="s">
        <v>784</v>
      </c>
      <c r="C13" s="657"/>
      <c r="D13" s="657">
        <f t="shared" si="1"/>
        <v>0</v>
      </c>
      <c r="E13" s="669">
        <f>+'BGM-9 (2) Detailed Summary'!AT39</f>
        <v>-3533963.9933333327</v>
      </c>
      <c r="F13" s="657">
        <f>E13*(1+$F$4)^(28/12)-E13</f>
        <v>-210837.84155729506</v>
      </c>
      <c r="G13" s="657">
        <f>SUM(E13:F13)/$G$4</f>
        <v>-3937275.5501602096</v>
      </c>
      <c r="H13" s="657">
        <f t="shared" si="0"/>
        <v>-56573.153732695617</v>
      </c>
      <c r="I13" s="657">
        <f t="shared" si="2"/>
        <v>-3880702.396427514</v>
      </c>
      <c r="J13" s="657"/>
      <c r="K13" s="657"/>
    </row>
    <row r="14" spans="1:11" x14ac:dyDescent="0.25">
      <c r="A14" s="699" t="s">
        <v>791</v>
      </c>
      <c r="B14" s="693" t="s">
        <v>784</v>
      </c>
      <c r="C14" s="657"/>
      <c r="D14" s="657">
        <f t="shared" si="1"/>
        <v>0</v>
      </c>
      <c r="E14" s="669">
        <f>+'BGM-9 (2) Detailed Summary'!AU39</f>
        <v>152047.66032121028</v>
      </c>
      <c r="F14" s="657">
        <f>E14*(1+$F$4)^(28/12)-E14</f>
        <v>9071.2300907523895</v>
      </c>
      <c r="G14" s="657">
        <f>SUM(E14:F14)/$G$4</f>
        <v>169400.00989571467</v>
      </c>
      <c r="H14" s="657">
        <f t="shared" si="0"/>
        <v>2434.0416818834201</v>
      </c>
      <c r="I14" s="657">
        <f t="shared" si="2"/>
        <v>166965.96821383125</v>
      </c>
      <c r="J14" s="657"/>
      <c r="K14" s="657"/>
    </row>
    <row r="15" spans="1:11" x14ac:dyDescent="0.25">
      <c r="A15" s="699" t="s">
        <v>761</v>
      </c>
      <c r="B15" s="693" t="s">
        <v>784</v>
      </c>
      <c r="C15" s="657"/>
      <c r="D15" s="657">
        <f t="shared" si="1"/>
        <v>0</v>
      </c>
      <c r="E15" s="669">
        <f>+'BGM-9 (2) Detailed Summary'!AZ43</f>
        <v>-9006372.2399999984</v>
      </c>
      <c r="F15" s="689" t="s">
        <v>720</v>
      </c>
      <c r="G15" s="657">
        <f>SUM(E15:F15)/$G$3</f>
        <v>-11986425.315519022</v>
      </c>
      <c r="H15" s="657">
        <f t="shared" si="0"/>
        <v>-172228.20029772632</v>
      </c>
      <c r="I15" s="657">
        <f t="shared" si="2"/>
        <v>-11814197.115221296</v>
      </c>
      <c r="J15" s="657"/>
      <c r="K15" s="657"/>
    </row>
    <row r="16" spans="1:11" x14ac:dyDescent="0.25">
      <c r="A16" s="717" t="s">
        <v>798</v>
      </c>
      <c r="B16" s="718" t="s">
        <v>784</v>
      </c>
      <c r="C16" s="720">
        <f>C42</f>
        <v>7441899.5418886635</v>
      </c>
      <c r="D16" s="720">
        <f>-(C16*$D$1-C16*$D$2*$D$3)</f>
        <v>-508080.80742336472</v>
      </c>
      <c r="E16" s="719">
        <f>E42</f>
        <v>4868445.0880221995</v>
      </c>
      <c r="F16" s="720">
        <f>F42</f>
        <v>290453.56886351295</v>
      </c>
      <c r="G16" s="720">
        <f>-D16/$G$3+SUM(E16:F16)/$G$4</f>
        <v>6100249.4872389697</v>
      </c>
      <c r="H16" s="720">
        <f t="shared" si="0"/>
        <v>87652.069979029708</v>
      </c>
      <c r="I16" s="720">
        <f t="shared" si="2"/>
        <v>6012597.4172599399</v>
      </c>
      <c r="J16" s="657"/>
      <c r="K16" s="657"/>
    </row>
    <row r="17" spans="1:12" x14ac:dyDescent="0.25">
      <c r="A17" s="717" t="s">
        <v>799</v>
      </c>
      <c r="B17" s="718" t="s">
        <v>784</v>
      </c>
      <c r="C17" s="720">
        <f>C47</f>
        <v>7271615.4386227587</v>
      </c>
      <c r="D17" s="720">
        <f>-(C17*$D$1-C17*$D$2*$D$3)</f>
        <v>-496455.00084109162</v>
      </c>
      <c r="E17" s="719">
        <f>E47</f>
        <v>3681830.6018343112</v>
      </c>
      <c r="F17" s="720">
        <f>F47</f>
        <v>219659.62826297665</v>
      </c>
      <c r="G17" s="720">
        <f>-D17/$G$3+SUM(E17:F17)/$G$4</f>
        <v>4762740.7372831507</v>
      </c>
      <c r="H17" s="720">
        <f t="shared" si="0"/>
        <v>68433.936229920946</v>
      </c>
      <c r="I17" s="720">
        <f t="shared" ref="I17" si="3">+G17-H17</f>
        <v>4694306.8010532297</v>
      </c>
      <c r="J17" s="657"/>
      <c r="K17" s="657"/>
    </row>
    <row r="18" spans="1:12" x14ac:dyDescent="0.25">
      <c r="A18" s="711" t="s">
        <v>797</v>
      </c>
      <c r="B18" s="712"/>
      <c r="C18" s="713"/>
      <c r="D18" s="713"/>
      <c r="E18" s="713"/>
      <c r="F18" s="714"/>
      <c r="G18" s="713"/>
      <c r="H18" s="715"/>
      <c r="I18" s="713"/>
      <c r="J18" s="657"/>
      <c r="K18" s="657"/>
    </row>
    <row r="19" spans="1:12" x14ac:dyDescent="0.25">
      <c r="A19" s="699" t="s">
        <v>779</v>
      </c>
      <c r="B19" s="693" t="s">
        <v>784</v>
      </c>
      <c r="C19" s="657"/>
      <c r="D19" s="657"/>
      <c r="E19" s="669">
        <f>-Rllfwd!H12</f>
        <v>516507.1969486773</v>
      </c>
      <c r="F19" s="689" t="s">
        <v>720</v>
      </c>
      <c r="G19" s="657">
        <f>SUM(E19:F19)/$G$3</f>
        <v>687410.51071118028</v>
      </c>
      <c r="H19" s="689" t="s">
        <v>720</v>
      </c>
      <c r="I19" s="657">
        <f t="shared" ref="I19" si="4">SUM(G19:H19)</f>
        <v>687410.51071118028</v>
      </c>
      <c r="J19" s="657"/>
      <c r="K19" s="657"/>
    </row>
    <row r="20" spans="1:12" x14ac:dyDescent="0.25">
      <c r="A20" s="711" t="s">
        <v>788</v>
      </c>
      <c r="B20" s="712"/>
      <c r="C20" s="713"/>
      <c r="D20" s="713"/>
      <c r="E20" s="713"/>
      <c r="F20" s="714"/>
      <c r="G20" s="713"/>
      <c r="H20" s="715"/>
      <c r="I20" s="713"/>
      <c r="J20" s="657"/>
      <c r="K20" s="657"/>
    </row>
    <row r="21" spans="1:12" x14ac:dyDescent="0.25">
      <c r="A21" s="711" t="s">
        <v>789</v>
      </c>
      <c r="B21" s="712"/>
      <c r="C21" s="713"/>
      <c r="D21" s="713"/>
      <c r="E21" s="713"/>
      <c r="F21" s="714"/>
      <c r="G21" s="713"/>
      <c r="H21" s="715"/>
      <c r="I21" s="713"/>
      <c r="J21" s="657"/>
      <c r="K21" s="657"/>
    </row>
    <row r="22" spans="1:12" x14ac:dyDescent="0.25">
      <c r="A22" s="700" t="s">
        <v>777</v>
      </c>
      <c r="B22" s="694" t="s">
        <v>785</v>
      </c>
      <c r="C22" s="659">
        <f>+'[11]Lead E'!$D$24</f>
        <v>-211404.37544425417</v>
      </c>
      <c r="D22" s="657">
        <f>-(C22*$D$1-C22*$D$2*$D$3)</f>
        <v>14433.210924705567</v>
      </c>
      <c r="E22" s="669"/>
      <c r="F22" s="689" t="s">
        <v>720</v>
      </c>
      <c r="G22" s="657">
        <f>-D22/$G$3+SUM(E22:F22)/$G$4</f>
        <v>-19208.911224406216</v>
      </c>
      <c r="H22" s="689" t="s">
        <v>720</v>
      </c>
      <c r="I22" s="657">
        <f>SUM(G22:H22)</f>
        <v>-19208.911224406216</v>
      </c>
      <c r="J22" s="657"/>
    </row>
    <row r="23" spans="1:12" x14ac:dyDescent="0.25">
      <c r="A23" s="700" t="s">
        <v>778</v>
      </c>
      <c r="B23" s="694" t="s">
        <v>785</v>
      </c>
      <c r="C23" s="657"/>
      <c r="D23" s="657">
        <f>-(C23*$D$1-C23*$D$2*$D$3)</f>
        <v>0</v>
      </c>
      <c r="E23" s="669">
        <f>-'[49]Elec Lead '!$Q$38</f>
        <v>76439.133800666779</v>
      </c>
      <c r="F23" s="689" t="s">
        <v>720</v>
      </c>
      <c r="G23" s="657">
        <f>SUM(E23:F23)/$G$3</f>
        <v>101731.52342242721</v>
      </c>
      <c r="H23" s="689" t="s">
        <v>720</v>
      </c>
      <c r="I23" s="657">
        <f t="shared" ref="I23" si="5">SUM(G23:H23)</f>
        <v>101731.52342242721</v>
      </c>
      <c r="J23" s="657"/>
    </row>
    <row r="24" spans="1:12" x14ac:dyDescent="0.25">
      <c r="A24" s="711" t="s">
        <v>787</v>
      </c>
      <c r="B24" s="712"/>
      <c r="C24" s="713"/>
      <c r="D24" s="713"/>
      <c r="E24" s="713"/>
      <c r="F24" s="713"/>
      <c r="G24" s="713"/>
      <c r="H24" s="714"/>
      <c r="I24" s="713"/>
      <c r="J24" s="657"/>
    </row>
    <row r="25" spans="1:12" x14ac:dyDescent="0.25">
      <c r="A25" s="700" t="s">
        <v>777</v>
      </c>
      <c r="B25" s="694" t="s">
        <v>785</v>
      </c>
      <c r="C25" s="657">
        <f t="shared" ref="C25:E26" si="6">-C22</f>
        <v>211404.37544425417</v>
      </c>
      <c r="D25" s="657">
        <f t="shared" si="6"/>
        <v>-14433.210924705567</v>
      </c>
      <c r="E25" s="669">
        <f t="shared" si="6"/>
        <v>0</v>
      </c>
      <c r="F25" s="657"/>
      <c r="G25" s="657">
        <f>-G22</f>
        <v>19208.911224406216</v>
      </c>
      <c r="H25" s="689"/>
      <c r="I25" s="657">
        <f>-I22</f>
        <v>19208.911224406216</v>
      </c>
      <c r="J25" s="657"/>
    </row>
    <row r="26" spans="1:12" x14ac:dyDescent="0.25">
      <c r="A26" s="700" t="s">
        <v>778</v>
      </c>
      <c r="B26" s="694" t="s">
        <v>785</v>
      </c>
      <c r="C26" s="657">
        <f t="shared" si="6"/>
        <v>0</v>
      </c>
      <c r="D26" s="657">
        <f t="shared" si="6"/>
        <v>0</v>
      </c>
      <c r="E26" s="669">
        <f t="shared" si="6"/>
        <v>-76439.133800666779</v>
      </c>
      <c r="F26" s="657"/>
      <c r="G26" s="657">
        <f>-G23</f>
        <v>-101731.52342242721</v>
      </c>
      <c r="H26" s="689"/>
      <c r="I26" s="657">
        <f>-I23</f>
        <v>-101731.52342242721</v>
      </c>
      <c r="J26" s="657"/>
    </row>
    <row r="27" spans="1:12" x14ac:dyDescent="0.25">
      <c r="A27" s="701" t="s">
        <v>760</v>
      </c>
      <c r="B27" s="663"/>
      <c r="C27" s="664">
        <f t="shared" ref="C27:I27" si="7">SUM(C11:C26)</f>
        <v>-8678376.9232857153</v>
      </c>
      <c r="D27" s="664">
        <f t="shared" si="7"/>
        <v>592498.82768348581</v>
      </c>
      <c r="E27" s="664">
        <f t="shared" si="7"/>
        <v>-1319367.4052433372</v>
      </c>
      <c r="F27" s="664">
        <f t="shared" si="7"/>
        <v>-19970.773706966429</v>
      </c>
      <c r="G27" s="664">
        <f t="shared" si="7"/>
        <v>-4569514.6941272384</v>
      </c>
      <c r="H27" s="664">
        <f t="shared" si="7"/>
        <v>-75534.677211632457</v>
      </c>
      <c r="I27" s="664">
        <f t="shared" si="7"/>
        <v>-4493980.0169156063</v>
      </c>
      <c r="J27" s="686"/>
      <c r="L27" s="628"/>
    </row>
    <row r="28" spans="1:12" x14ac:dyDescent="0.25">
      <c r="A28" s="701" t="s">
        <v>759</v>
      </c>
      <c r="B28" s="663"/>
      <c r="C28" s="660"/>
      <c r="D28" s="660"/>
      <c r="E28" s="660"/>
      <c r="F28" s="660"/>
      <c r="G28" s="660"/>
      <c r="I28" s="657">
        <f>+'COC, Def, ConvF'!AM34</f>
        <v>277688.40021622181</v>
      </c>
      <c r="J28" s="657"/>
    </row>
    <row r="29" spans="1:12" ht="15.75" thickBot="1" x14ac:dyDescent="0.3">
      <c r="A29" s="662" t="s">
        <v>758</v>
      </c>
      <c r="B29" s="662"/>
      <c r="C29" s="660"/>
      <c r="D29" s="660"/>
      <c r="E29" s="660"/>
      <c r="F29" s="660"/>
      <c r="G29" s="660"/>
      <c r="I29" s="661">
        <f>SUM(I27:I28)</f>
        <v>-4216291.6166993845</v>
      </c>
      <c r="J29" s="687"/>
    </row>
    <row r="30" spans="1:12" ht="15.75" thickTop="1" x14ac:dyDescent="0.25">
      <c r="A30" s="660"/>
      <c r="B30" s="660"/>
      <c r="C30" s="660"/>
      <c r="D30" s="660"/>
      <c r="E30" s="660"/>
      <c r="F30" s="660"/>
      <c r="G30" s="660"/>
      <c r="I30" s="660"/>
      <c r="J30" s="660"/>
    </row>
    <row r="31" spans="1:12" x14ac:dyDescent="0.25">
      <c r="A31" s="707" t="s">
        <v>786</v>
      </c>
      <c r="B31" s="709"/>
      <c r="C31" s="709"/>
      <c r="D31" s="709"/>
      <c r="E31" s="709"/>
      <c r="F31" s="709"/>
      <c r="G31" s="709"/>
      <c r="H31" s="709"/>
      <c r="I31" s="716">
        <f>I8+I29</f>
        <v>135665467.27273232</v>
      </c>
      <c r="J31" s="685">
        <f>'COC, Def, ConvF'!C36-I31</f>
        <v>4216291.6166993976</v>
      </c>
      <c r="K31" s="628" t="s">
        <v>774</v>
      </c>
    </row>
    <row r="32" spans="1:12" outlineLevel="1" x14ac:dyDescent="0.25"/>
    <row r="33" spans="1:10" outlineLevel="1" x14ac:dyDescent="0.25">
      <c r="A33" t="s">
        <v>775</v>
      </c>
      <c r="I33" s="659"/>
      <c r="J33" s="659"/>
    </row>
    <row r="34" spans="1:10" outlineLevel="1" x14ac:dyDescent="0.25">
      <c r="A34" s="658" t="s">
        <v>756</v>
      </c>
      <c r="B34" s="658"/>
      <c r="C34" s="659"/>
      <c r="D34" s="659">
        <v>0</v>
      </c>
      <c r="E34" s="670">
        <f>+'BGM-9 (2) Detailed Summary'!BG38</f>
        <v>-6016033.5165937655</v>
      </c>
      <c r="F34" s="659">
        <v>0</v>
      </c>
      <c r="G34" s="659">
        <f>SUM(E34:F34)/$G$4</f>
        <v>-6325243.0217100615</v>
      </c>
      <c r="H34" s="659">
        <f>G34/$H$2</f>
        <v>-6234358.1087023085</v>
      </c>
      <c r="I34" s="657"/>
      <c r="J34" s="657"/>
    </row>
    <row r="35" spans="1:10" outlineLevel="1" x14ac:dyDescent="0.25">
      <c r="A35" s="658" t="s">
        <v>755</v>
      </c>
      <c r="B35" s="658"/>
      <c r="C35" s="657"/>
      <c r="D35" s="657"/>
      <c r="E35" s="669">
        <f>+'BGM-9 (2) Detailed Summary'!BG39</f>
        <v>-5503100.002442643</v>
      </c>
      <c r="F35" s="657">
        <f>E35*(1+$F$4)^(28/12)-E35</f>
        <v>-328317.35936691333</v>
      </c>
      <c r="G35" s="657">
        <f>SUM(E35:F35)/$G$4</f>
        <v>-6131138.0451465454</v>
      </c>
      <c r="H35" s="657">
        <f>G35/$H$2</f>
        <v>-6043042.1497067809</v>
      </c>
      <c r="I35" s="657"/>
      <c r="J35" s="657"/>
    </row>
    <row r="36" spans="1:10" outlineLevel="1" x14ac:dyDescent="0.25">
      <c r="A36" s="658" t="s">
        <v>743</v>
      </c>
      <c r="B36" s="658"/>
      <c r="C36" s="657">
        <f>+'[50]Exh p1'!$O$59</f>
        <v>-23391891.903797138</v>
      </c>
      <c r="D36" s="657">
        <f>C36*$D$1-C36*$D$2*$D$3</f>
        <v>-1597034.6359479423</v>
      </c>
      <c r="E36" s="657">
        <v>0</v>
      </c>
      <c r="F36" s="657">
        <v>0</v>
      </c>
      <c r="G36" s="657">
        <f>D36/$G$3</f>
        <v>-2125465.8235275345</v>
      </c>
      <c r="H36" s="657">
        <f>G36/$H$2</f>
        <v>-2094925.846516497</v>
      </c>
      <c r="I36" s="688"/>
      <c r="J36" s="688"/>
    </row>
    <row r="37" spans="1:10" ht="15.75" outlineLevel="1" thickBot="1" x14ac:dyDescent="0.3">
      <c r="A37" t="s">
        <v>754</v>
      </c>
      <c r="C37" s="656">
        <f t="shared" ref="C37:H37" si="8">SUM(C34:C36)</f>
        <v>-23391891.903797138</v>
      </c>
      <c r="D37" s="656">
        <f t="shared" si="8"/>
        <v>-1597034.6359479423</v>
      </c>
      <c r="E37" s="656">
        <f t="shared" si="8"/>
        <v>-11519133.519036409</v>
      </c>
      <c r="F37" s="656">
        <f t="shared" si="8"/>
        <v>-328317.35936691333</v>
      </c>
      <c r="G37" s="656">
        <f t="shared" si="8"/>
        <v>-14581846.890384141</v>
      </c>
      <c r="H37" s="656">
        <f t="shared" si="8"/>
        <v>-14372326.104925588</v>
      </c>
      <c r="I37" s="655"/>
      <c r="J37" s="655"/>
    </row>
    <row r="38" spans="1:10" ht="15.75" outlineLevel="1" thickTop="1" x14ac:dyDescent="0.25">
      <c r="C38" s="688"/>
      <c r="D38" s="688"/>
      <c r="E38" s="688"/>
      <c r="F38" s="688"/>
      <c r="G38" s="688"/>
      <c r="H38" s="688"/>
      <c r="I38" s="655"/>
      <c r="J38" s="655"/>
    </row>
    <row r="39" spans="1:10" outlineLevel="1" x14ac:dyDescent="0.25">
      <c r="A39" s="721" t="s">
        <v>802</v>
      </c>
      <c r="C39" s="722"/>
      <c r="D39" s="722"/>
      <c r="E39" s="722"/>
      <c r="F39" s="722"/>
      <c r="G39" s="722"/>
      <c r="H39" s="722"/>
      <c r="I39" s="723"/>
      <c r="J39" s="655"/>
    </row>
    <row r="40" spans="1:10" outlineLevel="1" x14ac:dyDescent="0.25">
      <c r="A40" s="717" t="s">
        <v>755</v>
      </c>
      <c r="C40" s="722">
        <v>0</v>
      </c>
      <c r="D40" s="722">
        <v>0</v>
      </c>
      <c r="E40" s="722">
        <f>'BGM-9 (2) Detailed Summary'!AV39</f>
        <v>4868445.0880221995</v>
      </c>
      <c r="F40" s="722">
        <f>E40*(1+$F$4)^(28/12)-E40</f>
        <v>290453.56886351295</v>
      </c>
      <c r="G40" s="722">
        <f>SUM(E40:F40)/$G$4</f>
        <v>5424053.5128619699</v>
      </c>
      <c r="H40" s="722">
        <f>G40/$H$2</f>
        <v>5346117.4351533568</v>
      </c>
      <c r="I40" s="723"/>
      <c r="J40" s="655"/>
    </row>
    <row r="41" spans="1:10" outlineLevel="1" x14ac:dyDescent="0.25">
      <c r="A41" s="717" t="s">
        <v>743</v>
      </c>
      <c r="C41" s="722">
        <f>'BGM-9 (3) Common Adj'!FS24</f>
        <v>7441899.5418886635</v>
      </c>
      <c r="D41" s="722">
        <f>-(C41*$D$1-C41*$D$2*$D$3)</f>
        <v>-508080.80742336472</v>
      </c>
      <c r="E41" s="722">
        <v>0</v>
      </c>
      <c r="F41" s="722">
        <v>0</v>
      </c>
      <c r="G41" s="722">
        <f>-D41/$G$3</f>
        <v>676195.97437700012</v>
      </c>
      <c r="H41" s="722">
        <f>G41/$H$2</f>
        <v>666479.98210658273</v>
      </c>
      <c r="I41" s="723"/>
      <c r="J41" s="655"/>
    </row>
    <row r="42" spans="1:10" ht="15.75" outlineLevel="1" thickBot="1" x14ac:dyDescent="0.3">
      <c r="A42" s="628" t="s">
        <v>803</v>
      </c>
      <c r="C42" s="724">
        <f t="shared" ref="C42:H42" si="9">SUM(C40:C41)</f>
        <v>7441899.5418886635</v>
      </c>
      <c r="D42" s="724">
        <f t="shared" si="9"/>
        <v>-508080.80742336472</v>
      </c>
      <c r="E42" s="724">
        <f t="shared" si="9"/>
        <v>4868445.0880221995</v>
      </c>
      <c r="F42" s="724">
        <f t="shared" si="9"/>
        <v>290453.56886351295</v>
      </c>
      <c r="G42" s="724">
        <f t="shared" si="9"/>
        <v>6100249.4872389697</v>
      </c>
      <c r="H42" s="724">
        <f t="shared" si="9"/>
        <v>6012597.417259939</v>
      </c>
      <c r="I42" s="723"/>
      <c r="J42" s="655"/>
    </row>
    <row r="43" spans="1:10" ht="15.75" outlineLevel="1" thickTop="1" x14ac:dyDescent="0.25">
      <c r="C43" s="722"/>
      <c r="D43" s="722"/>
      <c r="E43" s="722"/>
      <c r="F43" s="722"/>
      <c r="G43" s="722"/>
      <c r="H43" s="722"/>
      <c r="I43" s="723"/>
      <c r="J43" s="655"/>
    </row>
    <row r="44" spans="1:10" outlineLevel="1" x14ac:dyDescent="0.25">
      <c r="A44" s="721" t="s">
        <v>809</v>
      </c>
      <c r="C44" s="722"/>
      <c r="D44" s="722"/>
      <c r="E44" s="722"/>
      <c r="F44" s="722"/>
      <c r="G44" s="722"/>
      <c r="H44" s="722"/>
      <c r="I44" s="655"/>
      <c r="J44" s="655"/>
    </row>
    <row r="45" spans="1:10" outlineLevel="1" x14ac:dyDescent="0.25">
      <c r="A45" s="717" t="s">
        <v>755</v>
      </c>
      <c r="C45" s="722">
        <v>0</v>
      </c>
      <c r="D45" s="722">
        <v>0</v>
      </c>
      <c r="E45" s="722">
        <f>'BGM-9 (2) Detailed Summary'!AX39</f>
        <v>3681830.6018343112</v>
      </c>
      <c r="F45" s="722">
        <f>E45*(1+$F$4)^(28/12)-E45</f>
        <v>219659.62826297665</v>
      </c>
      <c r="G45" s="722">
        <f>SUM(E45:F45)/$G$4</f>
        <v>4102017.3481621966</v>
      </c>
      <c r="H45" s="722">
        <f>G45/$H$2</f>
        <v>4043077.0847502742</v>
      </c>
      <c r="I45" s="655"/>
      <c r="J45" s="655"/>
    </row>
    <row r="46" spans="1:10" outlineLevel="1" x14ac:dyDescent="0.25">
      <c r="A46" s="717" t="s">
        <v>743</v>
      </c>
      <c r="C46" s="722">
        <f>'BGM-9 (3) Common Adj'!GI25</f>
        <v>7271615.4386227587</v>
      </c>
      <c r="D46" s="722">
        <f>-(C46*$D$1-C46*$D$2*$D$3)</f>
        <v>-496455.00084109162</v>
      </c>
      <c r="E46" s="722">
        <v>0</v>
      </c>
      <c r="F46" s="722">
        <v>0</v>
      </c>
      <c r="G46" s="722">
        <f>-D46/$G$3</f>
        <v>660723.38912095409</v>
      </c>
      <c r="H46" s="722">
        <f>G46/$H$2</f>
        <v>651229.71630295529</v>
      </c>
      <c r="I46" s="655"/>
      <c r="J46" s="655"/>
    </row>
    <row r="47" spans="1:10" ht="15.75" outlineLevel="1" thickBot="1" x14ac:dyDescent="0.3">
      <c r="A47" s="628" t="s">
        <v>803</v>
      </c>
      <c r="C47" s="724">
        <f t="shared" ref="C47:H47" si="10">SUM(C45:C46)</f>
        <v>7271615.4386227587</v>
      </c>
      <c r="D47" s="724">
        <f t="shared" si="10"/>
        <v>-496455.00084109162</v>
      </c>
      <c r="E47" s="724">
        <f t="shared" si="10"/>
        <v>3681830.6018343112</v>
      </c>
      <c r="F47" s="724">
        <f t="shared" si="10"/>
        <v>219659.62826297665</v>
      </c>
      <c r="G47" s="724">
        <f t="shared" si="10"/>
        <v>4762740.7372831507</v>
      </c>
      <c r="H47" s="724">
        <f t="shared" si="10"/>
        <v>4694306.8010532297</v>
      </c>
      <c r="I47" s="655"/>
      <c r="J47" s="655"/>
    </row>
    <row r="48" spans="1:10" ht="15.75" outlineLevel="1" thickTop="1" x14ac:dyDescent="0.25">
      <c r="C48" s="688"/>
      <c r="D48" s="688"/>
      <c r="E48" s="688"/>
      <c r="F48" s="688"/>
      <c r="G48" s="688"/>
      <c r="H48" s="688"/>
      <c r="I48" s="655"/>
      <c r="J48" s="655"/>
    </row>
    <row r="49" spans="3:21" outlineLevel="1" x14ac:dyDescent="0.25">
      <c r="C49" s="688"/>
      <c r="D49" s="688"/>
      <c r="E49" s="688"/>
      <c r="F49" s="688"/>
      <c r="G49" s="688"/>
      <c r="H49" s="688"/>
      <c r="I49" s="655"/>
      <c r="J49" s="655"/>
    </row>
    <row r="51" spans="3:21" x14ac:dyDescent="0.25">
      <c r="C51" s="659"/>
      <c r="D51" s="659"/>
      <c r="K51" s="696"/>
    </row>
    <row r="52" spans="3:21" x14ac:dyDescent="0.25">
      <c r="K52" s="695"/>
    </row>
    <row r="64" spans="3:21" x14ac:dyDescent="0.25">
      <c r="U64" s="657"/>
    </row>
  </sheetData>
  <pageMargins left="0.7" right="0.7" top="0.75" bottom="0.75" header="0.3" footer="0.3"/>
  <pageSetup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CFF33"/>
  </sheetPr>
  <dimension ref="A1:Q188"/>
  <sheetViews>
    <sheetView zoomScale="85" zoomScaleNormal="85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F9" sqref="F9"/>
    </sheetView>
  </sheetViews>
  <sheetFormatPr defaultRowHeight="15" outlineLevelRow="1" x14ac:dyDescent="0.25"/>
  <cols>
    <col min="1" max="1" width="7.42578125" customWidth="1"/>
    <col min="2" max="2" width="80.140625" customWidth="1"/>
    <col min="3" max="3" width="4.42578125" style="614" customWidth="1"/>
    <col min="4" max="4" width="4.140625" customWidth="1"/>
    <col min="5" max="5" width="16.85546875" bestFit="1" customWidth="1"/>
    <col min="7" max="7" width="15.28515625" bestFit="1" customWidth="1"/>
    <col min="8" max="8" width="13.28515625" bestFit="1" customWidth="1"/>
    <col min="9" max="9" width="12.5703125" bestFit="1" customWidth="1"/>
    <col min="11" max="12" width="14.28515625" bestFit="1" customWidth="1"/>
    <col min="13" max="13" width="14.5703125" bestFit="1" customWidth="1"/>
    <col min="14" max="14" width="12.5703125" bestFit="1" customWidth="1"/>
    <col min="15" max="15" width="9" bestFit="1" customWidth="1"/>
    <col min="16" max="16" width="14" bestFit="1" customWidth="1"/>
    <col min="17" max="17" width="32.5703125" bestFit="1" customWidth="1"/>
    <col min="19" max="19" width="12.28515625" bestFit="1" customWidth="1"/>
  </cols>
  <sheetData>
    <row r="1" spans="1:14" x14ac:dyDescent="0.25">
      <c r="A1" s="613" t="s">
        <v>232</v>
      </c>
    </row>
    <row r="2" spans="1:14" ht="15.75" thickBot="1" x14ac:dyDescent="0.3">
      <c r="A2" s="613" t="s">
        <v>739</v>
      </c>
      <c r="L2" s="615"/>
    </row>
    <row r="3" spans="1:14" ht="15.75" thickBot="1" x14ac:dyDescent="0.3">
      <c r="A3" s="613" t="s">
        <v>740</v>
      </c>
      <c r="E3" s="616">
        <f>E29</f>
        <v>177944498</v>
      </c>
      <c r="G3" s="617">
        <f>G29</f>
        <v>23535594</v>
      </c>
      <c r="H3" s="617">
        <f>H29</f>
        <v>-29769678</v>
      </c>
      <c r="I3" s="617">
        <f>I29</f>
        <v>53305272</v>
      </c>
      <c r="K3" s="617">
        <f>K29</f>
        <v>70943066</v>
      </c>
    </row>
    <row r="4" spans="1:14" x14ac:dyDescent="0.25">
      <c r="A4" s="613"/>
    </row>
    <row r="5" spans="1:14" x14ac:dyDescent="0.25">
      <c r="A5" s="613"/>
      <c r="H5" s="618"/>
      <c r="J5" s="619" t="s">
        <v>741</v>
      </c>
    </row>
    <row r="6" spans="1:14" x14ac:dyDescent="0.25">
      <c r="J6" s="619">
        <f>+'COC, Def, ConvF'!M20</f>
        <v>0.75138099999999997</v>
      </c>
    </row>
    <row r="7" spans="1:14" ht="35.25" x14ac:dyDescent="0.25">
      <c r="A7" s="621" t="s">
        <v>742</v>
      </c>
      <c r="B7" s="621" t="s">
        <v>122</v>
      </c>
      <c r="C7" s="622"/>
      <c r="D7" s="621"/>
      <c r="E7" s="623" t="s">
        <v>743</v>
      </c>
      <c r="F7" s="621" t="s">
        <v>744</v>
      </c>
      <c r="G7" s="621" t="s">
        <v>745</v>
      </c>
      <c r="H7" s="623" t="s">
        <v>194</v>
      </c>
      <c r="I7" s="624" t="s">
        <v>746</v>
      </c>
      <c r="J7" s="625" t="s">
        <v>747</v>
      </c>
      <c r="K7" s="624" t="s">
        <v>748</v>
      </c>
    </row>
    <row r="8" spans="1:14" x14ac:dyDescent="0.25">
      <c r="A8" s="626">
        <f>ROW()</f>
        <v>8</v>
      </c>
      <c r="B8" t="s">
        <v>753</v>
      </c>
      <c r="D8" s="627"/>
      <c r="E8" s="618">
        <v>5428588080.5290194</v>
      </c>
      <c r="F8" s="635">
        <v>7.6200000000000004E-2</v>
      </c>
      <c r="G8" s="618">
        <f>+E8*F8</f>
        <v>413658411.73631132</v>
      </c>
      <c r="H8" s="618">
        <v>335137126.10927796</v>
      </c>
      <c r="I8" s="620">
        <f>+G8-H8</f>
        <v>78521285.627033353</v>
      </c>
      <c r="J8" s="628">
        <f>J6</f>
        <v>0.75138099999999997</v>
      </c>
      <c r="K8" s="618">
        <f>+I8/$J$8</f>
        <v>104502623.33893637</v>
      </c>
    </row>
    <row r="9" spans="1:14" outlineLevel="1" x14ac:dyDescent="0.25">
      <c r="A9" s="626">
        <f>ROW()</f>
        <v>9</v>
      </c>
      <c r="B9" s="632" t="s">
        <v>776</v>
      </c>
      <c r="C9" s="630"/>
      <c r="D9" s="631"/>
      <c r="E9" s="618"/>
      <c r="F9" s="888">
        <f>+'Exh. No. BGM-9 (1)'!AK12</f>
        <v>7.4300000000000005E-2</v>
      </c>
      <c r="G9" s="618">
        <f t="shared" ref="G9:G26" si="0">$F$9*E9</f>
        <v>0</v>
      </c>
      <c r="H9" s="618">
        <v>3201870</v>
      </c>
      <c r="I9" s="620">
        <f t="shared" ref="I9:I27" si="1">+G9-H9</f>
        <v>-3201870</v>
      </c>
      <c r="K9" s="618">
        <f t="shared" ref="K9:K26" si="2">+I9/$J$8</f>
        <v>-4261313.5014060782</v>
      </c>
    </row>
    <row r="10" spans="1:14" outlineLevel="1" x14ac:dyDescent="0.25">
      <c r="A10" s="626">
        <f>ROW()</f>
        <v>10</v>
      </c>
      <c r="B10" s="632" t="s">
        <v>777</v>
      </c>
      <c r="C10" s="630"/>
      <c r="D10" s="631"/>
      <c r="E10" s="618">
        <v>-211404.37544425417</v>
      </c>
      <c r="G10" s="618">
        <f t="shared" si="0"/>
        <v>-15707.345095508086</v>
      </c>
      <c r="H10" s="618">
        <v>-1274</v>
      </c>
      <c r="I10" s="620">
        <f t="shared" si="1"/>
        <v>-14433.345095508086</v>
      </c>
      <c r="K10" s="618">
        <f t="shared" si="2"/>
        <v>-19209.089790010778</v>
      </c>
    </row>
    <row r="11" spans="1:14" outlineLevel="1" x14ac:dyDescent="0.25">
      <c r="A11" s="626">
        <f>ROW()</f>
        <v>11</v>
      </c>
      <c r="B11" s="632" t="s">
        <v>778</v>
      </c>
      <c r="C11" s="630"/>
      <c r="D11" s="631"/>
      <c r="E11" s="618"/>
      <c r="G11" s="618">
        <f t="shared" si="0"/>
        <v>0</v>
      </c>
      <c r="H11" s="618">
        <v>-76439.133800685406</v>
      </c>
      <c r="I11" s="620">
        <f t="shared" si="1"/>
        <v>76439.133800685406</v>
      </c>
      <c r="K11" s="618">
        <f t="shared" si="2"/>
        <v>101731.52342245201</v>
      </c>
    </row>
    <row r="12" spans="1:14" outlineLevel="1" x14ac:dyDescent="0.25">
      <c r="A12" s="626">
        <f>ROW()</f>
        <v>12</v>
      </c>
      <c r="B12" s="632" t="s">
        <v>779</v>
      </c>
      <c r="C12" s="630"/>
      <c r="D12" s="631"/>
      <c r="E12" s="618"/>
      <c r="G12" s="618">
        <f t="shared" si="0"/>
        <v>0</v>
      </c>
      <c r="H12" s="618">
        <v>-516507.1969486773</v>
      </c>
      <c r="I12" s="620">
        <f t="shared" si="1"/>
        <v>516507.1969486773</v>
      </c>
      <c r="K12" s="618">
        <f t="shared" si="2"/>
        <v>687410.51071118028</v>
      </c>
    </row>
    <row r="13" spans="1:14" outlineLevel="1" x14ac:dyDescent="0.25">
      <c r="A13" s="626">
        <f>ROW()</f>
        <v>13</v>
      </c>
      <c r="B13" s="632"/>
      <c r="C13" s="630"/>
      <c r="D13" s="631"/>
      <c r="E13" s="618"/>
      <c r="G13" s="618">
        <f t="shared" si="0"/>
        <v>0</v>
      </c>
      <c r="H13" s="618"/>
      <c r="I13" s="620">
        <f t="shared" si="1"/>
        <v>0</v>
      </c>
      <c r="K13" s="618">
        <f t="shared" si="2"/>
        <v>0</v>
      </c>
    </row>
    <row r="14" spans="1:14" outlineLevel="1" x14ac:dyDescent="0.25">
      <c r="A14" s="626">
        <f>ROW()</f>
        <v>14</v>
      </c>
      <c r="B14" s="632"/>
      <c r="C14" s="630"/>
      <c r="D14" s="631"/>
      <c r="E14" s="618"/>
      <c r="G14" s="618">
        <f t="shared" si="0"/>
        <v>0</v>
      </c>
      <c r="H14" s="618"/>
      <c r="I14" s="620">
        <f t="shared" si="1"/>
        <v>0</v>
      </c>
      <c r="K14" s="618">
        <f t="shared" si="2"/>
        <v>0</v>
      </c>
      <c r="N14" s="620"/>
    </row>
    <row r="15" spans="1:14" outlineLevel="1" x14ac:dyDescent="0.25">
      <c r="A15" s="626">
        <f>ROW()</f>
        <v>15</v>
      </c>
      <c r="B15" s="632"/>
      <c r="C15" s="630"/>
      <c r="D15" s="631"/>
      <c r="E15" s="618"/>
      <c r="G15" s="618">
        <f t="shared" si="0"/>
        <v>0</v>
      </c>
      <c r="H15" s="618"/>
      <c r="I15" s="620">
        <f t="shared" si="1"/>
        <v>0</v>
      </c>
      <c r="K15" s="618">
        <f t="shared" si="2"/>
        <v>0</v>
      </c>
      <c r="N15" s="620"/>
    </row>
    <row r="16" spans="1:14" outlineLevel="1" x14ac:dyDescent="0.25">
      <c r="A16" s="626">
        <f>ROW()</f>
        <v>16</v>
      </c>
      <c r="B16" s="632"/>
      <c r="C16" s="630"/>
      <c r="D16" s="631"/>
      <c r="E16" s="618"/>
      <c r="G16" s="618">
        <f t="shared" si="0"/>
        <v>0</v>
      </c>
      <c r="H16" s="618"/>
      <c r="I16" s="620">
        <f t="shared" si="1"/>
        <v>0</v>
      </c>
      <c r="K16" s="618">
        <f t="shared" si="2"/>
        <v>0</v>
      </c>
      <c r="N16" s="620"/>
    </row>
    <row r="17" spans="1:17" outlineLevel="1" x14ac:dyDescent="0.25">
      <c r="A17" s="626">
        <f>ROW()</f>
        <v>17</v>
      </c>
      <c r="B17" s="632"/>
      <c r="C17" s="630"/>
      <c r="D17" s="631"/>
      <c r="E17" s="618"/>
      <c r="G17" s="618">
        <f t="shared" si="0"/>
        <v>0</v>
      </c>
      <c r="H17" s="618"/>
      <c r="I17" s="620">
        <f t="shared" si="1"/>
        <v>0</v>
      </c>
      <c r="K17" s="618">
        <f t="shared" si="2"/>
        <v>0</v>
      </c>
    </row>
    <row r="18" spans="1:17" outlineLevel="1" x14ac:dyDescent="0.25">
      <c r="A18" s="626">
        <f>ROW()</f>
        <v>18</v>
      </c>
      <c r="B18" s="632"/>
      <c r="C18" s="630"/>
      <c r="D18" s="631"/>
      <c r="E18" s="618"/>
      <c r="G18" s="618">
        <f t="shared" si="0"/>
        <v>0</v>
      </c>
      <c r="H18" s="618"/>
      <c r="I18" s="620">
        <f t="shared" si="1"/>
        <v>0</v>
      </c>
      <c r="K18" s="618">
        <f t="shared" si="2"/>
        <v>0</v>
      </c>
    </row>
    <row r="19" spans="1:17" outlineLevel="1" x14ac:dyDescent="0.25">
      <c r="A19" s="626">
        <f>ROW()</f>
        <v>19</v>
      </c>
      <c r="B19" s="632"/>
      <c r="C19" s="630"/>
      <c r="D19" s="631"/>
      <c r="E19" s="618"/>
      <c r="G19" s="618">
        <f t="shared" si="0"/>
        <v>0</v>
      </c>
      <c r="H19" s="618"/>
      <c r="I19" s="620">
        <f t="shared" si="1"/>
        <v>0</v>
      </c>
      <c r="K19" s="618">
        <f t="shared" si="2"/>
        <v>0</v>
      </c>
    </row>
    <row r="20" spans="1:17" outlineLevel="1" x14ac:dyDescent="0.25">
      <c r="A20" s="626">
        <f>ROW()</f>
        <v>20</v>
      </c>
      <c r="B20" s="632"/>
      <c r="C20" s="630"/>
      <c r="D20" s="631"/>
      <c r="E20" s="618"/>
      <c r="G20" s="618">
        <f t="shared" si="0"/>
        <v>0</v>
      </c>
      <c r="H20" s="618"/>
      <c r="I20" s="620">
        <f t="shared" si="1"/>
        <v>0</v>
      </c>
      <c r="K20" s="618">
        <f t="shared" si="2"/>
        <v>0</v>
      </c>
    </row>
    <row r="21" spans="1:17" outlineLevel="1" x14ac:dyDescent="0.25">
      <c r="A21" s="626">
        <f>ROW()</f>
        <v>21</v>
      </c>
      <c r="B21" s="632"/>
      <c r="C21" s="630"/>
      <c r="D21" s="631"/>
      <c r="E21" s="618"/>
      <c r="G21" s="618">
        <f t="shared" si="0"/>
        <v>0</v>
      </c>
      <c r="H21" s="618"/>
      <c r="I21" s="620">
        <f t="shared" si="1"/>
        <v>0</v>
      </c>
      <c r="K21" s="618">
        <f t="shared" si="2"/>
        <v>0</v>
      </c>
    </row>
    <row r="22" spans="1:17" outlineLevel="1" x14ac:dyDescent="0.25">
      <c r="A22" s="626">
        <f>ROW()</f>
        <v>22</v>
      </c>
      <c r="B22" s="632"/>
      <c r="C22" s="630"/>
      <c r="D22" s="631"/>
      <c r="E22" s="618"/>
      <c r="G22" s="618">
        <f t="shared" si="0"/>
        <v>0</v>
      </c>
      <c r="H22" s="618"/>
      <c r="I22" s="620">
        <f t="shared" si="1"/>
        <v>0</v>
      </c>
      <c r="K22" s="618">
        <f t="shared" si="2"/>
        <v>0</v>
      </c>
    </row>
    <row r="23" spans="1:17" outlineLevel="1" x14ac:dyDescent="0.25">
      <c r="A23" s="626">
        <f>ROW()</f>
        <v>23</v>
      </c>
      <c r="B23" s="632"/>
      <c r="C23" s="630"/>
      <c r="D23" s="631"/>
      <c r="E23" s="618"/>
      <c r="G23" s="618">
        <f t="shared" si="0"/>
        <v>0</v>
      </c>
      <c r="H23" s="618"/>
      <c r="I23" s="620">
        <f t="shared" si="1"/>
        <v>0</v>
      </c>
      <c r="K23" s="618">
        <f t="shared" si="2"/>
        <v>0</v>
      </c>
    </row>
    <row r="24" spans="1:17" outlineLevel="1" x14ac:dyDescent="0.25">
      <c r="A24" s="626">
        <f>ROW()</f>
        <v>24</v>
      </c>
      <c r="B24" s="632"/>
      <c r="C24" s="630"/>
      <c r="D24" s="631"/>
      <c r="E24" s="618"/>
      <c r="G24" s="618">
        <f t="shared" si="0"/>
        <v>0</v>
      </c>
      <c r="H24" s="618"/>
      <c r="I24" s="620">
        <f t="shared" si="1"/>
        <v>0</v>
      </c>
      <c r="K24" s="618">
        <f t="shared" si="2"/>
        <v>0</v>
      </c>
    </row>
    <row r="25" spans="1:17" outlineLevel="1" x14ac:dyDescent="0.25">
      <c r="A25" s="626">
        <f>ROW()</f>
        <v>25</v>
      </c>
      <c r="B25" s="632"/>
      <c r="C25" s="630"/>
      <c r="D25" s="631"/>
      <c r="E25" s="618"/>
      <c r="G25" s="618">
        <f t="shared" si="0"/>
        <v>0</v>
      </c>
      <c r="H25" s="618"/>
      <c r="I25" s="620">
        <f t="shared" si="1"/>
        <v>0</v>
      </c>
      <c r="K25" s="618">
        <f t="shared" si="2"/>
        <v>0</v>
      </c>
    </row>
    <row r="26" spans="1:17" x14ac:dyDescent="0.25">
      <c r="A26" s="626">
        <f>ROW()</f>
        <v>26</v>
      </c>
      <c r="B26" t="s">
        <v>749</v>
      </c>
      <c r="E26" s="618"/>
      <c r="G26" s="618">
        <f t="shared" si="0"/>
        <v>0</v>
      </c>
      <c r="H26" s="618"/>
      <c r="I26" s="620">
        <f t="shared" si="1"/>
        <v>0</v>
      </c>
      <c r="K26" s="618">
        <f t="shared" si="2"/>
        <v>0</v>
      </c>
      <c r="L26" s="614"/>
    </row>
    <row r="27" spans="1:17" x14ac:dyDescent="0.25">
      <c r="A27" s="637"/>
      <c r="B27" s="638" t="s">
        <v>750</v>
      </c>
      <c r="C27" s="639"/>
      <c r="D27" s="638"/>
      <c r="E27" s="640">
        <f>SUM(E8:E26)</f>
        <v>5428376676.1535749</v>
      </c>
      <c r="F27" s="638"/>
      <c r="G27" s="640">
        <f>SUM(G8:G26)</f>
        <v>413642704.3912158</v>
      </c>
      <c r="H27" s="640">
        <f>SUM(H8:H26)</f>
        <v>337744775.77852857</v>
      </c>
      <c r="I27" s="641">
        <f t="shared" si="1"/>
        <v>75897928.61268723</v>
      </c>
      <c r="J27" s="638"/>
      <c r="K27" s="640">
        <f>SUM(K8:K26)</f>
        <v>101011242.78187391</v>
      </c>
      <c r="L27" s="614" t="str">
        <f>IF(K27&gt;0,"&lt;==DEFICIENCY","&lt;==SURPLUS")</f>
        <v>&lt;==DEFICIENCY</v>
      </c>
    </row>
    <row r="28" spans="1:17" x14ac:dyDescent="0.25">
      <c r="A28" s="626"/>
      <c r="B28" t="s">
        <v>751</v>
      </c>
      <c r="E28" s="618">
        <f>+'COC, Def, ConvF'!C12</f>
        <v>5250432178.1150761</v>
      </c>
      <c r="G28" s="618">
        <f>+'COC, Def, ConvF'!C15</f>
        <v>390107110.83395016</v>
      </c>
      <c r="H28" s="618">
        <f>+'COC, Def, ConvF'!C17</f>
        <v>367514453.73527145</v>
      </c>
      <c r="I28" s="618">
        <f>+'COC, Def, ConvF'!C18</f>
        <v>22592657.098678708</v>
      </c>
      <c r="J28" s="618"/>
      <c r="K28" s="618">
        <f>+'COC, Def, ConvF'!C21</f>
        <v>30068177</v>
      </c>
      <c r="M28" s="642"/>
    </row>
    <row r="29" spans="1:17" x14ac:dyDescent="0.25">
      <c r="A29" s="626"/>
      <c r="B29" t="s">
        <v>752</v>
      </c>
      <c r="E29" s="703">
        <f>ROUND(E27-E28,0)</f>
        <v>177944498</v>
      </c>
      <c r="G29" s="703">
        <f t="shared" ref="G29:K29" si="3">ROUND(G27-G28,0)</f>
        <v>23535594</v>
      </c>
      <c r="H29" s="703">
        <f t="shared" si="3"/>
        <v>-29769678</v>
      </c>
      <c r="I29" s="703">
        <f t="shared" si="3"/>
        <v>53305272</v>
      </c>
      <c r="K29" s="703">
        <f t="shared" si="3"/>
        <v>70943066</v>
      </c>
      <c r="P29" s="632"/>
      <c r="Q29" s="632"/>
    </row>
    <row r="30" spans="1:17" s="632" customFormat="1" x14ac:dyDescent="0.25">
      <c r="A30" s="626"/>
      <c r="C30" s="633"/>
      <c r="E30" s="629"/>
      <c r="G30" s="629"/>
      <c r="H30" s="629"/>
      <c r="I30" s="629"/>
      <c r="K30" s="643"/>
      <c r="L30" s="644"/>
      <c r="P30"/>
      <c r="Q30"/>
    </row>
    <row r="31" spans="1:17" x14ac:dyDescent="0.25">
      <c r="A31" s="626"/>
      <c r="I31" s="632"/>
      <c r="J31" s="632"/>
      <c r="K31" s="645"/>
      <c r="L31" s="634"/>
      <c r="M31" s="632"/>
      <c r="N31" s="632"/>
    </row>
    <row r="32" spans="1:17" x14ac:dyDescent="0.25">
      <c r="A32" s="626"/>
      <c r="E32" s="636"/>
      <c r="I32" s="632"/>
      <c r="J32" s="632"/>
      <c r="K32" s="645"/>
      <c r="L32" s="646"/>
      <c r="M32" s="632"/>
      <c r="N32" s="632"/>
    </row>
    <row r="33" spans="1:14" x14ac:dyDescent="0.25">
      <c r="A33" s="626"/>
      <c r="I33" s="632"/>
      <c r="J33" s="632"/>
      <c r="K33" s="645"/>
      <c r="L33" s="646"/>
      <c r="M33" s="632"/>
      <c r="N33" s="632"/>
    </row>
    <row r="34" spans="1:14" x14ac:dyDescent="0.25">
      <c r="A34" s="626"/>
      <c r="I34" s="632"/>
      <c r="J34" s="632"/>
      <c r="K34" s="647"/>
      <c r="L34" s="646"/>
      <c r="M34" s="632"/>
      <c r="N34" s="632"/>
    </row>
    <row r="35" spans="1:14" x14ac:dyDescent="0.25">
      <c r="A35" s="626"/>
      <c r="I35" s="632"/>
      <c r="J35" s="632"/>
      <c r="K35" s="632"/>
      <c r="L35" s="648"/>
      <c r="M35" s="648"/>
      <c r="N35" s="648"/>
    </row>
    <row r="36" spans="1:14" x14ac:dyDescent="0.25">
      <c r="A36" s="626"/>
      <c r="I36" s="632"/>
      <c r="J36" s="649"/>
      <c r="K36" s="650"/>
      <c r="L36" s="651"/>
      <c r="M36" s="651"/>
      <c r="N36" s="652"/>
    </row>
    <row r="37" spans="1:14" x14ac:dyDescent="0.25">
      <c r="A37" s="626"/>
      <c r="I37" s="632"/>
      <c r="J37" s="632"/>
      <c r="K37" s="632"/>
      <c r="L37" s="632"/>
      <c r="M37" s="632"/>
      <c r="N37" s="632"/>
    </row>
    <row r="38" spans="1:14" x14ac:dyDescent="0.25">
      <c r="A38" s="626"/>
      <c r="I38" s="632"/>
      <c r="J38" s="632"/>
      <c r="K38" s="632"/>
      <c r="L38" s="634"/>
      <c r="M38" s="653"/>
      <c r="N38" s="634"/>
    </row>
    <row r="39" spans="1:14" x14ac:dyDescent="0.25">
      <c r="A39" s="626"/>
      <c r="I39" s="632"/>
      <c r="J39" s="632"/>
      <c r="K39" s="632"/>
      <c r="L39" s="634"/>
      <c r="M39" s="634"/>
      <c r="N39" s="634"/>
    </row>
    <row r="40" spans="1:14" x14ac:dyDescent="0.25">
      <c r="A40" s="626"/>
      <c r="I40" s="632"/>
      <c r="J40" s="632"/>
      <c r="K40" s="632"/>
      <c r="L40" s="634"/>
      <c r="M40" s="634"/>
      <c r="N40" s="632"/>
    </row>
    <row r="41" spans="1:14" x14ac:dyDescent="0.25">
      <c r="A41" s="626"/>
      <c r="I41" s="632"/>
      <c r="J41" s="632"/>
      <c r="K41" s="632"/>
      <c r="L41" s="632"/>
      <c r="M41" s="632"/>
      <c r="N41" s="632"/>
    </row>
    <row r="42" spans="1:14" x14ac:dyDescent="0.25">
      <c r="A42" s="626"/>
      <c r="I42" s="632"/>
      <c r="J42" s="632"/>
      <c r="K42" s="632"/>
      <c r="L42" s="632"/>
      <c r="M42" s="632"/>
      <c r="N42" s="632"/>
    </row>
    <row r="43" spans="1:14" x14ac:dyDescent="0.25">
      <c r="A43" s="626"/>
      <c r="I43" s="654"/>
      <c r="J43" s="649"/>
      <c r="K43" s="650"/>
      <c r="L43" s="651"/>
      <c r="M43" s="651"/>
      <c r="N43" s="652"/>
    </row>
    <row r="44" spans="1:14" x14ac:dyDescent="0.25">
      <c r="A44" s="626"/>
      <c r="I44" s="632"/>
      <c r="J44" s="632"/>
      <c r="K44" s="654"/>
      <c r="L44" s="634"/>
      <c r="M44" s="634"/>
      <c r="N44" s="634"/>
    </row>
    <row r="45" spans="1:14" x14ac:dyDescent="0.25">
      <c r="A45" s="626"/>
      <c r="I45" s="632"/>
      <c r="J45" s="632"/>
      <c r="K45" s="632"/>
      <c r="L45" s="632"/>
      <c r="M45" s="632"/>
      <c r="N45" s="632"/>
    </row>
    <row r="46" spans="1:14" x14ac:dyDescent="0.25">
      <c r="A46" s="626"/>
    </row>
    <row r="47" spans="1:14" x14ac:dyDescent="0.25">
      <c r="A47" s="626"/>
    </row>
    <row r="48" spans="1:14" x14ac:dyDescent="0.25">
      <c r="A48" s="626"/>
    </row>
    <row r="49" spans="1:1" x14ac:dyDescent="0.25">
      <c r="A49" s="626"/>
    </row>
    <row r="50" spans="1:1" x14ac:dyDescent="0.25">
      <c r="A50" s="626"/>
    </row>
    <row r="51" spans="1:1" x14ac:dyDescent="0.25">
      <c r="A51" s="626"/>
    </row>
    <row r="52" spans="1:1" x14ac:dyDescent="0.25">
      <c r="A52" s="626"/>
    </row>
    <row r="53" spans="1:1" x14ac:dyDescent="0.25">
      <c r="A53" s="626"/>
    </row>
    <row r="54" spans="1:1" x14ac:dyDescent="0.25">
      <c r="A54" s="626"/>
    </row>
    <row r="55" spans="1:1" x14ac:dyDescent="0.25">
      <c r="A55" s="626"/>
    </row>
    <row r="56" spans="1:1" x14ac:dyDescent="0.25">
      <c r="A56" s="626"/>
    </row>
    <row r="57" spans="1:1" x14ac:dyDescent="0.25">
      <c r="A57" s="626"/>
    </row>
    <row r="58" spans="1:1" x14ac:dyDescent="0.25">
      <c r="A58" s="626"/>
    </row>
    <row r="59" spans="1:1" x14ac:dyDescent="0.25">
      <c r="A59" s="626"/>
    </row>
    <row r="60" spans="1:1" x14ac:dyDescent="0.25">
      <c r="A60" s="626"/>
    </row>
    <row r="61" spans="1:1" x14ac:dyDescent="0.25">
      <c r="A61" s="626"/>
    </row>
    <row r="62" spans="1:1" x14ac:dyDescent="0.25">
      <c r="A62" s="626"/>
    </row>
    <row r="63" spans="1:1" x14ac:dyDescent="0.25">
      <c r="A63" s="626"/>
    </row>
    <row r="64" spans="1:1" x14ac:dyDescent="0.25">
      <c r="A64" s="626"/>
    </row>
    <row r="65" spans="1:1" x14ac:dyDescent="0.25">
      <c r="A65" s="626"/>
    </row>
    <row r="66" spans="1:1" x14ac:dyDescent="0.25">
      <c r="A66" s="626"/>
    </row>
    <row r="67" spans="1:1" x14ac:dyDescent="0.25">
      <c r="A67" s="626"/>
    </row>
    <row r="68" spans="1:1" x14ac:dyDescent="0.25">
      <c r="A68" s="626"/>
    </row>
    <row r="69" spans="1:1" x14ac:dyDescent="0.25">
      <c r="A69" s="626"/>
    </row>
    <row r="70" spans="1:1" x14ac:dyDescent="0.25">
      <c r="A70" s="626"/>
    </row>
    <row r="71" spans="1:1" x14ac:dyDescent="0.25">
      <c r="A71" s="626"/>
    </row>
    <row r="72" spans="1:1" x14ac:dyDescent="0.25">
      <c r="A72" s="626"/>
    </row>
    <row r="73" spans="1:1" x14ac:dyDescent="0.25">
      <c r="A73" s="626"/>
    </row>
    <row r="74" spans="1:1" x14ac:dyDescent="0.25">
      <c r="A74" s="626"/>
    </row>
    <row r="75" spans="1:1" x14ac:dyDescent="0.25">
      <c r="A75" s="626"/>
    </row>
    <row r="76" spans="1:1" x14ac:dyDescent="0.25">
      <c r="A76" s="626"/>
    </row>
    <row r="77" spans="1:1" x14ac:dyDescent="0.25">
      <c r="A77" s="626"/>
    </row>
    <row r="78" spans="1:1" x14ac:dyDescent="0.25">
      <c r="A78" s="626"/>
    </row>
    <row r="79" spans="1:1" x14ac:dyDescent="0.25">
      <c r="A79" s="626"/>
    </row>
    <row r="80" spans="1:1" x14ac:dyDescent="0.25">
      <c r="A80" s="626"/>
    </row>
    <row r="81" spans="1:1" x14ac:dyDescent="0.25">
      <c r="A81" s="626"/>
    </row>
    <row r="82" spans="1:1" x14ac:dyDescent="0.25">
      <c r="A82" s="626"/>
    </row>
    <row r="83" spans="1:1" x14ac:dyDescent="0.25">
      <c r="A83" s="626"/>
    </row>
    <row r="84" spans="1:1" x14ac:dyDescent="0.25">
      <c r="A84" s="626"/>
    </row>
    <row r="85" spans="1:1" x14ac:dyDescent="0.25">
      <c r="A85" s="626"/>
    </row>
    <row r="86" spans="1:1" x14ac:dyDescent="0.25">
      <c r="A86" s="626"/>
    </row>
    <row r="87" spans="1:1" x14ac:dyDescent="0.25">
      <c r="A87" s="626"/>
    </row>
    <row r="88" spans="1:1" x14ac:dyDescent="0.25">
      <c r="A88" s="626"/>
    </row>
    <row r="89" spans="1:1" x14ac:dyDescent="0.25">
      <c r="A89" s="626"/>
    </row>
    <row r="90" spans="1:1" x14ac:dyDescent="0.25">
      <c r="A90" s="626"/>
    </row>
    <row r="91" spans="1:1" x14ac:dyDescent="0.25">
      <c r="A91" s="626"/>
    </row>
    <row r="92" spans="1:1" x14ac:dyDescent="0.25">
      <c r="A92" s="626"/>
    </row>
    <row r="93" spans="1:1" x14ac:dyDescent="0.25">
      <c r="A93" s="626"/>
    </row>
    <row r="94" spans="1:1" x14ac:dyDescent="0.25">
      <c r="A94" s="626"/>
    </row>
    <row r="95" spans="1:1" x14ac:dyDescent="0.25">
      <c r="A95" s="626"/>
    </row>
    <row r="96" spans="1:1" x14ac:dyDescent="0.25">
      <c r="A96" s="626"/>
    </row>
    <row r="97" spans="1:1" x14ac:dyDescent="0.25">
      <c r="A97" s="626"/>
    </row>
    <row r="98" spans="1:1" x14ac:dyDescent="0.25">
      <c r="A98" s="626"/>
    </row>
    <row r="99" spans="1:1" x14ac:dyDescent="0.25">
      <c r="A99" s="626"/>
    </row>
    <row r="100" spans="1:1" x14ac:dyDescent="0.25">
      <c r="A100" s="626"/>
    </row>
    <row r="101" spans="1:1" x14ac:dyDescent="0.25">
      <c r="A101" s="626"/>
    </row>
    <row r="102" spans="1:1" x14ac:dyDescent="0.25">
      <c r="A102" s="626"/>
    </row>
    <row r="103" spans="1:1" x14ac:dyDescent="0.25">
      <c r="A103" s="626"/>
    </row>
    <row r="104" spans="1:1" x14ac:dyDescent="0.25">
      <c r="A104" s="626"/>
    </row>
    <row r="105" spans="1:1" x14ac:dyDescent="0.25">
      <c r="A105" s="626"/>
    </row>
    <row r="106" spans="1:1" x14ac:dyDescent="0.25">
      <c r="A106" s="626"/>
    </row>
    <row r="107" spans="1:1" x14ac:dyDescent="0.25">
      <c r="A107" s="626"/>
    </row>
    <row r="108" spans="1:1" x14ac:dyDescent="0.25">
      <c r="A108" s="626"/>
    </row>
    <row r="109" spans="1:1" x14ac:dyDescent="0.25">
      <c r="A109" s="626"/>
    </row>
    <row r="110" spans="1:1" x14ac:dyDescent="0.25">
      <c r="A110" s="626"/>
    </row>
    <row r="111" spans="1:1" x14ac:dyDescent="0.25">
      <c r="A111" s="626"/>
    </row>
    <row r="112" spans="1:1" x14ac:dyDescent="0.25">
      <c r="A112" s="626"/>
    </row>
    <row r="113" spans="1:1" x14ac:dyDescent="0.25">
      <c r="A113" s="626"/>
    </row>
    <row r="114" spans="1:1" x14ac:dyDescent="0.25">
      <c r="A114" s="626"/>
    </row>
    <row r="115" spans="1:1" x14ac:dyDescent="0.25">
      <c r="A115" s="626"/>
    </row>
    <row r="116" spans="1:1" x14ac:dyDescent="0.25">
      <c r="A116" s="626"/>
    </row>
    <row r="117" spans="1:1" x14ac:dyDescent="0.25">
      <c r="A117" s="626"/>
    </row>
    <row r="118" spans="1:1" x14ac:dyDescent="0.25">
      <c r="A118" s="626"/>
    </row>
    <row r="119" spans="1:1" x14ac:dyDescent="0.25">
      <c r="A119" s="626"/>
    </row>
    <row r="120" spans="1:1" x14ac:dyDescent="0.25">
      <c r="A120" s="626"/>
    </row>
    <row r="121" spans="1:1" x14ac:dyDescent="0.25">
      <c r="A121" s="626"/>
    </row>
    <row r="122" spans="1:1" x14ac:dyDescent="0.25">
      <c r="A122" s="626"/>
    </row>
    <row r="123" spans="1:1" x14ac:dyDescent="0.25">
      <c r="A123" s="626"/>
    </row>
    <row r="124" spans="1:1" x14ac:dyDescent="0.25">
      <c r="A124" s="626"/>
    </row>
    <row r="125" spans="1:1" x14ac:dyDescent="0.25">
      <c r="A125" s="626"/>
    </row>
    <row r="126" spans="1:1" x14ac:dyDescent="0.25">
      <c r="A126" s="626"/>
    </row>
    <row r="127" spans="1:1" x14ac:dyDescent="0.25">
      <c r="A127" s="626"/>
    </row>
    <row r="128" spans="1:1" x14ac:dyDescent="0.25">
      <c r="A128" s="626"/>
    </row>
    <row r="129" spans="1:1" x14ac:dyDescent="0.25">
      <c r="A129" s="626"/>
    </row>
    <row r="130" spans="1:1" x14ac:dyDescent="0.25">
      <c r="A130" s="626"/>
    </row>
    <row r="131" spans="1:1" x14ac:dyDescent="0.25">
      <c r="A131" s="626"/>
    </row>
    <row r="132" spans="1:1" x14ac:dyDescent="0.25">
      <c r="A132" s="626"/>
    </row>
    <row r="133" spans="1:1" x14ac:dyDescent="0.25">
      <c r="A133" s="626"/>
    </row>
    <row r="134" spans="1:1" x14ac:dyDescent="0.25">
      <c r="A134" s="626"/>
    </row>
    <row r="135" spans="1:1" x14ac:dyDescent="0.25">
      <c r="A135" s="626"/>
    </row>
    <row r="136" spans="1:1" x14ac:dyDescent="0.25">
      <c r="A136" s="626"/>
    </row>
    <row r="137" spans="1:1" x14ac:dyDescent="0.25">
      <c r="A137" s="626"/>
    </row>
    <row r="138" spans="1:1" x14ac:dyDescent="0.25">
      <c r="A138" s="626"/>
    </row>
    <row r="139" spans="1:1" x14ac:dyDescent="0.25">
      <c r="A139" s="626"/>
    </row>
    <row r="140" spans="1:1" x14ac:dyDescent="0.25">
      <c r="A140" s="626"/>
    </row>
    <row r="141" spans="1:1" x14ac:dyDescent="0.25">
      <c r="A141" s="626"/>
    </row>
    <row r="142" spans="1:1" x14ac:dyDescent="0.25">
      <c r="A142" s="626"/>
    </row>
    <row r="143" spans="1:1" x14ac:dyDescent="0.25">
      <c r="A143" s="626"/>
    </row>
    <row r="144" spans="1:1" x14ac:dyDescent="0.25">
      <c r="A144" s="626"/>
    </row>
    <row r="145" spans="1:1" x14ac:dyDescent="0.25">
      <c r="A145" s="626"/>
    </row>
    <row r="146" spans="1:1" x14ac:dyDescent="0.25">
      <c r="A146" s="626"/>
    </row>
    <row r="147" spans="1:1" x14ac:dyDescent="0.25">
      <c r="A147" s="626"/>
    </row>
    <row r="148" spans="1:1" x14ac:dyDescent="0.25">
      <c r="A148" s="626"/>
    </row>
    <row r="149" spans="1:1" x14ac:dyDescent="0.25">
      <c r="A149" s="626"/>
    </row>
    <row r="150" spans="1:1" x14ac:dyDescent="0.25">
      <c r="A150" s="626"/>
    </row>
    <row r="151" spans="1:1" x14ac:dyDescent="0.25">
      <c r="A151" s="626"/>
    </row>
    <row r="152" spans="1:1" x14ac:dyDescent="0.25">
      <c r="A152" s="626"/>
    </row>
    <row r="153" spans="1:1" x14ac:dyDescent="0.25">
      <c r="A153" s="626"/>
    </row>
    <row r="154" spans="1:1" x14ac:dyDescent="0.25">
      <c r="A154" s="626"/>
    </row>
    <row r="155" spans="1:1" x14ac:dyDescent="0.25">
      <c r="A155" s="626"/>
    </row>
    <row r="156" spans="1:1" x14ac:dyDescent="0.25">
      <c r="A156" s="626"/>
    </row>
    <row r="157" spans="1:1" x14ac:dyDescent="0.25">
      <c r="A157" s="626"/>
    </row>
    <row r="158" spans="1:1" x14ac:dyDescent="0.25">
      <c r="A158" s="626"/>
    </row>
    <row r="159" spans="1:1" x14ac:dyDescent="0.25">
      <c r="A159" s="626"/>
    </row>
    <row r="160" spans="1:1" x14ac:dyDescent="0.25">
      <c r="A160" s="626"/>
    </row>
    <row r="161" spans="1:1" x14ac:dyDescent="0.25">
      <c r="A161" s="626"/>
    </row>
    <row r="162" spans="1:1" x14ac:dyDescent="0.25">
      <c r="A162" s="626"/>
    </row>
    <row r="163" spans="1:1" x14ac:dyDescent="0.25">
      <c r="A163" s="626"/>
    </row>
    <row r="164" spans="1:1" x14ac:dyDescent="0.25">
      <c r="A164" s="626"/>
    </row>
    <row r="165" spans="1:1" x14ac:dyDescent="0.25">
      <c r="A165" s="626"/>
    </row>
    <row r="166" spans="1:1" x14ac:dyDescent="0.25">
      <c r="A166" s="626"/>
    </row>
    <row r="167" spans="1:1" x14ac:dyDescent="0.25">
      <c r="A167" s="626"/>
    </row>
    <row r="168" spans="1:1" x14ac:dyDescent="0.25">
      <c r="A168" s="626"/>
    </row>
    <row r="169" spans="1:1" x14ac:dyDescent="0.25">
      <c r="A169" s="626"/>
    </row>
    <row r="170" spans="1:1" x14ac:dyDescent="0.25">
      <c r="A170" s="626"/>
    </row>
    <row r="171" spans="1:1" x14ac:dyDescent="0.25">
      <c r="A171" s="626"/>
    </row>
    <row r="172" spans="1:1" x14ac:dyDescent="0.25">
      <c r="A172" s="626"/>
    </row>
    <row r="173" spans="1:1" x14ac:dyDescent="0.25">
      <c r="A173" s="626"/>
    </row>
    <row r="174" spans="1:1" x14ac:dyDescent="0.25">
      <c r="A174" s="626"/>
    </row>
    <row r="175" spans="1:1" x14ac:dyDescent="0.25">
      <c r="A175" s="626"/>
    </row>
    <row r="176" spans="1:1" x14ac:dyDescent="0.25">
      <c r="A176" s="626"/>
    </row>
    <row r="177" spans="1:1" x14ac:dyDescent="0.25">
      <c r="A177" s="626"/>
    </row>
    <row r="178" spans="1:1" x14ac:dyDescent="0.25">
      <c r="A178" s="626"/>
    </row>
    <row r="179" spans="1:1" x14ac:dyDescent="0.25">
      <c r="A179" s="626"/>
    </row>
    <row r="180" spans="1:1" x14ac:dyDescent="0.25">
      <c r="A180" s="626"/>
    </row>
    <row r="181" spans="1:1" x14ac:dyDescent="0.25">
      <c r="A181" s="626"/>
    </row>
    <row r="182" spans="1:1" x14ac:dyDescent="0.25">
      <c r="A182" s="626"/>
    </row>
    <row r="183" spans="1:1" x14ac:dyDescent="0.25">
      <c r="A183" s="626"/>
    </row>
    <row r="184" spans="1:1" x14ac:dyDescent="0.25">
      <c r="A184" s="626"/>
    </row>
    <row r="185" spans="1:1" x14ac:dyDescent="0.25">
      <c r="A185" s="626"/>
    </row>
    <row r="186" spans="1:1" x14ac:dyDescent="0.25">
      <c r="A186" s="626"/>
    </row>
    <row r="187" spans="1:1" x14ac:dyDescent="0.25">
      <c r="A187" s="626"/>
    </row>
    <row r="188" spans="1:1" x14ac:dyDescent="0.25">
      <c r="A188" s="626"/>
    </row>
  </sheetData>
  <conditionalFormatting sqref="E3 G3:I3 K3">
    <cfRule type="cellIs" dxfId="15" priority="15" operator="equal">
      <formula>0</formula>
    </cfRule>
    <cfRule type="cellIs" dxfId="14" priority="16" operator="notEqual">
      <formula>0</formula>
    </cfRule>
  </conditionalFormatting>
  <conditionalFormatting sqref="K3">
    <cfRule type="expression" dxfId="13" priority="14">
      <formula>ISERROR($K$3)</formula>
    </cfRule>
  </conditionalFormatting>
  <conditionalFormatting sqref="I3">
    <cfRule type="expression" dxfId="12" priority="13">
      <formula>ISERROR(I3)</formula>
    </cfRule>
  </conditionalFormatting>
  <conditionalFormatting sqref="K3">
    <cfRule type="expression" dxfId="11" priority="12">
      <formula>ISERROR(K3)</formula>
    </cfRule>
  </conditionalFormatting>
  <conditionalFormatting sqref="E3">
    <cfRule type="expression" dxfId="10" priority="11">
      <formula>ISERROR(E3)</formula>
    </cfRule>
  </conditionalFormatting>
  <conditionalFormatting sqref="G3">
    <cfRule type="expression" dxfId="9" priority="10">
      <formula>ISERROR(G3)</formula>
    </cfRule>
  </conditionalFormatting>
  <conditionalFormatting sqref="H3">
    <cfRule type="expression" dxfId="8" priority="9">
      <formula>ISERROR(H3)</formula>
    </cfRule>
  </conditionalFormatting>
  <conditionalFormatting sqref="G3">
    <cfRule type="expression" dxfId="7" priority="8">
      <formula>ISERROR(G3)</formula>
    </cfRule>
  </conditionalFormatting>
  <conditionalFormatting sqref="H3">
    <cfRule type="expression" dxfId="6" priority="7">
      <formula>ISERROR(H3)</formula>
    </cfRule>
  </conditionalFormatting>
  <conditionalFormatting sqref="I3">
    <cfRule type="expression" dxfId="5" priority="6">
      <formula>ISERROR(I3)</formula>
    </cfRule>
  </conditionalFormatting>
  <conditionalFormatting sqref="K3">
    <cfRule type="expression" dxfId="4" priority="5">
      <formula>ISERROR(K3)</formula>
    </cfRule>
  </conditionalFormatting>
  <conditionalFormatting sqref="I3">
    <cfRule type="expression" dxfId="3" priority="4">
      <formula>ISERROR(I3)</formula>
    </cfRule>
  </conditionalFormatting>
  <conditionalFormatting sqref="K3">
    <cfRule type="expression" dxfId="2" priority="3">
      <formula>ISERROR(K3)</formula>
    </cfRule>
  </conditionalFormatting>
  <conditionalFormatting sqref="K3">
    <cfRule type="expression" dxfId="1" priority="2">
      <formula>ISERROR(K3)</formula>
    </cfRule>
  </conditionalFormatting>
  <conditionalFormatting sqref="K3">
    <cfRule type="expression" dxfId="0" priority="1">
      <formula>ISERROR(K3)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96D482-1B31-46EA-B375-6322E392B717}"/>
</file>

<file path=customXml/itemProps2.xml><?xml version="1.0" encoding="utf-8"?>
<ds:datastoreItem xmlns:ds="http://schemas.openxmlformats.org/officeDocument/2006/customXml" ds:itemID="{BF1BB6B9-8C4D-4E1B-A7D0-52A075F1E665}"/>
</file>

<file path=customXml/itemProps3.xml><?xml version="1.0" encoding="utf-8"?>
<ds:datastoreItem xmlns:ds="http://schemas.openxmlformats.org/officeDocument/2006/customXml" ds:itemID="{9911FC69-C6A3-4B33-85E7-C7B6C8063E4B}"/>
</file>

<file path=customXml/itemProps4.xml><?xml version="1.0" encoding="utf-8"?>
<ds:datastoreItem xmlns:ds="http://schemas.openxmlformats.org/officeDocument/2006/customXml" ds:itemID="{1A1DB33E-3201-43EB-A78A-7A5C133EE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51</vt:i4>
      </vt:variant>
    </vt:vector>
  </HeadingPairs>
  <TitlesOfParts>
    <vt:vector size="65" baseType="lpstr">
      <vt:lpstr>Table 1-CA</vt:lpstr>
      <vt:lpstr>Exh. No. BGM-9 (1)</vt:lpstr>
      <vt:lpstr>Exh. No. BGM-9 (1A)</vt:lpstr>
      <vt:lpstr>BGM-9 (2) Detailed Summary</vt:lpstr>
      <vt:lpstr>BGM-9 (4) Electric Adj</vt:lpstr>
      <vt:lpstr>BGM-9 (3) Common Adj</vt:lpstr>
      <vt:lpstr>DR 046</vt:lpstr>
      <vt:lpstr>Impacts</vt:lpstr>
      <vt:lpstr>Rllfwd</vt:lpstr>
      <vt:lpstr>COC, Def, ConvF</vt:lpstr>
      <vt:lpstr>Summary</vt:lpstr>
      <vt:lpstr>COC-Restating</vt:lpstr>
      <vt:lpstr>Power Cost Bridge to A-1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'BGM-9 (2) Detailed Summary'!Print_Area</vt:lpstr>
      <vt:lpstr>'BGM-9 (3) Common Adj'!Print_Area</vt:lpstr>
      <vt:lpstr>'BGM-9 (4) Electric Adj'!Print_Area</vt:lpstr>
      <vt:lpstr>'DR 046'!Print_Area</vt:lpstr>
      <vt:lpstr>'Exh. No. BGM-9 (1)'!Print_Area</vt:lpstr>
      <vt:lpstr>'Exh. No. BGM-9 (1A)'!Print_Area</vt:lpstr>
      <vt:lpstr>Summary!Print_Area</vt:lpstr>
      <vt:lpstr>'BGM-9 (2) Detailed Summary'!Print_Titles</vt:lpstr>
      <vt:lpstr>'Exh. No. BGM-9 (1)'!Print_Titles</vt:lpstr>
      <vt:lpstr>'Exh. No. BGM-9 (1A)'!Print_Titles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mwanalytics</cp:lastModifiedBy>
  <cp:lastPrinted>2020-02-10T15:19:27Z</cp:lastPrinted>
  <dcterms:created xsi:type="dcterms:W3CDTF">2015-07-22T17:29:58Z</dcterms:created>
  <dcterms:modified xsi:type="dcterms:W3CDTF">2020-02-10T16:03:57Z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