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activeX/activeX4.xml" ContentType="application/vnd.ms-office.activeX+xml"/>
  <Override PartName="/xl/activeX/activeX4.bin" ContentType="application/vnd.ms-office.activeX"/>
  <Override PartName="/xl/activeX/activeX1.xml" ContentType="application/vnd.ms-office.activeX+xml"/>
  <Override PartName="/xl/activeX/activeX1.bin" ContentType="application/vnd.ms-office.activeX"/>
  <Override PartName="/xl/externalLinks/externalLink1.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rasmr\AppData\Local\Temp\Workshare\1sw5u332.xas\30\"/>
    </mc:Choice>
  </mc:AlternateContent>
  <xr:revisionPtr revIDLastSave="0" documentId="13_ncr:1_{71B7817C-2569-4A92-B18D-EBAFF6D5C35C}" xr6:coauthVersionLast="41" xr6:coauthVersionMax="41" xr10:uidLastSave="{00000000-0000-0000-0000-000000000000}"/>
  <bookViews>
    <workbookView xWindow="1512" yWindow="1512" windowWidth="15120" windowHeight="8700" xr2:uid="{00000000-000D-0000-FFFF-FFFF00000000}"/>
  </bookViews>
  <sheets>
    <sheet name="2019 Summary - Residential" sheetId="1" r:id="rId1"/>
    <sheet name="2019 Res Avoid Energy Cost" sheetId="2" r:id="rId2"/>
    <sheet name="2019 Res Avoided Capacity Cost" sheetId="3" r:id="rId3"/>
    <sheet name="2019 Cost of Capital" sheetId="5" r:id="rId4"/>
    <sheet name="2019 Yearly Prices" sheetId="6" r:id="rId5"/>
    <sheet name="Sch 91 FlatLoadShapeEnerg" sheetId="7" r:id="rId6"/>
    <sheet name="Baseload Avoided Capacity Calcs" sheetId="10" r:id="rId7"/>
  </sheets>
  <externalReferences>
    <externalReference r:id="rId8"/>
    <externalReference r:id="rId9"/>
    <externalReference r:id="rId10"/>
    <externalReference r:id="rId11"/>
    <externalReference r:id="rId12"/>
  </externalReferences>
  <definedNames>
    <definedName name="_ftn1" localSheetId="6">'Baseload Avoided Capacity Calcs'!#REF!</definedName>
    <definedName name="_ftnref1" localSheetId="6">'Baseload Avoided Capacity Calcs'!#REF!</definedName>
    <definedName name="AvoidedRenewables">'[1]2017 Named Ranges'!$C$7</definedName>
    <definedName name="CapacityCosts">'[1]2017 Named Ranges'!$C$2</definedName>
    <definedName name="CaseDescription">[2]Assumptions!$A$2</definedName>
    <definedName name="MeasureList" localSheetId="2">'[3]Electric EES CE Std Capacity'!#REF!</definedName>
    <definedName name="MeasureList" localSheetId="6">#REF!</definedName>
    <definedName name="MeasureList">'[3]Electric EES CE Std Capacity'!#REF!</definedName>
    <definedName name="PlanningAdjustment">'[1]2017 Named Ranges'!$C$6</definedName>
    <definedName name="PreTaxWACC">[4]Assumptions!$O$24</definedName>
    <definedName name="_xlnm.Print_Area" localSheetId="6">'Baseload Avoided Capacity Calcs'!$B$4:$K$30</definedName>
    <definedName name="_xlnm.Print_Area" localSheetId="5">'Sch 91 FlatLoadShapeEnerg'!$B$4:$P$33</definedName>
    <definedName name="Rate_of_Return" localSheetId="6">'[5]Cost of Capital'!$F$16</definedName>
    <definedName name="Rate_of_Return" localSheetId="5">'[3]Cost of Capital'!$F$16</definedName>
    <definedName name="Rate_of_Return">'2019 Cost of Capital'!$F$16</definedName>
    <definedName name="Title">[2]Assumptions!$A$1</definedName>
    <definedName name="wrn.Customer._.Counts._.Electric." localSheetId="6"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6" hidden="1">{#N/A,#N/A,FALSE,"Pg 6b CustCount_Gas";#N/A,#N/A,FALSE,"QA";#N/A,#N/A,FALSE,"Report";#N/A,#N/A,FALSE,"forecast"}</definedName>
    <definedName name="wrn.Customer._.Counts._.Gas." localSheetId="5" hidden="1">{#N/A,#N/A,FALSE,"Pg 6b CustCount_Gas";#N/A,#N/A,FALSE,"QA";#N/A,#N/A,FALSE,"Report";#N/A,#N/A,FALSE,"forecast"}</definedName>
    <definedName name="wrn.Customer._.Counts._.Gas." hidden="1">{#N/A,#N/A,FALSE,"Pg 6b CustCount_Gas";#N/A,#N/A,FALSE,"QA";#N/A,#N/A,FALSE,"Report";#N/A,#N/A,FALSE,"forecast"}</definedName>
    <definedName name="wrn.Incentive._.Overhead." localSheetId="6" hidden="1">{#N/A,#N/A,FALSE,"Coversheet";#N/A,#N/A,FALSE,"QA"}</definedName>
    <definedName name="wrn.Incentive._.Overhead." localSheetId="5" hidden="1">{#N/A,#N/A,FALSE,"Coversheet";#N/A,#N/A,FALSE,"QA"}</definedName>
    <definedName name="wrn.Incentive._.Overhead." hidden="1">{#N/A,#N/A,FALSE,"Coversheet";#N/A,#N/A,FALSE,"QA"}</definedName>
    <definedName name="wrn.MARGIN_WO_QTR." localSheetId="6" hidden="1">{#N/A,#N/A,FALSE,"Month ";#N/A,#N/A,FALSE,"YTD";#N/A,#N/A,FALSE,"12 mo ended"}</definedName>
    <definedName name="wrn.MARGIN_WO_QTR." localSheetId="5" hidden="1">{#N/A,#N/A,FALSE,"Month ";#N/A,#N/A,FALSE,"YTD";#N/A,#N/A,FALSE,"12 mo ended"}</definedName>
    <definedName name="wrn.MARGIN_WO_QTR." hidden="1">{#N/A,#N/A,FALSE,"Month ";#N/A,#N/A,FALSE,"YTD";#N/A,#N/A,FALSE,"12 mo ended"}</definedName>
    <definedName name="wrn.Municipal._.Reports." localSheetId="6"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6" hidden="1">{#N/A,#N/A,FALSE,"2002 Small Tool OH";#N/A,#N/A,FALSE,"QA"}</definedName>
    <definedName name="wrn.Small._.Tools._.Overhead." localSheetId="5" hidden="1">{#N/A,#N/A,FALSE,"2002 Small Tool OH";#N/A,#N/A,FALSE,"QA"}</definedName>
    <definedName name="wrn.Small._.Tools._.Overhead." hidden="1">{#N/A,#N/A,FALSE,"2002 Small Tool OH";#N/A,#N/A,FALSE,"QA"}</definedName>
  </definedNames>
  <calcPr calcId="191029" iterate="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8" i="2" l="1"/>
  <c r="G18" i="3"/>
  <c r="G22" i="3"/>
  <c r="C9" i="3"/>
  <c r="G27" i="3"/>
  <c r="G26" i="3"/>
  <c r="G25" i="3"/>
  <c r="G24" i="3"/>
  <c r="G23" i="3"/>
  <c r="G21" i="3"/>
  <c r="G20" i="3"/>
  <c r="G19" i="3"/>
  <c r="G17" i="3"/>
  <c r="G16" i="3"/>
  <c r="G15" i="3"/>
  <c r="G14" i="3"/>
  <c r="G13" i="3"/>
  <c r="C13" i="10"/>
  <c r="G12" i="3"/>
  <c r="D12" i="10"/>
  <c r="D13" i="10" s="1"/>
  <c r="O7" i="10" s="1"/>
  <c r="O8" i="10" s="1"/>
  <c r="O9" i="10" s="1"/>
  <c r="O10" i="10" s="1"/>
  <c r="O11" i="10" s="1"/>
  <c r="G11" i="3"/>
  <c r="C11" i="10"/>
  <c r="G10" i="3"/>
  <c r="G9" i="3"/>
  <c r="P8" i="10"/>
  <c r="F8" i="10"/>
  <c r="F9" i="10" s="1"/>
  <c r="F10" i="10" s="1"/>
  <c r="F11" i="10" s="1"/>
  <c r="F12" i="10" s="1"/>
  <c r="F13" i="10" s="1"/>
  <c r="F14" i="10" s="1"/>
  <c r="F15" i="10" s="1"/>
  <c r="F16" i="10" s="1"/>
  <c r="F17" i="10" s="1"/>
  <c r="F18" i="10" s="1"/>
  <c r="F19" i="10" s="1"/>
  <c r="F20" i="10" s="1"/>
  <c r="F21" i="10" s="1"/>
  <c r="F22" i="10" s="1"/>
  <c r="F23" i="10" s="1"/>
  <c r="F24" i="10" s="1"/>
  <c r="F25" i="10" s="1"/>
  <c r="F26" i="10" s="1"/>
  <c r="F27" i="10" s="1"/>
  <c r="I12" i="10"/>
  <c r="P7" i="10"/>
  <c r="C6" i="3" l="1"/>
  <c r="H7" i="3" s="1"/>
  <c r="H8" i="3" s="1"/>
  <c r="H9" i="3" s="1"/>
  <c r="C8" i="3"/>
  <c r="G7" i="3"/>
  <c r="G8" i="3"/>
  <c r="Q7" i="10"/>
  <c r="R7" i="10" s="1"/>
  <c r="P11" i="10"/>
  <c r="Q11" i="10" s="1"/>
  <c r="O12" i="10"/>
  <c r="O13" i="10" s="1"/>
  <c r="P9" i="10"/>
  <c r="P10" i="10"/>
  <c r="Q10" i="10" s="1"/>
  <c r="I7" i="10"/>
  <c r="J7" i="10" s="1"/>
  <c r="Q8" i="10"/>
  <c r="Q9" i="10"/>
  <c r="S7" i="10"/>
  <c r="U7" i="10" s="1"/>
  <c r="I8" i="10"/>
  <c r="I9" i="10"/>
  <c r="I10" i="10"/>
  <c r="I13" i="10"/>
  <c r="I14" i="10"/>
  <c r="I15" i="10"/>
  <c r="I16" i="10"/>
  <c r="I17" i="10"/>
  <c r="I18" i="10"/>
  <c r="I19" i="10"/>
  <c r="I20" i="10"/>
  <c r="I21" i="10"/>
  <c r="I22" i="10"/>
  <c r="I23" i="10"/>
  <c r="I24" i="10"/>
  <c r="I25" i="10"/>
  <c r="I26" i="10"/>
  <c r="I27" i="10"/>
  <c r="I11" i="10"/>
  <c r="K27" i="7"/>
  <c r="B23" i="6"/>
  <c r="G28" i="2" s="1"/>
  <c r="H28" i="2" s="1"/>
  <c r="K26" i="7"/>
  <c r="K25" i="7"/>
  <c r="J25" i="7"/>
  <c r="K24" i="7"/>
  <c r="J24" i="7"/>
  <c r="K23" i="7"/>
  <c r="J23" i="7"/>
  <c r="K22" i="7"/>
  <c r="J22" i="7"/>
  <c r="K21" i="7"/>
  <c r="B17" i="6"/>
  <c r="G22" i="2" s="1"/>
  <c r="K20" i="7"/>
  <c r="J20" i="7"/>
  <c r="K19" i="7"/>
  <c r="K18" i="7"/>
  <c r="K17" i="7"/>
  <c r="J17" i="7"/>
  <c r="G17" i="7"/>
  <c r="G18" i="7" s="1"/>
  <c r="G19" i="7" s="1"/>
  <c r="G20" i="7" s="1"/>
  <c r="G21" i="7" s="1"/>
  <c r="G22" i="7" s="1"/>
  <c r="G23" i="7" s="1"/>
  <c r="G24" i="7" s="1"/>
  <c r="G25" i="7" s="1"/>
  <c r="G26" i="7" s="1"/>
  <c r="G27" i="7" s="1"/>
  <c r="K16" i="7"/>
  <c r="B12" i="6"/>
  <c r="G17" i="2" s="1"/>
  <c r="H17" i="2" s="1"/>
  <c r="K15" i="7"/>
  <c r="K14" i="7"/>
  <c r="J14" i="7"/>
  <c r="K13" i="7"/>
  <c r="J13" i="7"/>
  <c r="K12" i="7"/>
  <c r="J12" i="7"/>
  <c r="K11" i="7"/>
  <c r="J11" i="7"/>
  <c r="K10" i="7"/>
  <c r="K9" i="7"/>
  <c r="J9" i="7"/>
  <c r="K8" i="7"/>
  <c r="J8" i="7"/>
  <c r="N8" i="7" s="1"/>
  <c r="G8" i="7"/>
  <c r="G9" i="7" s="1"/>
  <c r="G10" i="7" s="1"/>
  <c r="G11" i="7" s="1"/>
  <c r="G12" i="7" s="1"/>
  <c r="G13" i="7" s="1"/>
  <c r="G14" i="7" s="1"/>
  <c r="G15" i="7" s="1"/>
  <c r="G16" i="7" s="1"/>
  <c r="B19" i="6"/>
  <c r="G24" i="2" s="1"/>
  <c r="H24" i="2" s="1"/>
  <c r="B18" i="6"/>
  <c r="G23" i="2" s="1"/>
  <c r="H23" i="2" s="1"/>
  <c r="B14" i="6"/>
  <c r="G19" i="2" s="1"/>
  <c r="H19" i="2" s="1"/>
  <c r="B11" i="6"/>
  <c r="B10" i="6"/>
  <c r="G15" i="2" s="1"/>
  <c r="B5" i="6"/>
  <c r="G10" i="2" s="1"/>
  <c r="H10" i="2" s="1"/>
  <c r="F19" i="5"/>
  <c r="F20" i="5" s="1"/>
  <c r="E18" i="5"/>
  <c r="F18" i="5" s="1"/>
  <c r="F15" i="5"/>
  <c r="F14" i="5"/>
  <c r="F43" i="3"/>
  <c r="G16" i="2"/>
  <c r="H16" i="2" s="1"/>
  <c r="C8" i="2"/>
  <c r="C24" i="6" s="1"/>
  <c r="C25" i="6" s="1"/>
  <c r="C26" i="6" s="1"/>
  <c r="C27" i="6" s="1"/>
  <c r="C28" i="6" s="1"/>
  <c r="C29" i="6" s="1"/>
  <c r="C30" i="6" s="1"/>
  <c r="C31" i="6" s="1"/>
  <c r="C32" i="6" s="1"/>
  <c r="F16" i="5" l="1"/>
  <c r="C7" i="2" s="1"/>
  <c r="N12" i="7"/>
  <c r="B7" i="6"/>
  <c r="G12" i="2" s="1"/>
  <c r="H12" i="2" s="1"/>
  <c r="J18" i="7"/>
  <c r="N18" i="7" s="1"/>
  <c r="N22" i="7"/>
  <c r="R8" i="10"/>
  <c r="R9" i="10" s="1"/>
  <c r="B4" i="6"/>
  <c r="G9" i="2" s="1"/>
  <c r="H9" i="2" s="1"/>
  <c r="O14" i="10"/>
  <c r="J8" i="10"/>
  <c r="K7" i="10"/>
  <c r="P12" i="10"/>
  <c r="Q12" i="10" s="1"/>
  <c r="P13" i="10"/>
  <c r="Q13" i="10" s="1"/>
  <c r="I9" i="2"/>
  <c r="I10" i="2" s="1"/>
  <c r="B16" i="6"/>
  <c r="G21" i="2" s="1"/>
  <c r="H21" i="2" s="1"/>
  <c r="B20" i="6"/>
  <c r="G25" i="2" s="1"/>
  <c r="H25" i="2" s="1"/>
  <c r="J16" i="7"/>
  <c r="N16" i="7" s="1"/>
  <c r="J27" i="7"/>
  <c r="N27" i="7" s="1"/>
  <c r="B9" i="6"/>
  <c r="G14" i="2" s="1"/>
  <c r="H14" i="2" s="1"/>
  <c r="B13" i="6"/>
  <c r="G18" i="2" s="1"/>
  <c r="H18" i="2" s="1"/>
  <c r="N9" i="7"/>
  <c r="N24" i="7"/>
  <c r="N25" i="7"/>
  <c r="B8" i="6"/>
  <c r="G13" i="2" s="1"/>
  <c r="H13" i="2" s="1"/>
  <c r="B21" i="6"/>
  <c r="G26" i="2" s="1"/>
  <c r="H26" i="2" s="1"/>
  <c r="N13" i="7"/>
  <c r="N20" i="7"/>
  <c r="H10" i="3"/>
  <c r="H11" i="3" s="1"/>
  <c r="I9" i="3"/>
  <c r="J9" i="3" s="1"/>
  <c r="H22" i="2"/>
  <c r="I8" i="3"/>
  <c r="J8" i="3" s="1"/>
  <c r="B15" i="6"/>
  <c r="G20" i="2" s="1"/>
  <c r="J19" i="7"/>
  <c r="N19" i="7" s="1"/>
  <c r="H15" i="2"/>
  <c r="I7" i="3"/>
  <c r="G35" i="3"/>
  <c r="G28" i="3"/>
  <c r="B3" i="6"/>
  <c r="G8" i="2" s="1"/>
  <c r="J7" i="7"/>
  <c r="N7" i="7" s="1"/>
  <c r="O7" i="7" s="1"/>
  <c r="J10" i="7"/>
  <c r="N10" i="7" s="1"/>
  <c r="B6" i="6"/>
  <c r="G11" i="2" s="1"/>
  <c r="N14" i="7"/>
  <c r="J21" i="7"/>
  <c r="N21" i="7" s="1"/>
  <c r="J26" i="7"/>
  <c r="N26" i="7" s="1"/>
  <c r="B22" i="6"/>
  <c r="G27" i="2" s="1"/>
  <c r="B24" i="6"/>
  <c r="N11" i="7"/>
  <c r="J15" i="7"/>
  <c r="N15" i="7" s="1"/>
  <c r="N17" i="7"/>
  <c r="N23" i="7"/>
  <c r="S8" i="10" l="1"/>
  <c r="U8" i="10" s="1"/>
  <c r="J9" i="2"/>
  <c r="K9" i="2" s="1"/>
  <c r="O15" i="10"/>
  <c r="P14" i="10"/>
  <c r="Q14" i="10" s="1"/>
  <c r="W7" i="10"/>
  <c r="X7" i="10" s="1"/>
  <c r="M7" i="10"/>
  <c r="J9" i="10"/>
  <c r="K8" i="10"/>
  <c r="R10" i="10"/>
  <c r="S9" i="10"/>
  <c r="U9" i="10" s="1"/>
  <c r="P7" i="7"/>
  <c r="O8" i="7"/>
  <c r="P8" i="7" s="1"/>
  <c r="G37" i="2"/>
  <c r="G38" i="2" s="1"/>
  <c r="B25" i="6"/>
  <c r="G29" i="2"/>
  <c r="H12" i="3"/>
  <c r="I11" i="3"/>
  <c r="J11" i="3" s="1"/>
  <c r="H27" i="2"/>
  <c r="G36" i="3"/>
  <c r="G40" i="2"/>
  <c r="G29" i="3"/>
  <c r="H20" i="2"/>
  <c r="I10" i="3"/>
  <c r="H11" i="2"/>
  <c r="H8" i="2"/>
  <c r="J7" i="3"/>
  <c r="K7" i="3" s="1"/>
  <c r="G37" i="3"/>
  <c r="J10" i="2"/>
  <c r="K10" i="2" s="1"/>
  <c r="I11" i="2"/>
  <c r="O9" i="7" l="1"/>
  <c r="P9" i="7" s="1"/>
  <c r="W8" i="10"/>
  <c r="X8" i="10" s="1"/>
  <c r="M8" i="10"/>
  <c r="R11" i="10"/>
  <c r="S10" i="10"/>
  <c r="U10" i="10" s="1"/>
  <c r="J10" i="10"/>
  <c r="K9" i="10"/>
  <c r="O16" i="10"/>
  <c r="Q15" i="10"/>
  <c r="P15" i="10"/>
  <c r="H37" i="2"/>
  <c r="H40" i="2"/>
  <c r="H41" i="2" s="1"/>
  <c r="E10" i="1" s="1"/>
  <c r="G30" i="3"/>
  <c r="G44" i="3"/>
  <c r="D13" i="1" s="1"/>
  <c r="H13" i="3"/>
  <c r="I12" i="3"/>
  <c r="J12" i="3" s="1"/>
  <c r="B26" i="6"/>
  <c r="G30" i="2"/>
  <c r="G38" i="3"/>
  <c r="I12" i="2"/>
  <c r="J8" i="2"/>
  <c r="J11" i="2"/>
  <c r="K11" i="2" s="1"/>
  <c r="G41" i="2"/>
  <c r="D9" i="1"/>
  <c r="L7" i="3"/>
  <c r="K8" i="3"/>
  <c r="J10" i="3"/>
  <c r="H29" i="2"/>
  <c r="O10" i="7"/>
  <c r="O17" i="10" l="1"/>
  <c r="P16" i="10"/>
  <c r="Q16" i="10" s="1"/>
  <c r="S11" i="10"/>
  <c r="U11" i="10" s="1"/>
  <c r="R12" i="10"/>
  <c r="W9" i="10"/>
  <c r="X9" i="10" s="1"/>
  <c r="M9" i="10"/>
  <c r="K10" i="10"/>
  <c r="J11" i="10"/>
  <c r="H30" i="2"/>
  <c r="K9" i="3"/>
  <c r="L8" i="3"/>
  <c r="E9" i="1"/>
  <c r="I13" i="2"/>
  <c r="J12" i="2"/>
  <c r="K12" i="2" s="1"/>
  <c r="B27" i="6"/>
  <c r="G31" i="2"/>
  <c r="H38" i="2"/>
  <c r="G45" i="3"/>
  <c r="E13" i="1" s="1"/>
  <c r="H14" i="3"/>
  <c r="I13" i="3"/>
  <c r="J13" i="3" s="1"/>
  <c r="G31" i="3"/>
  <c r="P10" i="7"/>
  <c r="O11" i="7"/>
  <c r="K8" i="2"/>
  <c r="L8" i="2" s="1"/>
  <c r="W10" i="10" l="1"/>
  <c r="X10" i="10" s="1"/>
  <c r="M10" i="10"/>
  <c r="J12" i="10"/>
  <c r="K11" i="10"/>
  <c r="R13" i="10"/>
  <c r="S12" i="10"/>
  <c r="U12" i="10" s="1"/>
  <c r="O18" i="10"/>
  <c r="P17" i="10"/>
  <c r="Q17" i="10" s="1"/>
  <c r="D10" i="1"/>
  <c r="B28" i="6"/>
  <c r="B29" i="6" s="1"/>
  <c r="B30" i="6" s="1"/>
  <c r="B31" i="6" s="1"/>
  <c r="B32" i="6" s="1"/>
  <c r="G32" i="2"/>
  <c r="K10" i="3"/>
  <c r="L9" i="3"/>
  <c r="M8" i="2"/>
  <c r="L9" i="2"/>
  <c r="P11" i="7"/>
  <c r="O12" i="7"/>
  <c r="G33" i="3"/>
  <c r="H15" i="3"/>
  <c r="I14" i="3"/>
  <c r="J14" i="3" s="1"/>
  <c r="H31" i="2"/>
  <c r="I14" i="2"/>
  <c r="J13" i="2"/>
  <c r="O19" i="10" l="1"/>
  <c r="P18" i="10"/>
  <c r="Q18" i="10" s="1"/>
  <c r="J13" i="10"/>
  <c r="K12" i="10"/>
  <c r="W11" i="10"/>
  <c r="X11" i="10" s="1"/>
  <c r="M11" i="10"/>
  <c r="R14" i="10"/>
  <c r="S13" i="10"/>
  <c r="U13" i="10" s="1"/>
  <c r="I15" i="2"/>
  <c r="J14" i="2"/>
  <c r="K14" i="2" s="1"/>
  <c r="K13" i="2"/>
  <c r="H16" i="3"/>
  <c r="I15" i="3"/>
  <c r="J15" i="3" s="1"/>
  <c r="K11" i="3"/>
  <c r="L10" i="3"/>
  <c r="H32" i="2"/>
  <c r="H34" i="2" s="1"/>
  <c r="H35" i="2" s="1"/>
  <c r="C10" i="1" s="1"/>
  <c r="G34" i="3"/>
  <c r="G34" i="2"/>
  <c r="P12" i="7"/>
  <c r="O13" i="7"/>
  <c r="M9" i="2"/>
  <c r="L10" i="2"/>
  <c r="R15" i="10" l="1"/>
  <c r="S14" i="10"/>
  <c r="U14" i="10" s="1"/>
  <c r="J14" i="10"/>
  <c r="K13" i="10"/>
  <c r="W12" i="10"/>
  <c r="X12" i="10" s="1"/>
  <c r="M12" i="10"/>
  <c r="O20" i="10"/>
  <c r="Q19" i="10"/>
  <c r="P19" i="10"/>
  <c r="M10" i="2"/>
  <c r="L11" i="2"/>
  <c r="G35" i="2"/>
  <c r="G43" i="3"/>
  <c r="C13" i="1" s="1"/>
  <c r="H17" i="3"/>
  <c r="I16" i="3"/>
  <c r="P13" i="7"/>
  <c r="O14" i="7"/>
  <c r="I16" i="2"/>
  <c r="J15" i="2"/>
  <c r="K15" i="2" s="1"/>
  <c r="L11" i="3"/>
  <c r="K12" i="3"/>
  <c r="W13" i="10" l="1"/>
  <c r="X13" i="10" s="1"/>
  <c r="M13" i="10"/>
  <c r="O21" i="10"/>
  <c r="P20" i="10"/>
  <c r="Q20" i="10" s="1"/>
  <c r="J15" i="10"/>
  <c r="K14" i="10"/>
  <c r="R16" i="10"/>
  <c r="S15" i="10"/>
  <c r="U15" i="10" s="1"/>
  <c r="P14" i="7"/>
  <c r="O15" i="7"/>
  <c r="H18" i="3"/>
  <c r="I17" i="3"/>
  <c r="J17" i="3" s="1"/>
  <c r="M11" i="2"/>
  <c r="L12" i="2"/>
  <c r="I17" i="2"/>
  <c r="J16" i="2"/>
  <c r="K16" i="2" s="1"/>
  <c r="K13" i="3"/>
  <c r="L12" i="3"/>
  <c r="J16" i="3"/>
  <c r="C9" i="1"/>
  <c r="R17" i="10" l="1"/>
  <c r="S16" i="10"/>
  <c r="U16" i="10" s="1"/>
  <c r="W14" i="10"/>
  <c r="X14" i="10" s="1"/>
  <c r="M14" i="10"/>
  <c r="O22" i="10"/>
  <c r="P21" i="10"/>
  <c r="Q21" i="10" s="1"/>
  <c r="J16" i="10"/>
  <c r="K15" i="10"/>
  <c r="K14" i="3"/>
  <c r="L13" i="3"/>
  <c r="P15" i="7"/>
  <c r="O16" i="7"/>
  <c r="H19" i="3"/>
  <c r="I18" i="3"/>
  <c r="J18" i="3" s="1"/>
  <c r="M12" i="2"/>
  <c r="L13" i="2"/>
  <c r="I18" i="2"/>
  <c r="J17" i="2"/>
  <c r="K17" i="2" s="1"/>
  <c r="J17" i="10" l="1"/>
  <c r="K16" i="10"/>
  <c r="W15" i="10"/>
  <c r="X15" i="10" s="1"/>
  <c r="M15" i="10"/>
  <c r="O23" i="10"/>
  <c r="P22" i="10"/>
  <c r="Q22" i="10" s="1"/>
  <c r="R18" i="10"/>
  <c r="S17" i="10"/>
  <c r="U17" i="10" s="1"/>
  <c r="J18" i="2"/>
  <c r="K18" i="2" s="1"/>
  <c r="I19" i="2"/>
  <c r="P16" i="7"/>
  <c r="O17" i="7"/>
  <c r="M13" i="2"/>
  <c r="L14" i="2"/>
  <c r="H20" i="3"/>
  <c r="I19" i="3"/>
  <c r="J19" i="3" s="1"/>
  <c r="K15" i="3"/>
  <c r="L14" i="3"/>
  <c r="R19" i="10" l="1"/>
  <c r="S18" i="10"/>
  <c r="U18" i="10" s="1"/>
  <c r="W16" i="10"/>
  <c r="X16" i="10" s="1"/>
  <c r="M16" i="10"/>
  <c r="O24" i="10"/>
  <c r="P23" i="10"/>
  <c r="Q23" i="10" s="1"/>
  <c r="J18" i="10"/>
  <c r="K17" i="10"/>
  <c r="I20" i="2"/>
  <c r="J19" i="2"/>
  <c r="K19" i="2" s="1"/>
  <c r="H21" i="3"/>
  <c r="I20" i="3"/>
  <c r="J20" i="3" s="1"/>
  <c r="P17" i="7"/>
  <c r="O18" i="7"/>
  <c r="L15" i="3"/>
  <c r="K16" i="3"/>
  <c r="M14" i="2"/>
  <c r="L15" i="2"/>
  <c r="J19" i="10" l="1"/>
  <c r="K18" i="10"/>
  <c r="W17" i="10"/>
  <c r="X17" i="10" s="1"/>
  <c r="M17" i="10"/>
  <c r="O25" i="10"/>
  <c r="P24" i="10"/>
  <c r="Q24" i="10" s="1"/>
  <c r="R20" i="10"/>
  <c r="S19" i="10"/>
  <c r="U19" i="10" s="1"/>
  <c r="M15" i="2"/>
  <c r="L16" i="2"/>
  <c r="P18" i="7"/>
  <c r="O19" i="7"/>
  <c r="I21" i="2"/>
  <c r="J20" i="2"/>
  <c r="K20" i="2" s="1"/>
  <c r="K17" i="3"/>
  <c r="L16" i="3"/>
  <c r="H22" i="3"/>
  <c r="I21" i="3"/>
  <c r="I37" i="3" s="1"/>
  <c r="I38" i="3" s="1"/>
  <c r="I45" i="3" s="1"/>
  <c r="E15" i="1" s="1"/>
  <c r="H37" i="3"/>
  <c r="R21" i="10" l="1"/>
  <c r="S20" i="10"/>
  <c r="U20" i="10" s="1"/>
  <c r="W18" i="10"/>
  <c r="X18" i="10" s="1"/>
  <c r="M18" i="10"/>
  <c r="O26" i="10"/>
  <c r="P25" i="10"/>
  <c r="Q25" i="10" s="1"/>
  <c r="J20" i="10"/>
  <c r="K19" i="10"/>
  <c r="H23" i="3"/>
  <c r="I22" i="3"/>
  <c r="J22" i="3" s="1"/>
  <c r="M16" i="2"/>
  <c r="L17" i="2"/>
  <c r="H38" i="3"/>
  <c r="K37" i="3"/>
  <c r="I22" i="2"/>
  <c r="J21" i="2"/>
  <c r="K21" i="2" s="1"/>
  <c r="J21" i="3"/>
  <c r="L17" i="3"/>
  <c r="K18" i="3"/>
  <c r="P19" i="7"/>
  <c r="O20" i="7"/>
  <c r="J21" i="10" l="1"/>
  <c r="K20" i="10"/>
  <c r="W19" i="10"/>
  <c r="X19" i="10" s="1"/>
  <c r="M19" i="10"/>
  <c r="O27" i="10"/>
  <c r="Q26" i="10"/>
  <c r="P26" i="10"/>
  <c r="R22" i="10"/>
  <c r="S21" i="10"/>
  <c r="U21" i="10" s="1"/>
  <c r="H45" i="3"/>
  <c r="E14" i="1" s="1"/>
  <c r="L38" i="3"/>
  <c r="L45" i="3" s="1"/>
  <c r="K19" i="3"/>
  <c r="L18" i="3"/>
  <c r="I23" i="2"/>
  <c r="J22" i="2"/>
  <c r="J40" i="2" s="1"/>
  <c r="J41" i="2" s="1"/>
  <c r="E12" i="1" s="1"/>
  <c r="I40" i="2"/>
  <c r="P20" i="7"/>
  <c r="O21" i="7"/>
  <c r="M17" i="2"/>
  <c r="L18" i="2"/>
  <c r="H24" i="3"/>
  <c r="I23" i="3"/>
  <c r="J23" i="3" s="1"/>
  <c r="R23" i="10" l="1"/>
  <c r="S22" i="10"/>
  <c r="U22" i="10" s="1"/>
  <c r="W20" i="10"/>
  <c r="X20" i="10" s="1"/>
  <c r="M20" i="10"/>
  <c r="P27" i="10"/>
  <c r="Q27" i="10" s="1"/>
  <c r="J22" i="10"/>
  <c r="K21" i="10"/>
  <c r="P21" i="7"/>
  <c r="O22" i="7"/>
  <c r="K22" i="2"/>
  <c r="H25" i="3"/>
  <c r="I24" i="3"/>
  <c r="J24" i="3" s="1"/>
  <c r="I24" i="2"/>
  <c r="J23" i="2"/>
  <c r="K23" i="2" s="1"/>
  <c r="L19" i="3"/>
  <c r="K20" i="3"/>
  <c r="M18" i="2"/>
  <c r="L19" i="2"/>
  <c r="I41" i="2"/>
  <c r="L40" i="2"/>
  <c r="W21" i="10" l="1"/>
  <c r="X21" i="10" s="1"/>
  <c r="M21" i="10"/>
  <c r="J23" i="10"/>
  <c r="K22" i="10"/>
  <c r="R24" i="10"/>
  <c r="S23" i="10"/>
  <c r="U23" i="10" s="1"/>
  <c r="H26" i="3"/>
  <c r="I25" i="3"/>
  <c r="J25" i="3" s="1"/>
  <c r="M19" i="2"/>
  <c r="L20" i="2"/>
  <c r="K21" i="3"/>
  <c r="L20" i="3"/>
  <c r="I25" i="2"/>
  <c r="J24" i="2"/>
  <c r="K24" i="2" s="1"/>
  <c r="P22" i="7"/>
  <c r="O23" i="7"/>
  <c r="E11" i="1"/>
  <c r="E16" i="1" s="1"/>
  <c r="M41" i="2"/>
  <c r="W22" i="10" l="1"/>
  <c r="X22" i="10" s="1"/>
  <c r="M22" i="10"/>
  <c r="J24" i="10"/>
  <c r="K23" i="10"/>
  <c r="R25" i="10"/>
  <c r="S24" i="10"/>
  <c r="U24" i="10" s="1"/>
  <c r="I26" i="2"/>
  <c r="J25" i="2"/>
  <c r="K25" i="2" s="1"/>
  <c r="H27" i="3"/>
  <c r="I26" i="3"/>
  <c r="I35" i="3" s="1"/>
  <c r="I36" i="3" s="1"/>
  <c r="I44" i="3" s="1"/>
  <c r="D15" i="1" s="1"/>
  <c r="H35" i="3"/>
  <c r="M20" i="2"/>
  <c r="L21" i="2"/>
  <c r="P23" i="7"/>
  <c r="O24" i="7"/>
  <c r="K22" i="3"/>
  <c r="L21" i="3"/>
  <c r="J26" i="3" l="1"/>
  <c r="W23" i="10"/>
  <c r="X23" i="10" s="1"/>
  <c r="M23" i="10"/>
  <c r="J25" i="10"/>
  <c r="K24" i="10"/>
  <c r="R26" i="10"/>
  <c r="S25" i="10"/>
  <c r="U25" i="10" s="1"/>
  <c r="P24" i="7"/>
  <c r="O25" i="7"/>
  <c r="H36" i="3"/>
  <c r="K35" i="3"/>
  <c r="H28" i="3"/>
  <c r="I27" i="3"/>
  <c r="J27" i="3" s="1"/>
  <c r="K23" i="3"/>
  <c r="L22" i="3"/>
  <c r="M21" i="2"/>
  <c r="L22" i="2"/>
  <c r="I27" i="2"/>
  <c r="J26" i="2"/>
  <c r="K26" i="2" s="1"/>
  <c r="W24" i="10" l="1"/>
  <c r="X24" i="10" s="1"/>
  <c r="M24" i="10"/>
  <c r="J26" i="10"/>
  <c r="K25" i="10"/>
  <c r="R27" i="10"/>
  <c r="S27" i="10" s="1"/>
  <c r="U27" i="10" s="1"/>
  <c r="S26" i="10"/>
  <c r="U26" i="10" s="1"/>
  <c r="M22" i="2"/>
  <c r="L23" i="2"/>
  <c r="H44" i="3"/>
  <c r="D14" i="1" s="1"/>
  <c r="L36" i="3"/>
  <c r="L44" i="3" s="1"/>
  <c r="H29" i="3"/>
  <c r="I28" i="3"/>
  <c r="J28" i="3" s="1"/>
  <c r="P25" i="7"/>
  <c r="O26" i="7"/>
  <c r="I28" i="2"/>
  <c r="J27" i="2"/>
  <c r="J37" i="2" s="1"/>
  <c r="J38" i="2" s="1"/>
  <c r="D12" i="1" s="1"/>
  <c r="I37" i="2"/>
  <c r="K24" i="3"/>
  <c r="L23" i="3"/>
  <c r="W25" i="10" l="1"/>
  <c r="X25" i="10" s="1"/>
  <c r="M25" i="10"/>
  <c r="J27" i="10"/>
  <c r="K27" i="10" s="1"/>
  <c r="K26" i="10"/>
  <c r="K27" i="2"/>
  <c r="M23" i="2"/>
  <c r="L24" i="2"/>
  <c r="I38" i="2"/>
  <c r="L37" i="2"/>
  <c r="P26" i="7"/>
  <c r="O27" i="7"/>
  <c r="P27" i="7" s="1"/>
  <c r="H30" i="3"/>
  <c r="I29" i="3"/>
  <c r="J29" i="3" s="1"/>
  <c r="K25" i="3"/>
  <c r="L24" i="3"/>
  <c r="I29" i="2"/>
  <c r="J28" i="2"/>
  <c r="K28" i="2" s="1"/>
  <c r="W27" i="10" l="1"/>
  <c r="X27" i="10" s="1"/>
  <c r="M27" i="10"/>
  <c r="W26" i="10"/>
  <c r="X26" i="10" s="1"/>
  <c r="M26" i="10"/>
  <c r="H31" i="3"/>
  <c r="I30" i="3"/>
  <c r="J30" i="3" s="1"/>
  <c r="M24" i="2"/>
  <c r="L25" i="2"/>
  <c r="D11" i="1"/>
  <c r="D16" i="1" s="1"/>
  <c r="M38" i="2"/>
  <c r="I30" i="2"/>
  <c r="J29" i="2"/>
  <c r="K29" i="2" s="1"/>
  <c r="K26" i="3"/>
  <c r="L25" i="3"/>
  <c r="M25" i="2" l="1"/>
  <c r="L26" i="2"/>
  <c r="I31" i="3"/>
  <c r="I33" i="3" s="1"/>
  <c r="I34" i="3" s="1"/>
  <c r="I43" i="3" s="1"/>
  <c r="C15" i="1" s="1"/>
  <c r="H33" i="3"/>
  <c r="K27" i="3"/>
  <c r="L26" i="3"/>
  <c r="I31" i="2"/>
  <c r="J30" i="2"/>
  <c r="K30" i="2" s="1"/>
  <c r="J31" i="3" l="1"/>
  <c r="K28" i="3"/>
  <c r="L27" i="3"/>
  <c r="M26" i="2"/>
  <c r="L27" i="2"/>
  <c r="I32" i="2"/>
  <c r="J31" i="2"/>
  <c r="K31" i="2" s="1"/>
  <c r="H34" i="3"/>
  <c r="K33" i="3"/>
  <c r="J32" i="2" l="1"/>
  <c r="J34" i="2" s="1"/>
  <c r="J35" i="2" s="1"/>
  <c r="C12" i="1" s="1"/>
  <c r="I34" i="2"/>
  <c r="K29" i="3"/>
  <c r="L28" i="3"/>
  <c r="H43" i="3"/>
  <c r="C14" i="1" s="1"/>
  <c r="L34" i="3"/>
  <c r="L43" i="3" s="1"/>
  <c r="M27" i="2"/>
  <c r="L28" i="2"/>
  <c r="K32" i="2" l="1"/>
  <c r="I35" i="2"/>
  <c r="L34" i="2"/>
  <c r="M28" i="2"/>
  <c r="L29" i="2"/>
  <c r="K30" i="3"/>
  <c r="L29" i="3"/>
  <c r="C11" i="1" l="1"/>
  <c r="C16" i="1" s="1"/>
  <c r="M35" i="2"/>
  <c r="K31" i="3"/>
  <c r="L31" i="3" s="1"/>
  <c r="L30" i="3"/>
  <c r="M29" i="2"/>
  <c r="L30" i="2"/>
  <c r="M30" i="2" l="1"/>
  <c r="L31" i="2"/>
  <c r="M31" i="2" l="1"/>
  <c r="L32" i="2"/>
  <c r="M32" i="2" s="1"/>
</calcChain>
</file>

<file path=xl/sharedStrings.xml><?xml version="1.0" encoding="utf-8"?>
<sst xmlns="http://schemas.openxmlformats.org/spreadsheetml/2006/main" count="228" uniqueCount="100">
  <si>
    <t>25-Year</t>
  </si>
  <si>
    <t>20-Year</t>
  </si>
  <si>
    <t>15-Year</t>
  </si>
  <si>
    <t>Avoided Cost (25-Year)</t>
  </si>
  <si>
    <t>$/kWh</t>
  </si>
  <si>
    <t>Avoided Energy</t>
  </si>
  <si>
    <t>T&amp;D Loss Reduction</t>
  </si>
  <si>
    <t>Avoided Renewable Energy</t>
  </si>
  <si>
    <t>Conservation Credit - Energy</t>
  </si>
  <si>
    <t>Avoided Generation Capacity</t>
  </si>
  <si>
    <t>Deferred T&amp;D Capacity</t>
  </si>
  <si>
    <t>Conservation Credit - Capacity</t>
  </si>
  <si>
    <t>Total</t>
  </si>
  <si>
    <t>Avoided Residential Energy Costs</t>
  </si>
  <si>
    <t>Year</t>
  </si>
  <si>
    <t>Measure Life</t>
  </si>
  <si>
    <t>Annual Weighted Average of Hourly Price</t>
  </si>
  <si>
    <t>T&amp;D Line Loss Reduction</t>
  </si>
  <si>
    <t xml:space="preserve">Avoided Renewable Benefits </t>
  </si>
  <si>
    <t>Energy-Related Conservation Credit</t>
  </si>
  <si>
    <t xml:space="preserve">Present Value-Energy </t>
  </si>
  <si>
    <t>Cumulative Present Value -Energy</t>
  </si>
  <si>
    <t>Levelized Cost Effectiveness Standard-Energy</t>
  </si>
  <si>
    <t>(years)</t>
  </si>
  <si>
    <t>($/MWh)</t>
  </si>
  <si>
    <t>($/kWh)</t>
  </si>
  <si>
    <t>Residential T&amp;D Losses:</t>
  </si>
  <si>
    <t>[1]</t>
  </si>
  <si>
    <t>[2]</t>
  </si>
  <si>
    <t>[3]</t>
  </si>
  <si>
    <t>[4]</t>
  </si>
  <si>
    <t>[5]</t>
  </si>
  <si>
    <t>[6]</t>
  </si>
  <si>
    <t>[7]</t>
  </si>
  <si>
    <t>[8]</t>
  </si>
  <si>
    <t>[9]</t>
  </si>
  <si>
    <t xml:space="preserve">Nominal Discount Rate: </t>
  </si>
  <si>
    <t>GDP Inflation:</t>
  </si>
  <si>
    <t>Conservation Credit:</t>
  </si>
  <si>
    <t>NPV</t>
  </si>
  <si>
    <t>Levelized</t>
  </si>
  <si>
    <t>Avoided Residential Capacity Costs</t>
  </si>
  <si>
    <t>Total Annual Capital &amp; Fixed Costs of Capacity</t>
  </si>
  <si>
    <t xml:space="preserve">Deferred T&amp;D </t>
  </si>
  <si>
    <t>Capacity-Related Conservation Credit</t>
  </si>
  <si>
    <t>NPV - Capacity</t>
  </si>
  <si>
    <t>Cumulative Present Value CES-Capacity</t>
  </si>
  <si>
    <t>Levelized Cost Effectiveness Standard-Capacity</t>
  </si>
  <si>
    <t>($/kW-yr)</t>
  </si>
  <si>
    <t>Deferred T&amp;D Cost Credit ($/kw-yr):</t>
  </si>
  <si>
    <t>NW Power Act Regional Credit:</t>
  </si>
  <si>
    <t>Nominal Discount Rate:</t>
  </si>
  <si>
    <t>Peak Use Per Year</t>
  </si>
  <si>
    <t>Avoided Renewable Benefits</t>
  </si>
  <si>
    <t>Docket No. UE-180282</t>
  </si>
  <si>
    <t>Adjustment 18.02</t>
  </si>
  <si>
    <t>PUGET SOUND ENERGY-ELECTRIC</t>
  </si>
  <si>
    <t>PRO FORMA COST OF CAPITAL</t>
  </si>
  <si>
    <t>FOR THE TWELVE MONTHS ENDED SEPTEMBER 30, 2016</t>
  </si>
  <si>
    <t>2017 GENERAL RATE INCREASE - UE-180282</t>
  </si>
  <si>
    <t>Tax Reform Filing</t>
  </si>
  <si>
    <t>LINE</t>
  </si>
  <si>
    <t>PRO FORMA</t>
  </si>
  <si>
    <t>COST OF</t>
  </si>
  <si>
    <t>NO.</t>
  </si>
  <si>
    <t>DESCRIPTION</t>
  </si>
  <si>
    <t>CAPITAL %</t>
  </si>
  <si>
    <t>COST %</t>
  </si>
  <si>
    <t>CAPITAL</t>
  </si>
  <si>
    <t>SHORT &amp; LONG TERM DEBT</t>
  </si>
  <si>
    <t>EQUITY</t>
  </si>
  <si>
    <t>TOTAL COST OF CAPITAL</t>
  </si>
  <si>
    <t>AFTER TAX DEBT</t>
  </si>
  <si>
    <t>TOTAL AFTER TAX COST OF CAPITAL</t>
  </si>
  <si>
    <t>Market Prices Embedded in Schedule 91</t>
  </si>
  <si>
    <t>Inflation rate for calculation</t>
  </si>
  <si>
    <t>Planning Adjustment</t>
  </si>
  <si>
    <t>Conservation Credit</t>
  </si>
  <si>
    <t xml:space="preserve"> T&amp;D Line Loss Reduction [4]</t>
  </si>
  <si>
    <t>[10]</t>
  </si>
  <si>
    <t>Nominal Discount Rate</t>
  </si>
  <si>
    <t>GDP Inflation</t>
  </si>
  <si>
    <t xml:space="preserve">Transmission losses updated as per section 15.7 Real Power Losses, PSE Current Effective OATT 8.7.18.
 </t>
  </si>
  <si>
    <t>http://www.oatioasis.com/webSmartOASIS/HomePage?ProviderName=PSEI&amp;Homepage=1</t>
  </si>
  <si>
    <t>The planning adjustment is the cost difference between the  IRP portfolio with no demand side resources (DSR) and the  IRP portfolio with optimal DSR, which is relevant to EES but not for a PPA.</t>
  </si>
  <si>
    <t>EES leads to lower overall load and hence lower RPS requirement to meet. A PPA does not lower overall load.</t>
  </si>
  <si>
    <t>The 10% conservation credit adder per Northwest Power Act of 1980 is now reflected in the REC market which is additional to the PPA.</t>
  </si>
  <si>
    <t>Note 1</t>
  </si>
  <si>
    <t>Deferred T&amp;D</t>
  </si>
  <si>
    <t>($/kw-yr)</t>
  </si>
  <si>
    <t>Deferred T&amp;D Cost Credit ($/kw-yr) (4):</t>
  </si>
  <si>
    <t>NW Power Act Regional Credit (5):</t>
  </si>
  <si>
    <r>
      <t>Nominal Discount Rate</t>
    </r>
    <r>
      <rPr>
        <b/>
        <sz val="10"/>
        <rFont val="Arial"/>
        <family val="2"/>
      </rPr>
      <t xml:space="preserve"> (*)</t>
    </r>
    <r>
      <rPr>
        <b/>
        <sz val="12"/>
        <rFont val="Arial"/>
        <family val="2"/>
      </rPr>
      <t>:</t>
    </r>
  </si>
  <si>
    <r>
      <t>GDP Inflation</t>
    </r>
    <r>
      <rPr>
        <b/>
        <sz val="10"/>
        <rFont val="Arial"/>
        <family val="2"/>
      </rPr>
      <t xml:space="preserve"> (**)</t>
    </r>
    <r>
      <rPr>
        <b/>
        <sz val="12"/>
        <rFont val="Arial"/>
        <family val="2"/>
      </rPr>
      <t>:</t>
    </r>
  </si>
  <si>
    <t>Note 2</t>
  </si>
  <si>
    <r>
      <t>Note 2: The 7</t>
    </r>
    <r>
      <rPr>
        <vertAlign val="superscript"/>
        <sz val="12"/>
        <rFont val="Arial"/>
        <family val="2"/>
      </rPr>
      <t>th</t>
    </r>
    <r>
      <rPr>
        <sz val="12"/>
        <rFont val="Arial"/>
        <family val="2"/>
      </rPr>
      <t xml:space="preserve"> Northwest Power Plan used monetary values of avoided transmission and distribution capacity which were recommended by the Regional Technical Forum. The values of transmission and distribution in the 7th Northwest Power Plan are in 2012 prices.  To obtain a current year value, the price in 2012 was inflated using 2.5% per year, consistent with EES methodology.</t>
    </r>
  </si>
  <si>
    <t>$ / MWh</t>
  </si>
  <si>
    <t>$ / kWh</t>
  </si>
  <si>
    <t xml:space="preserve">Note 1: Avoided capacity costs are consistent with the 2017 IRP for the Firm Resource. </t>
  </si>
  <si>
    <t>Avoided Renewable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</si>
</sst>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_(&quot;$&quot;* #,##0.000000_);_(&quot;$&quot;* \(#,##0.000000\);_(&quot;$&quot;* &quot;-&quot;??_);_(@_)"/>
    <numFmt numFmtId="165" formatCode="&quot;$&quot;#,##0.00"/>
    <numFmt numFmtId="166" formatCode="0.0%"/>
    <numFmt numFmtId="167" formatCode="&quot;$&quot;#,##0.000_);[Red]\(&quot;$&quot;#,##0.000\)"/>
    <numFmt numFmtId="168" formatCode="_(&quot;$&quot;* #,##0_);_(&quot;$&quot;* \(#,##0\);_(&quot;$&quot;* &quot;-&quot;??_);_(@_)"/>
    <numFmt numFmtId="169" formatCode="0.00000%"/>
    <numFmt numFmtId="170" formatCode="0.00000"/>
    <numFmt numFmtId="171" formatCode="&quot;$&quot;#,##0.0000_);[Red]\(&quot;$&quot;#,##0.0000\)"/>
    <numFmt numFmtId="172" formatCode="_(&quot;$&quot;* #,##0.0000_);_(&quot;$&quot;* \(#,##0.0000\);_(&quot;$&quot;* &quot;-&quot;??_);_(@_)"/>
  </numFmts>
  <fonts count="22" x14ac:knownFonts="1">
    <font>
      <sz val="11"/>
      <color theme="1"/>
      <name val="Calibri"/>
      <family val="2"/>
      <scheme val="minor"/>
    </font>
    <font>
      <sz val="11"/>
      <color theme="1"/>
      <name val="Calibri"/>
      <family val="2"/>
      <scheme val="minor"/>
    </font>
    <font>
      <sz val="11"/>
      <color rgb="FFFF0000"/>
      <name val="Calibri"/>
      <family val="2"/>
      <scheme val="minor"/>
    </font>
    <font>
      <sz val="11"/>
      <color indexed="8"/>
      <name val="Calibri"/>
      <family val="2"/>
    </font>
    <font>
      <b/>
      <sz val="11"/>
      <name val="Arial"/>
      <family val="2"/>
    </font>
    <font>
      <sz val="10"/>
      <name val="Arial"/>
      <family val="2"/>
    </font>
    <font>
      <sz val="11"/>
      <name val="Arial"/>
      <family val="2"/>
    </font>
    <font>
      <sz val="11"/>
      <color indexed="10"/>
      <name val="Arial"/>
      <family val="2"/>
    </font>
    <font>
      <b/>
      <sz val="10"/>
      <name val="Arial"/>
      <family val="2"/>
    </font>
    <font>
      <sz val="12"/>
      <name val="Arial"/>
      <family val="2"/>
    </font>
    <font>
      <b/>
      <sz val="10"/>
      <color theme="1"/>
      <name val="Times New Roman"/>
      <family val="1"/>
    </font>
    <font>
      <sz val="10"/>
      <color theme="1"/>
      <name val="Times New Roman"/>
      <family val="1"/>
    </font>
    <font>
      <sz val="8"/>
      <color theme="1"/>
      <name val="Times New Roman"/>
      <family val="1"/>
    </font>
    <font>
      <sz val="12"/>
      <color indexed="10"/>
      <name val="Arial"/>
      <family val="2"/>
    </font>
    <font>
      <b/>
      <sz val="12"/>
      <color indexed="10"/>
      <name val="Arial"/>
      <family val="2"/>
    </font>
    <font>
      <b/>
      <sz val="12"/>
      <name val="Arial"/>
      <family val="2"/>
    </font>
    <font>
      <sz val="12"/>
      <color indexed="8"/>
      <name val="Arial"/>
      <family val="2"/>
    </font>
    <font>
      <u/>
      <sz val="7.5"/>
      <color indexed="12"/>
      <name val="Arial"/>
      <family val="2"/>
    </font>
    <font>
      <u/>
      <sz val="12"/>
      <color indexed="12"/>
      <name val="Arial"/>
      <family val="2"/>
    </font>
    <font>
      <i/>
      <sz val="12"/>
      <name val="Arial"/>
      <family val="2"/>
    </font>
    <font>
      <sz val="11"/>
      <color indexed="8"/>
      <name val="Arial"/>
      <family val="2"/>
    </font>
    <font>
      <vertAlign val="superscript"/>
      <sz val="12"/>
      <name val="Arial"/>
      <family val="2"/>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medium">
        <color rgb="FF000000"/>
      </right>
      <top/>
      <bottom/>
      <diagonal/>
    </border>
    <border>
      <left/>
      <right style="medium">
        <color indexed="64"/>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s>
  <cellStyleXfs count="14">
    <xf numFmtId="0" fontId="0" fillId="0" borderId="0"/>
    <xf numFmtId="43" fontId="3" fillId="0" borderId="0" applyFont="0" applyFill="0" applyBorder="0" applyAlignment="0" applyProtection="0"/>
    <xf numFmtId="44" fontId="3" fillId="0" borderId="0" applyFont="0" applyFill="0" applyBorder="0" applyAlignment="0" applyProtection="0"/>
    <xf numFmtId="9" fontId="1" fillId="0" borderId="0" applyFont="0" applyFill="0" applyBorder="0" applyAlignment="0" applyProtection="0"/>
    <xf numFmtId="0" fontId="5" fillId="0" borderId="0"/>
    <xf numFmtId="44" fontId="9" fillId="0" borderId="0" applyFont="0" applyFill="0" applyBorder="0" applyAlignment="0" applyProtection="0"/>
    <xf numFmtId="0" fontId="3" fillId="0" borderId="0"/>
    <xf numFmtId="9" fontId="9" fillId="0" borderId="0" applyFont="0" applyFill="0" applyBorder="0" applyAlignment="0" applyProtection="0"/>
    <xf numFmtId="0" fontId="1" fillId="0" borderId="0"/>
    <xf numFmtId="0" fontId="5" fillId="0" borderId="0"/>
    <xf numFmtId="0" fontId="5" fillId="0" borderId="0"/>
    <xf numFmtId="0" fontId="17" fillId="0" borderId="0" applyNumberFormat="0" applyFill="0" applyBorder="0" applyAlignment="0" applyProtection="0">
      <alignment vertical="top"/>
      <protection locked="0"/>
    </xf>
    <xf numFmtId="0" fontId="1" fillId="0" borderId="0"/>
    <xf numFmtId="44" fontId="1" fillId="0" borderId="0" applyFont="0" applyFill="0" applyBorder="0" applyAlignment="0" applyProtection="0"/>
  </cellStyleXfs>
  <cellXfs count="251">
    <xf numFmtId="0" fontId="0" fillId="0" borderId="0" xfId="0"/>
    <xf numFmtId="0" fontId="0" fillId="0" borderId="0" xfId="0" applyAlignment="1">
      <alignment horizontal="center"/>
    </xf>
    <xf numFmtId="0" fontId="0" fillId="2" borderId="0" xfId="0" applyFill="1" applyAlignment="1">
      <alignment horizontal="center"/>
    </xf>
    <xf numFmtId="0" fontId="0" fillId="3" borderId="1" xfId="0" applyFill="1" applyBorder="1"/>
    <xf numFmtId="0" fontId="0" fillId="3" borderId="1" xfId="0" applyFill="1" applyBorder="1" applyAlignment="1">
      <alignment horizontal="center"/>
    </xf>
    <xf numFmtId="0" fontId="0" fillId="0" borderId="1" xfId="0" applyBorder="1"/>
    <xf numFmtId="164" fontId="1" fillId="0" borderId="1" xfId="2" applyNumberFormat="1" applyFont="1" applyFill="1" applyBorder="1" applyAlignment="1">
      <alignment horizontal="center"/>
    </xf>
    <xf numFmtId="164" fontId="1" fillId="0" borderId="1" xfId="2" applyNumberFormat="1" applyFont="1" applyBorder="1" applyAlignment="1">
      <alignment horizontal="center"/>
    </xf>
    <xf numFmtId="164" fontId="1" fillId="3" borderId="1" xfId="2" applyNumberFormat="1" applyFont="1" applyFill="1" applyBorder="1" applyAlignment="1">
      <alignment horizontal="center"/>
    </xf>
    <xf numFmtId="0" fontId="4" fillId="0" borderId="0" xfId="0" applyFont="1"/>
    <xf numFmtId="0" fontId="0" fillId="0" borderId="0" xfId="0" applyFont="1" applyFill="1"/>
    <xf numFmtId="0" fontId="6" fillId="0" borderId="0" xfId="4" applyFont="1" applyFill="1"/>
    <xf numFmtId="0" fontId="4" fillId="0" borderId="0" xfId="4" applyFont="1" applyFill="1" applyAlignment="1">
      <alignment horizontal="center"/>
    </xf>
    <xf numFmtId="0" fontId="4" fillId="0" borderId="0" xfId="4" applyFont="1" applyFill="1" applyAlignment="1">
      <alignment horizontal="center" wrapText="1"/>
    </xf>
    <xf numFmtId="0" fontId="4" fillId="0" borderId="0" xfId="4" applyFont="1" applyFill="1" applyBorder="1" applyAlignment="1">
      <alignment horizontal="center" wrapText="1"/>
    </xf>
    <xf numFmtId="0" fontId="4" fillId="0" borderId="0" xfId="0" applyFont="1" applyAlignment="1">
      <alignment horizontal="center" wrapText="1"/>
    </xf>
    <xf numFmtId="0" fontId="6" fillId="0" borderId="0" xfId="4" applyFont="1" applyFill="1" applyBorder="1"/>
    <xf numFmtId="0" fontId="4" fillId="0" borderId="2" xfId="4" applyFont="1" applyFill="1" applyBorder="1" applyAlignment="1">
      <alignment horizontal="center"/>
    </xf>
    <xf numFmtId="0" fontId="4" fillId="0" borderId="2" xfId="0" applyFont="1" applyBorder="1" applyAlignment="1">
      <alignment horizontal="center"/>
    </xf>
    <xf numFmtId="0" fontId="6" fillId="0" borderId="3" xfId="4" applyFont="1" applyFill="1" applyBorder="1"/>
    <xf numFmtId="0" fontId="4" fillId="0" borderId="4" xfId="4" applyFont="1" applyFill="1" applyBorder="1" applyAlignment="1">
      <alignment horizontal="right"/>
    </xf>
    <xf numFmtId="10" fontId="8" fillId="0" borderId="5" xfId="3" applyNumberFormat="1" applyFont="1" applyFill="1" applyBorder="1" applyAlignment="1">
      <alignment horizontal="right"/>
    </xf>
    <xf numFmtId="165" fontId="6" fillId="0" borderId="0" xfId="5" applyNumberFormat="1" applyFont="1" applyFill="1" applyBorder="1" applyAlignment="1">
      <alignment horizontal="right"/>
    </xf>
    <xf numFmtId="0" fontId="4" fillId="0" borderId="0" xfId="4" applyFont="1" applyFill="1" applyBorder="1" applyAlignment="1">
      <alignment horizontal="center"/>
    </xf>
    <xf numFmtId="0" fontId="4" fillId="0" borderId="0" xfId="6" applyFont="1" applyBorder="1" applyAlignment="1">
      <alignment horizontal="center"/>
    </xf>
    <xf numFmtId="0" fontId="4" fillId="0" borderId="6" xfId="4" applyFont="1" applyFill="1" applyBorder="1"/>
    <xf numFmtId="0" fontId="4" fillId="0" borderId="0" xfId="4" applyFont="1" applyFill="1" applyBorder="1" applyAlignment="1">
      <alignment horizontal="right"/>
    </xf>
    <xf numFmtId="10" fontId="8" fillId="0" borderId="7" xfId="3" applyNumberFormat="1" applyFont="1" applyFill="1" applyBorder="1" applyAlignment="1">
      <alignment horizontal="right"/>
    </xf>
    <xf numFmtId="166" fontId="6" fillId="0" borderId="0" xfId="7" applyNumberFormat="1" applyFont="1" applyFill="1" applyBorder="1" applyAlignment="1">
      <alignment horizontal="right"/>
    </xf>
    <xf numFmtId="0" fontId="6" fillId="0" borderId="0" xfId="4" applyFont="1" applyFill="1" applyAlignment="1">
      <alignment horizontal="center"/>
    </xf>
    <xf numFmtId="2" fontId="6" fillId="0" borderId="0" xfId="4" applyNumberFormat="1" applyFont="1" applyFill="1" applyAlignment="1">
      <alignment horizontal="center"/>
    </xf>
    <xf numFmtId="8" fontId="6" fillId="0" borderId="0" xfId="4" applyNumberFormat="1" applyFont="1" applyFill="1"/>
    <xf numFmtId="44" fontId="6" fillId="0" borderId="0" xfId="5" applyFont="1" applyFill="1"/>
    <xf numFmtId="44" fontId="6" fillId="0" borderId="0" xfId="4" applyNumberFormat="1" applyFont="1" applyFill="1"/>
    <xf numFmtId="44" fontId="6" fillId="0" borderId="0" xfId="5" applyFont="1" applyFill="1" applyAlignment="1">
      <alignment horizontal="center"/>
    </xf>
    <xf numFmtId="0" fontId="6" fillId="0" borderId="6" xfId="4" applyFont="1" applyFill="1" applyBorder="1"/>
    <xf numFmtId="166" fontId="6" fillId="0" borderId="7" xfId="7" applyNumberFormat="1" applyFont="1" applyFill="1" applyBorder="1" applyAlignment="1">
      <alignment horizontal="right"/>
    </xf>
    <xf numFmtId="167" fontId="6" fillId="0" borderId="0" xfId="2" applyNumberFormat="1" applyFont="1" applyAlignment="1">
      <alignment horizontal="center"/>
    </xf>
    <xf numFmtId="167" fontId="6" fillId="0" borderId="0" xfId="4" applyNumberFormat="1" applyFont="1" applyFill="1"/>
    <xf numFmtId="167" fontId="6" fillId="0" borderId="0" xfId="5" applyNumberFormat="1" applyFont="1" applyFill="1"/>
    <xf numFmtId="0" fontId="6" fillId="0" borderId="0" xfId="4" applyFont="1" applyFill="1" applyBorder="1" applyAlignment="1">
      <alignment horizontal="right"/>
    </xf>
    <xf numFmtId="0" fontId="6" fillId="0" borderId="0" xfId="4" applyFont="1" applyFill="1" applyBorder="1" applyAlignment="1"/>
    <xf numFmtId="166" fontId="6" fillId="0" borderId="0" xfId="7" applyNumberFormat="1" applyFont="1" applyFill="1" applyBorder="1"/>
    <xf numFmtId="166" fontId="6" fillId="0" borderId="0" xfId="4" applyNumberFormat="1" applyFont="1" applyFill="1" applyAlignment="1">
      <alignment horizontal="right"/>
    </xf>
    <xf numFmtId="0" fontId="7" fillId="0" borderId="0" xfId="4" applyFont="1" applyFill="1" applyAlignment="1">
      <alignment wrapText="1"/>
    </xf>
    <xf numFmtId="0" fontId="6" fillId="0" borderId="3" xfId="0" applyFont="1" applyFill="1" applyBorder="1" applyAlignment="1">
      <alignment horizontal="center"/>
    </xf>
    <xf numFmtId="0" fontId="6" fillId="0" borderId="4" xfId="0" applyFont="1" applyFill="1" applyBorder="1" applyAlignment="1">
      <alignment horizontal="center"/>
    </xf>
    <xf numFmtId="2" fontId="6" fillId="0" borderId="4" xfId="4" applyNumberFormat="1" applyFont="1" applyFill="1" applyBorder="1" applyAlignment="1">
      <alignment horizontal="center"/>
    </xf>
    <xf numFmtId="43" fontId="1" fillId="0" borderId="5" xfId="1" applyFont="1" applyFill="1" applyBorder="1"/>
    <xf numFmtId="0" fontId="6" fillId="0" borderId="8" xfId="0" applyFont="1" applyFill="1" applyBorder="1" applyAlignment="1">
      <alignment horizontal="center"/>
    </xf>
    <xf numFmtId="0" fontId="6" fillId="0" borderId="2" xfId="0" applyFont="1" applyFill="1" applyBorder="1" applyAlignment="1">
      <alignment horizontal="center"/>
    </xf>
    <xf numFmtId="2" fontId="6" fillId="0" borderId="2" xfId="4" applyNumberFormat="1" applyFont="1" applyFill="1" applyBorder="1" applyAlignment="1">
      <alignment horizontal="center"/>
    </xf>
    <xf numFmtId="167" fontId="6" fillId="0" borderId="9" xfId="2" applyNumberFormat="1" applyFont="1" applyBorder="1" applyAlignment="1">
      <alignment horizontal="center"/>
    </xf>
    <xf numFmtId="0" fontId="6" fillId="0" borderId="0" xfId="0" applyFont="1"/>
    <xf numFmtId="0" fontId="6" fillId="0" borderId="0" xfId="0" applyFont="1" applyFill="1"/>
    <xf numFmtId="0" fontId="4" fillId="0" borderId="0" xfId="0" applyFont="1" applyAlignment="1">
      <alignment horizontal="center"/>
    </xf>
    <xf numFmtId="0" fontId="4" fillId="0" borderId="0" xfId="0" applyFont="1" applyFill="1" applyAlignment="1">
      <alignment horizontal="center" wrapText="1"/>
    </xf>
    <xf numFmtId="0" fontId="4" fillId="0" borderId="2" xfId="0" applyFont="1" applyFill="1" applyBorder="1" applyAlignment="1">
      <alignment horizontal="center"/>
    </xf>
    <xf numFmtId="0" fontId="6" fillId="0" borderId="3" xfId="0" applyFont="1" applyBorder="1"/>
    <xf numFmtId="0" fontId="4" fillId="0" borderId="4" xfId="0" applyFont="1" applyBorder="1" applyAlignment="1">
      <alignment horizontal="right"/>
    </xf>
    <xf numFmtId="165" fontId="6" fillId="0" borderId="5" xfId="5" applyNumberFormat="1" applyFont="1" applyFill="1" applyBorder="1" applyAlignment="1">
      <alignment horizontal="right"/>
    </xf>
    <xf numFmtId="165" fontId="6" fillId="0" borderId="0" xfId="5" applyNumberFormat="1" applyFont="1" applyFill="1" applyAlignment="1">
      <alignment horizontal="right"/>
    </xf>
    <xf numFmtId="0" fontId="4" fillId="0" borderId="0" xfId="0" applyFont="1" applyBorder="1" applyAlignment="1">
      <alignment horizontal="center"/>
    </xf>
    <xf numFmtId="0" fontId="4" fillId="0" borderId="0" xfId="0" applyFont="1" applyFill="1" applyBorder="1" applyAlignment="1">
      <alignment horizontal="center"/>
    </xf>
    <xf numFmtId="0" fontId="6" fillId="0" borderId="6" xfId="0" applyFont="1" applyBorder="1"/>
    <xf numFmtId="0" fontId="4" fillId="0" borderId="0" xfId="0" applyFont="1" applyBorder="1" applyAlignment="1">
      <alignment horizontal="right"/>
    </xf>
    <xf numFmtId="166" fontId="6" fillId="0" borderId="0" xfId="7" applyNumberFormat="1" applyFont="1" applyAlignment="1">
      <alignment horizontal="right"/>
    </xf>
    <xf numFmtId="0" fontId="6" fillId="0" borderId="0" xfId="0" applyFont="1" applyAlignment="1">
      <alignment horizontal="center"/>
    </xf>
    <xf numFmtId="44" fontId="6" fillId="0" borderId="0" xfId="0" applyNumberFormat="1" applyFont="1" applyFill="1"/>
    <xf numFmtId="8" fontId="6" fillId="0" borderId="0" xfId="2" applyNumberFormat="1" applyFont="1" applyAlignment="1">
      <alignment horizontal="center"/>
    </xf>
    <xf numFmtId="167" fontId="6" fillId="0" borderId="0" xfId="0" applyNumberFormat="1" applyFont="1"/>
    <xf numFmtId="10" fontId="6" fillId="0" borderId="7" xfId="7" applyNumberFormat="1" applyFont="1" applyBorder="1" applyAlignment="1">
      <alignment horizontal="right"/>
    </xf>
    <xf numFmtId="166" fontId="6" fillId="0" borderId="7" xfId="7" applyNumberFormat="1" applyFont="1" applyBorder="1" applyAlignment="1">
      <alignment horizontal="right"/>
    </xf>
    <xf numFmtId="0" fontId="6" fillId="0" borderId="0" xfId="0" applyFont="1" applyAlignment="1">
      <alignment horizontal="right"/>
    </xf>
    <xf numFmtId="0" fontId="6" fillId="0" borderId="8" xfId="0" applyFont="1" applyBorder="1"/>
    <xf numFmtId="0" fontId="4" fillId="0" borderId="2" xfId="0" applyFont="1" applyBorder="1" applyAlignment="1">
      <alignment horizontal="right"/>
    </xf>
    <xf numFmtId="0" fontId="6" fillId="0" borderId="0" xfId="0" applyFont="1" applyBorder="1"/>
    <xf numFmtId="0" fontId="4" fillId="0" borderId="0" xfId="0" applyNumberFormat="1" applyFont="1" applyBorder="1" applyAlignment="1">
      <alignment horizontal="right"/>
    </xf>
    <xf numFmtId="170" fontId="6" fillId="0" borderId="0" xfId="0" applyNumberFormat="1" applyFont="1" applyBorder="1"/>
    <xf numFmtId="9" fontId="6" fillId="0" borderId="0" xfId="0" applyNumberFormat="1" applyFont="1" applyBorder="1"/>
    <xf numFmtId="168" fontId="6" fillId="0" borderId="0" xfId="2" applyNumberFormat="1" applyFont="1" applyBorder="1"/>
    <xf numFmtId="0" fontId="0" fillId="0" borderId="0" xfId="0" applyFont="1" applyBorder="1"/>
    <xf numFmtId="0" fontId="6" fillId="0" borderId="0" xfId="0" applyFont="1" applyAlignment="1"/>
    <xf numFmtId="166" fontId="6" fillId="0" borderId="0" xfId="7" applyNumberFormat="1" applyFont="1" applyBorder="1"/>
    <xf numFmtId="0" fontId="0" fillId="0" borderId="0" xfId="0" applyFont="1"/>
    <xf numFmtId="0" fontId="6" fillId="0" borderId="0" xfId="0" applyFont="1" applyFill="1" applyAlignment="1">
      <alignment horizontal="center"/>
    </xf>
    <xf numFmtId="168" fontId="6" fillId="0" borderId="0" xfId="0" applyNumberFormat="1" applyFont="1" applyFill="1"/>
    <xf numFmtId="168" fontId="6" fillId="0" borderId="0" xfId="5" applyNumberFormat="1" applyFont="1" applyFill="1" applyAlignment="1">
      <alignment horizontal="center"/>
    </xf>
    <xf numFmtId="8" fontId="6" fillId="0" borderId="0" xfId="2" applyNumberFormat="1" applyFont="1" applyFill="1" applyAlignment="1">
      <alignment horizontal="center"/>
    </xf>
    <xf numFmtId="167" fontId="6" fillId="0" borderId="0" xfId="0" applyNumberFormat="1" applyFont="1" applyFill="1"/>
    <xf numFmtId="166" fontId="6" fillId="0" borderId="0" xfId="0" applyNumberFormat="1" applyFont="1" applyFill="1" applyAlignment="1">
      <alignment horizontal="right"/>
    </xf>
    <xf numFmtId="8" fontId="0" fillId="0" borderId="0" xfId="0" applyNumberFormat="1" applyFont="1" applyFill="1" applyBorder="1"/>
    <xf numFmtId="8" fontId="0" fillId="0" borderId="4" xfId="0" applyNumberFormat="1" applyFont="1" applyFill="1" applyBorder="1"/>
    <xf numFmtId="44" fontId="6" fillId="0" borderId="4" xfId="0" applyNumberFormat="1" applyFont="1" applyFill="1" applyBorder="1"/>
    <xf numFmtId="168" fontId="6" fillId="0" borderId="4" xfId="0" applyNumberFormat="1" applyFont="1" applyFill="1" applyBorder="1"/>
    <xf numFmtId="168" fontId="6" fillId="0" borderId="4" xfId="5" applyNumberFormat="1" applyFont="1" applyFill="1" applyBorder="1" applyAlignment="1">
      <alignment horizontal="center"/>
    </xf>
    <xf numFmtId="8" fontId="6" fillId="0" borderId="5" xfId="2" applyNumberFormat="1" applyFont="1" applyFill="1" applyBorder="1" applyAlignment="1">
      <alignment horizontal="center"/>
    </xf>
    <xf numFmtId="8" fontId="0" fillId="0" borderId="2" xfId="0" applyNumberFormat="1" applyFont="1" applyFill="1" applyBorder="1"/>
    <xf numFmtId="44" fontId="6" fillId="0" borderId="2" xfId="0" applyNumberFormat="1" applyFont="1" applyFill="1" applyBorder="1"/>
    <xf numFmtId="168" fontId="6" fillId="0" borderId="2" xfId="0" applyNumberFormat="1" applyFont="1" applyFill="1" applyBorder="1"/>
    <xf numFmtId="168" fontId="6" fillId="0" borderId="2" xfId="5" applyNumberFormat="1" applyFont="1" applyFill="1" applyBorder="1" applyAlignment="1">
      <alignment horizontal="center"/>
    </xf>
    <xf numFmtId="8" fontId="6" fillId="0" borderId="9" xfId="2" applyNumberFormat="1" applyFont="1" applyFill="1" applyBorder="1" applyAlignment="1">
      <alignment horizontal="center"/>
    </xf>
    <xf numFmtId="8" fontId="6" fillId="0" borderId="0" xfId="0" applyNumberFormat="1" applyFont="1" applyFill="1"/>
    <xf numFmtId="0" fontId="6" fillId="0" borderId="3" xfId="0" applyFont="1" applyFill="1" applyBorder="1"/>
    <xf numFmtId="0" fontId="6" fillId="0" borderId="4" xfId="0" applyFont="1" applyFill="1" applyBorder="1"/>
    <xf numFmtId="0" fontId="6" fillId="0" borderId="5" xfId="0" applyFont="1" applyFill="1" applyBorder="1"/>
    <xf numFmtId="0" fontId="6" fillId="0" borderId="8" xfId="0" applyFont="1" applyFill="1" applyBorder="1"/>
    <xf numFmtId="0" fontId="6" fillId="0" borderId="2" xfId="0" applyFont="1" applyFill="1" applyBorder="1"/>
    <xf numFmtId="171" fontId="6" fillId="0" borderId="2" xfId="0" applyNumberFormat="1" applyFont="1" applyFill="1" applyBorder="1"/>
    <xf numFmtId="171" fontId="6" fillId="0" borderId="9" xfId="0" applyNumberFormat="1" applyFont="1" applyFill="1" applyBorder="1"/>
    <xf numFmtId="0" fontId="1" fillId="0" borderId="0" xfId="8"/>
    <xf numFmtId="0" fontId="10" fillId="0" borderId="10" xfId="8" applyFont="1" applyBorder="1" applyAlignment="1">
      <alignment vertical="center"/>
    </xf>
    <xf numFmtId="0" fontId="11" fillId="0" borderId="11" xfId="8" applyFont="1" applyBorder="1" applyAlignment="1">
      <alignment vertical="center"/>
    </xf>
    <xf numFmtId="0" fontId="10" fillId="0" borderId="12" xfId="8" applyFont="1" applyBorder="1" applyAlignment="1">
      <alignment horizontal="right" vertical="center"/>
    </xf>
    <xf numFmtId="0" fontId="12" fillId="0" borderId="16" xfId="8" applyFont="1" applyBorder="1" applyAlignment="1">
      <alignment vertical="center"/>
    </xf>
    <xf numFmtId="0" fontId="11" fillId="0" borderId="0" xfId="8" applyFont="1"/>
    <xf numFmtId="0" fontId="10" fillId="0" borderId="17" xfId="8" applyFont="1" applyBorder="1" applyAlignment="1">
      <alignment horizontal="right" vertical="center"/>
    </xf>
    <xf numFmtId="0" fontId="11" fillId="0" borderId="16" xfId="8" applyFont="1" applyBorder="1" applyAlignment="1">
      <alignment vertical="center"/>
    </xf>
    <xf numFmtId="0" fontId="10" fillId="0" borderId="16" xfId="8" applyFont="1" applyBorder="1" applyAlignment="1">
      <alignment horizontal="center" vertical="center"/>
    </xf>
    <xf numFmtId="0" fontId="10" fillId="0" borderId="17" xfId="8" applyFont="1" applyBorder="1" applyAlignment="1">
      <alignment vertical="center"/>
    </xf>
    <xf numFmtId="0" fontId="11" fillId="0" borderId="17" xfId="8" applyFont="1" applyBorder="1" applyAlignment="1">
      <alignment vertical="center"/>
    </xf>
    <xf numFmtId="0" fontId="11" fillId="0" borderId="0" xfId="8" applyFont="1" applyAlignment="1">
      <alignment horizontal="center" vertical="center"/>
    </xf>
    <xf numFmtId="0" fontId="11" fillId="0" borderId="17" xfId="8" applyFont="1" applyBorder="1" applyAlignment="1">
      <alignment horizontal="center" vertical="center"/>
    </xf>
    <xf numFmtId="0" fontId="10" fillId="0" borderId="13" xfId="8" applyFont="1" applyBorder="1" applyAlignment="1">
      <alignment horizontal="center" vertical="center"/>
    </xf>
    <xf numFmtId="0" fontId="10" fillId="0" borderId="14" xfId="8" applyFont="1" applyBorder="1" applyAlignment="1">
      <alignment vertical="center"/>
    </xf>
    <xf numFmtId="0" fontId="11" fillId="0" borderId="14" xfId="8" applyFont="1" applyBorder="1" applyAlignment="1">
      <alignment horizontal="center" vertical="center"/>
    </xf>
    <xf numFmtId="0" fontId="11" fillId="0" borderId="15" xfId="8" applyFont="1" applyBorder="1" applyAlignment="1">
      <alignment horizontal="center" vertical="center"/>
    </xf>
    <xf numFmtId="0" fontId="11" fillId="0" borderId="16" xfId="8" applyFont="1" applyBorder="1" applyAlignment="1">
      <alignment horizontal="center" vertical="center"/>
    </xf>
    <xf numFmtId="0" fontId="11" fillId="0" borderId="0" xfId="8" applyFont="1" applyAlignment="1">
      <alignment vertical="center"/>
    </xf>
    <xf numFmtId="10" fontId="11" fillId="0" borderId="0" xfId="8" applyNumberFormat="1" applyFont="1" applyAlignment="1">
      <alignment horizontal="right" vertical="center"/>
    </xf>
    <xf numFmtId="10" fontId="11" fillId="0" borderId="17" xfId="8" applyNumberFormat="1" applyFont="1" applyBorder="1" applyAlignment="1">
      <alignment horizontal="right" vertical="center"/>
    </xf>
    <xf numFmtId="0" fontId="2" fillId="0" borderId="0" xfId="8" applyFont="1"/>
    <xf numFmtId="10" fontId="11" fillId="0" borderId="14" xfId="8" applyNumberFormat="1" applyFont="1" applyBorder="1" applyAlignment="1">
      <alignment horizontal="right" vertical="center"/>
    </xf>
    <xf numFmtId="10" fontId="11" fillId="0" borderId="11" xfId="8" applyNumberFormat="1" applyFont="1" applyBorder="1" applyAlignment="1">
      <alignment horizontal="right" vertical="center"/>
    </xf>
    <xf numFmtId="10" fontId="11" fillId="0" borderId="12" xfId="8" applyNumberFormat="1" applyFont="1" applyBorder="1" applyAlignment="1">
      <alignment horizontal="right" vertical="center"/>
    </xf>
    <xf numFmtId="0" fontId="11" fillId="0" borderId="13" xfId="8" applyFont="1" applyBorder="1" applyAlignment="1">
      <alignment horizontal="center" vertical="center"/>
    </xf>
    <xf numFmtId="0" fontId="11" fillId="0" borderId="14" xfId="8" applyFont="1" applyBorder="1" applyAlignment="1">
      <alignment vertical="center"/>
    </xf>
    <xf numFmtId="0" fontId="11" fillId="0" borderId="15" xfId="8" applyFont="1" applyBorder="1" applyAlignment="1">
      <alignment vertical="center"/>
    </xf>
    <xf numFmtId="0" fontId="5" fillId="0" borderId="0" xfId="9"/>
    <xf numFmtId="0" fontId="5" fillId="0" borderId="0" xfId="9" applyAlignment="1">
      <alignment horizontal="center" wrapText="1"/>
    </xf>
    <xf numFmtId="2" fontId="5" fillId="0" borderId="0" xfId="9" applyNumberFormat="1"/>
    <xf numFmtId="166" fontId="0" fillId="0" borderId="0" xfId="3" applyNumberFormat="1" applyFont="1" applyAlignment="1">
      <alignment horizontal="center"/>
    </xf>
    <xf numFmtId="0" fontId="13" fillId="0" borderId="0" xfId="6" applyFont="1" applyFill="1"/>
    <xf numFmtId="0" fontId="13" fillId="0" borderId="0" xfId="10" applyFont="1" applyFill="1"/>
    <xf numFmtId="0" fontId="14" fillId="0" borderId="0" xfId="10" applyFont="1" applyFill="1" applyAlignment="1">
      <alignment horizontal="right"/>
    </xf>
    <xf numFmtId="0" fontId="14" fillId="0" borderId="0" xfId="10" applyFont="1" applyFill="1"/>
    <xf numFmtId="0" fontId="9" fillId="0" borderId="0" xfId="10" applyFont="1" applyFill="1"/>
    <xf numFmtId="0" fontId="15" fillId="0" borderId="0" xfId="10" applyFont="1" applyFill="1" applyAlignment="1">
      <alignment horizontal="right"/>
    </xf>
    <xf numFmtId="0" fontId="15" fillId="0" borderId="0" xfId="10" applyFont="1" applyFill="1"/>
    <xf numFmtId="0" fontId="16" fillId="0" borderId="0" xfId="6" applyFont="1" applyFill="1"/>
    <xf numFmtId="0" fontId="15" fillId="0" borderId="0" xfId="10" applyFont="1" applyFill="1" applyAlignment="1">
      <alignment horizontal="center"/>
    </xf>
    <xf numFmtId="0" fontId="15" fillId="0" borderId="0" xfId="10" applyFont="1" applyFill="1" applyAlignment="1">
      <alignment horizontal="center" wrapText="1"/>
    </xf>
    <xf numFmtId="0" fontId="15" fillId="0" borderId="0" xfId="10" applyFont="1" applyFill="1" applyBorder="1" applyAlignment="1">
      <alignment horizontal="center" wrapText="1"/>
    </xf>
    <xf numFmtId="0" fontId="9" fillId="0" borderId="0" xfId="10" applyFont="1" applyFill="1" applyBorder="1"/>
    <xf numFmtId="0" fontId="15" fillId="0" borderId="2" xfId="10" applyFont="1" applyFill="1" applyBorder="1" applyAlignment="1">
      <alignment horizontal="center"/>
    </xf>
    <xf numFmtId="0" fontId="15" fillId="0" borderId="0" xfId="10" applyFont="1" applyFill="1" applyBorder="1" applyAlignment="1">
      <alignment horizontal="right"/>
    </xf>
    <xf numFmtId="10" fontId="9" fillId="0" borderId="20" xfId="7" applyNumberFormat="1" applyFont="1" applyFill="1" applyBorder="1" applyAlignment="1">
      <alignment horizontal="right"/>
    </xf>
    <xf numFmtId="165" fontId="9" fillId="0" borderId="0" xfId="5" applyNumberFormat="1" applyFont="1" applyFill="1" applyBorder="1" applyAlignment="1">
      <alignment horizontal="right"/>
    </xf>
    <xf numFmtId="0" fontId="15" fillId="0" borderId="21" xfId="10" applyFont="1" applyFill="1" applyBorder="1" applyAlignment="1">
      <alignment horizontal="center"/>
    </xf>
    <xf numFmtId="0" fontId="15" fillId="0" borderId="0" xfId="10" applyFont="1" applyFill="1" applyBorder="1" applyAlignment="1">
      <alignment horizontal="center"/>
    </xf>
    <xf numFmtId="0" fontId="15" fillId="0" borderId="0" xfId="10" applyFont="1" applyFill="1" applyBorder="1"/>
    <xf numFmtId="10" fontId="9" fillId="0" borderId="22" xfId="7" applyNumberFormat="1" applyFont="1" applyFill="1" applyBorder="1" applyAlignment="1">
      <alignment horizontal="right"/>
    </xf>
    <xf numFmtId="166" fontId="9" fillId="0" borderId="0" xfId="7" applyNumberFormat="1" applyFont="1" applyFill="1" applyBorder="1" applyAlignment="1">
      <alignment horizontal="right"/>
    </xf>
    <xf numFmtId="0" fontId="9" fillId="0" borderId="0" xfId="10" applyFont="1" applyFill="1" applyBorder="1" applyAlignment="1">
      <alignment horizontal="center"/>
    </xf>
    <xf numFmtId="0" fontId="9" fillId="0" borderId="0" xfId="6" applyFont="1" applyBorder="1" applyAlignment="1">
      <alignment horizontal="center"/>
    </xf>
    <xf numFmtId="2" fontId="9" fillId="0" borderId="0" xfId="10" applyNumberFormat="1" applyFont="1" applyFill="1" applyBorder="1" applyAlignment="1">
      <alignment horizontal="center"/>
    </xf>
    <xf numFmtId="8" fontId="9" fillId="0" borderId="0" xfId="10" applyNumberFormat="1" applyFont="1" applyFill="1"/>
    <xf numFmtId="44" fontId="9" fillId="0" borderId="0" xfId="5" applyFont="1" applyFill="1"/>
    <xf numFmtId="44" fontId="9" fillId="0" borderId="0" xfId="10" applyNumberFormat="1" applyFont="1" applyFill="1"/>
    <xf numFmtId="44" fontId="9" fillId="0" borderId="0" xfId="5" applyFont="1" applyFill="1" applyAlignment="1">
      <alignment horizontal="center"/>
    </xf>
    <xf numFmtId="0" fontId="9" fillId="0" borderId="0" xfId="10" applyFont="1" applyFill="1" applyAlignment="1">
      <alignment horizontal="center"/>
    </xf>
    <xf numFmtId="0" fontId="9" fillId="0" borderId="0" xfId="6" applyFont="1" applyAlignment="1">
      <alignment horizontal="center"/>
    </xf>
    <xf numFmtId="2" fontId="9" fillId="0" borderId="0" xfId="10" applyNumberFormat="1" applyFont="1" applyFill="1" applyAlignment="1">
      <alignment horizontal="center"/>
    </xf>
    <xf numFmtId="0" fontId="9" fillId="0" borderId="0" xfId="10" applyFont="1" applyFill="1" applyBorder="1" applyAlignment="1">
      <alignment horizontal="right"/>
    </xf>
    <xf numFmtId="0" fontId="9" fillId="0" borderId="0" xfId="10" applyFont="1" applyFill="1" applyBorder="1" applyAlignment="1"/>
    <xf numFmtId="166" fontId="9" fillId="0" borderId="0" xfId="7" applyNumberFormat="1" applyFont="1" applyFill="1" applyBorder="1"/>
    <xf numFmtId="0" fontId="13" fillId="0" borderId="0" xfId="10" applyFont="1" applyFill="1" applyAlignment="1">
      <alignment wrapText="1"/>
    </xf>
    <xf numFmtId="0" fontId="9" fillId="0" borderId="0" xfId="6" applyFont="1" applyFill="1" applyAlignment="1">
      <alignment horizontal="center"/>
    </xf>
    <xf numFmtId="0" fontId="9" fillId="0" borderId="0" xfId="9" applyFont="1"/>
    <xf numFmtId="0" fontId="18" fillId="0" borderId="0" xfId="11" applyFont="1" applyAlignment="1" applyProtection="1">
      <alignment vertical="center"/>
    </xf>
    <xf numFmtId="0" fontId="9" fillId="0" borderId="0" xfId="6" applyFont="1" applyFill="1"/>
    <xf numFmtId="0" fontId="5" fillId="0" borderId="0" xfId="6" applyFont="1" applyFill="1"/>
    <xf numFmtId="0" fontId="19" fillId="0" borderId="0" xfId="6" applyFont="1" applyFill="1" applyAlignment="1">
      <alignment horizontal="center"/>
    </xf>
    <xf numFmtId="0" fontId="15" fillId="0" borderId="0" xfId="6" applyFont="1" applyFill="1" applyAlignment="1">
      <alignment horizontal="center" wrapText="1"/>
    </xf>
    <xf numFmtId="0" fontId="15" fillId="0" borderId="2" xfId="6" applyFont="1" applyFill="1" applyBorder="1" applyAlignment="1">
      <alignment horizontal="center"/>
    </xf>
    <xf numFmtId="0" fontId="9" fillId="0" borderId="0" xfId="6" applyFont="1" applyFill="1" applyBorder="1"/>
    <xf numFmtId="0" fontId="15" fillId="0" borderId="0" xfId="6" applyFont="1" applyFill="1" applyBorder="1" applyAlignment="1">
      <alignment horizontal="right"/>
    </xf>
    <xf numFmtId="44" fontId="9" fillId="0" borderId="1" xfId="5" applyFont="1" applyFill="1" applyBorder="1" applyAlignment="1">
      <alignment horizontal="right"/>
    </xf>
    <xf numFmtId="165" fontId="9" fillId="0" borderId="0" xfId="5" applyNumberFormat="1" applyFont="1" applyFill="1" applyAlignment="1">
      <alignment horizontal="right"/>
    </xf>
    <xf numFmtId="0" fontId="15" fillId="0" borderId="21" xfId="6" applyFont="1" applyFill="1" applyBorder="1" applyAlignment="1">
      <alignment horizontal="center"/>
    </xf>
    <xf numFmtId="10" fontId="9" fillId="0" borderId="1" xfId="7" applyNumberFormat="1" applyFont="1" applyFill="1" applyBorder="1" applyAlignment="1">
      <alignment horizontal="right"/>
    </xf>
    <xf numFmtId="44" fontId="16" fillId="0" borderId="0" xfId="5" applyFont="1" applyFill="1" applyBorder="1"/>
    <xf numFmtId="44" fontId="16" fillId="0" borderId="0" xfId="5" applyNumberFormat="1" applyFont="1" applyFill="1" applyBorder="1"/>
    <xf numFmtId="44" fontId="9" fillId="0" borderId="0" xfId="5" applyFont="1" applyFill="1" applyBorder="1"/>
    <xf numFmtId="165" fontId="9" fillId="0" borderId="21" xfId="5" applyNumberFormat="1" applyFont="1" applyFill="1" applyBorder="1" applyAlignment="1">
      <alignment horizontal="center"/>
    </xf>
    <xf numFmtId="0" fontId="15" fillId="0" borderId="23" xfId="6" applyNumberFormat="1" applyFont="1" applyFill="1" applyBorder="1" applyAlignment="1">
      <alignment horizontal="center"/>
    </xf>
    <xf numFmtId="0" fontId="15" fillId="0" borderId="21" xfId="6" applyNumberFormat="1" applyFont="1" applyFill="1" applyBorder="1" applyAlignment="1">
      <alignment horizontal="center"/>
    </xf>
    <xf numFmtId="44" fontId="9" fillId="0" borderId="21" xfId="5" applyFont="1" applyFill="1" applyBorder="1"/>
    <xf numFmtId="0" fontId="6" fillId="0" borderId="0" xfId="6" applyFont="1" applyFill="1"/>
    <xf numFmtId="44" fontId="5" fillId="0" borderId="0" xfId="9" applyNumberFormat="1" applyFont="1" applyFill="1"/>
    <xf numFmtId="8" fontId="20" fillId="0" borderId="0" xfId="6" applyNumberFormat="1" applyFont="1" applyFill="1" applyBorder="1"/>
    <xf numFmtId="44" fontId="9" fillId="0" borderId="0" xfId="6" applyNumberFormat="1" applyFont="1" applyFill="1"/>
    <xf numFmtId="168" fontId="9" fillId="0" borderId="0" xfId="6" applyNumberFormat="1" applyFont="1" applyFill="1"/>
    <xf numFmtId="168" fontId="9" fillId="0" borderId="0" xfId="5" applyNumberFormat="1" applyFont="1" applyFill="1" applyAlignment="1">
      <alignment horizontal="center"/>
    </xf>
    <xf numFmtId="0" fontId="9" fillId="0" borderId="0" xfId="6" applyFont="1" applyFill="1" applyAlignment="1">
      <alignment horizontal="left"/>
    </xf>
    <xf numFmtId="0" fontId="15" fillId="0" borderId="26" xfId="6" applyFont="1" applyFill="1" applyBorder="1" applyAlignment="1">
      <alignment horizontal="center"/>
    </xf>
    <xf numFmtId="0" fontId="15" fillId="0" borderId="27" xfId="6" applyFont="1" applyFill="1" applyBorder="1" applyAlignment="1">
      <alignment horizontal="center"/>
    </xf>
    <xf numFmtId="0" fontId="9" fillId="0" borderId="0" xfId="4" applyFont="1" applyFill="1" applyBorder="1" applyAlignment="1">
      <alignment horizontal="center"/>
    </xf>
    <xf numFmtId="0" fontId="9" fillId="0" borderId="0" xfId="4" applyFont="1" applyFill="1" applyAlignment="1">
      <alignment horizontal="center"/>
    </xf>
    <xf numFmtId="44" fontId="6" fillId="0" borderId="0" xfId="0" applyNumberFormat="1" applyFont="1"/>
    <xf numFmtId="44" fontId="6" fillId="0" borderId="0" xfId="5" applyNumberFormat="1" applyFont="1" applyAlignment="1">
      <alignment horizontal="center"/>
    </xf>
    <xf numFmtId="44" fontId="6" fillId="0" borderId="0" xfId="5" applyNumberFormat="1" applyFont="1" applyFill="1" applyAlignment="1">
      <alignment horizontal="center"/>
    </xf>
    <xf numFmtId="169" fontId="6" fillId="0" borderId="9" xfId="7" applyNumberFormat="1" applyFont="1" applyFill="1" applyBorder="1" applyAlignment="1">
      <alignment horizontal="right"/>
    </xf>
    <xf numFmtId="0" fontId="6" fillId="0" borderId="8" xfId="4" applyFont="1" applyFill="1" applyBorder="1"/>
    <xf numFmtId="0" fontId="4" fillId="0" borderId="2" xfId="4" applyFont="1" applyFill="1" applyBorder="1" applyAlignment="1">
      <alignment horizontal="right"/>
    </xf>
    <xf numFmtId="166" fontId="6" fillId="0" borderId="9" xfId="7" applyNumberFormat="1" applyFont="1" applyFill="1" applyBorder="1" applyAlignment="1">
      <alignment horizontal="right"/>
    </xf>
    <xf numFmtId="10" fontId="11" fillId="0" borderId="0" xfId="8" applyNumberFormat="1" applyFont="1" applyFill="1" applyAlignment="1">
      <alignment horizontal="right" vertical="center"/>
    </xf>
    <xf numFmtId="10" fontId="11" fillId="0" borderId="17" xfId="8" applyNumberFormat="1" applyFont="1" applyFill="1" applyBorder="1" applyAlignment="1">
      <alignment horizontal="right" vertical="center"/>
    </xf>
    <xf numFmtId="10" fontId="11" fillId="0" borderId="14" xfId="8" applyNumberFormat="1" applyFont="1" applyFill="1" applyBorder="1" applyAlignment="1">
      <alignment horizontal="right" vertical="center"/>
    </xf>
    <xf numFmtId="10" fontId="11" fillId="0" borderId="11" xfId="8" applyNumberFormat="1" applyFont="1" applyFill="1" applyBorder="1" applyAlignment="1">
      <alignment horizontal="right" vertical="center"/>
    </xf>
    <xf numFmtId="0" fontId="11" fillId="0" borderId="0" xfId="8" applyFont="1" applyFill="1"/>
    <xf numFmtId="10" fontId="11" fillId="0" borderId="19" xfId="8" applyNumberFormat="1" applyFont="1" applyFill="1" applyBorder="1" applyAlignment="1">
      <alignment horizontal="right" vertical="center"/>
    </xf>
    <xf numFmtId="0" fontId="4" fillId="0" borderId="0" xfId="4" applyFont="1" applyFill="1" applyBorder="1"/>
    <xf numFmtId="0" fontId="15" fillId="0" borderId="0" xfId="6" applyFont="1" applyFill="1" applyAlignment="1">
      <alignment horizontal="center"/>
    </xf>
    <xf numFmtId="0" fontId="15" fillId="0" borderId="0" xfId="9" applyFont="1" applyFill="1" applyAlignment="1">
      <alignment horizontal="center" wrapText="1"/>
    </xf>
    <xf numFmtId="0" fontId="15" fillId="0" borderId="10" xfId="9" applyFont="1" applyFill="1" applyBorder="1" applyAlignment="1">
      <alignment horizontal="center" wrapText="1"/>
    </xf>
    <xf numFmtId="0" fontId="15" fillId="0" borderId="12" xfId="9" applyFont="1" applyFill="1" applyBorder="1" applyAlignment="1">
      <alignment horizontal="center" wrapText="1"/>
    </xf>
    <xf numFmtId="0" fontId="15" fillId="0" borderId="2" xfId="9" applyFont="1" applyFill="1" applyBorder="1" applyAlignment="1">
      <alignment horizontal="center"/>
    </xf>
    <xf numFmtId="0" fontId="15" fillId="0" borderId="25" xfId="9" applyFont="1" applyFill="1" applyBorder="1" applyAlignment="1">
      <alignment horizontal="center"/>
    </xf>
    <xf numFmtId="0" fontId="15" fillId="0" borderId="24" xfId="9" applyFont="1" applyFill="1" applyBorder="1" applyAlignment="1">
      <alignment horizontal="center"/>
    </xf>
    <xf numFmtId="166" fontId="9" fillId="0" borderId="0" xfId="7" applyNumberFormat="1" applyFont="1" applyFill="1" applyAlignment="1">
      <alignment horizontal="right"/>
    </xf>
    <xf numFmtId="0" fontId="9" fillId="0" borderId="0" xfId="6" applyFont="1" applyFill="1" applyBorder="1" applyAlignment="1">
      <alignment horizontal="center"/>
    </xf>
    <xf numFmtId="44" fontId="9" fillId="0" borderId="0" xfId="5" applyFont="1" applyFill="1" applyBorder="1" applyAlignment="1">
      <alignment horizontal="center"/>
    </xf>
    <xf numFmtId="172" fontId="9" fillId="0" borderId="0" xfId="5" applyNumberFormat="1" applyFont="1" applyFill="1" applyBorder="1" applyAlignment="1">
      <alignment horizontal="center"/>
    </xf>
    <xf numFmtId="44" fontId="9" fillId="0" borderId="16" xfId="5" applyFont="1" applyFill="1" applyBorder="1" applyAlignment="1">
      <alignment horizontal="center"/>
    </xf>
    <xf numFmtId="172" fontId="9" fillId="0" borderId="17" xfId="5" applyNumberFormat="1" applyFont="1" applyFill="1" applyBorder="1" applyAlignment="1">
      <alignment horizontal="center"/>
    </xf>
    <xf numFmtId="172" fontId="9" fillId="0" borderId="0" xfId="5" applyNumberFormat="1" applyFont="1" applyFill="1" applyAlignment="1">
      <alignment horizontal="center"/>
    </xf>
    <xf numFmtId="0" fontId="9" fillId="0" borderId="0" xfId="6" applyFont="1" applyFill="1" applyAlignment="1">
      <alignment horizontal="right"/>
    </xf>
    <xf numFmtId="0" fontId="5" fillId="0" borderId="0" xfId="9" applyFont="1" applyFill="1"/>
    <xf numFmtId="9" fontId="9" fillId="0" borderId="0" xfId="7" applyFont="1" applyFill="1" applyBorder="1"/>
    <xf numFmtId="0" fontId="20" fillId="0" borderId="0" xfId="6" applyFont="1" applyFill="1" applyBorder="1"/>
    <xf numFmtId="0" fontId="20" fillId="0" borderId="0" xfId="6" applyFont="1" applyFill="1"/>
    <xf numFmtId="44" fontId="9" fillId="0" borderId="13" xfId="5" applyFont="1" applyFill="1" applyBorder="1" applyAlignment="1">
      <alignment horizontal="center"/>
    </xf>
    <xf numFmtId="172" fontId="9" fillId="0" borderId="15" xfId="5" applyNumberFormat="1" applyFont="1" applyFill="1" applyBorder="1" applyAlignment="1">
      <alignment horizontal="center"/>
    </xf>
    <xf numFmtId="8" fontId="9" fillId="0" borderId="0" xfId="5" applyNumberFormat="1" applyFont="1" applyFill="1" applyAlignment="1">
      <alignment horizontal="center"/>
    </xf>
    <xf numFmtId="0" fontId="9" fillId="0" borderId="0" xfId="9" applyFont="1" applyFill="1" applyAlignment="1">
      <alignment horizontal="left" vertical="center" wrapText="1"/>
    </xf>
    <xf numFmtId="2" fontId="0" fillId="0" borderId="0" xfId="0" applyNumberFormat="1" applyFill="1" applyBorder="1"/>
    <xf numFmtId="0" fontId="10" fillId="0" borderId="16" xfId="8" applyFont="1" applyBorder="1" applyAlignment="1">
      <alignment horizontal="center" vertical="center"/>
    </xf>
    <xf numFmtId="0" fontId="10" fillId="0" borderId="0" xfId="8" applyFont="1" applyBorder="1" applyAlignment="1">
      <alignment horizontal="center" vertical="center"/>
    </xf>
    <xf numFmtId="0" fontId="10" fillId="0" borderId="18" xfId="8" applyFont="1" applyBorder="1" applyAlignment="1">
      <alignment horizontal="center" vertical="center"/>
    </xf>
    <xf numFmtId="0" fontId="9" fillId="0" borderId="0" xfId="9" applyFont="1" applyFill="1" applyAlignment="1">
      <alignment horizontal="left" vertical="top" wrapText="1"/>
    </xf>
  </cellXfs>
  <cellStyles count="14">
    <cellStyle name="Comma" xfId="1" builtinId="3"/>
    <cellStyle name="Currency" xfId="2" builtinId="4"/>
    <cellStyle name="Currency 2" xfId="5" xr:uid="{00000000-0005-0000-0000-000002000000}"/>
    <cellStyle name="Currency 4" xfId="13" xr:uid="{00000000-0005-0000-0000-000003000000}"/>
    <cellStyle name="Hyperlink" xfId="11" builtinId="8"/>
    <cellStyle name="Normal" xfId="0" builtinId="0"/>
    <cellStyle name="Normal 2" xfId="9" xr:uid="{00000000-0005-0000-0000-000006000000}"/>
    <cellStyle name="Normal 4" xfId="4" xr:uid="{00000000-0005-0000-0000-000007000000}"/>
    <cellStyle name="Normal 4 2" xfId="10" xr:uid="{00000000-0005-0000-0000-000008000000}"/>
    <cellStyle name="Normal 6" xfId="12" xr:uid="{00000000-0005-0000-0000-000009000000}"/>
    <cellStyle name="Normal 7" xfId="8" xr:uid="{00000000-0005-0000-0000-00000A000000}"/>
    <cellStyle name="Normal_ElectricAvoidedCost_FlatLoad.Jim_Tom.10.14.11" xfId="6" xr:uid="{00000000-0005-0000-0000-00000B000000}"/>
    <cellStyle name="Percent" xfId="3" builtinId="5"/>
    <cellStyle name="Percent 2" xfId="7"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8"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15"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3.xml"/><Relationship Id="rId19" Type="http://schemas.openxmlformats.org/officeDocument/2006/relationships/customXml" Target="../customXml/item3.xml"/><Relationship Id="rId1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activeX/_rels/activeX1.xml.rels>&#65279;<?xml version="1.0" encoding="UTF-8" standalone="yes"?>
<Relationships xmlns="http://schemas.openxmlformats.org/package/2006/relationships">
  <Relationship Id="rId1" Type="http://schemas.microsoft.com/office/2006/relationships/activeXControlBinary" Target="activeX1.bin" />
</Relationships>
</file>

<file path=xl/activeX/_rels/activeX2.xml.rels>&#65279;<?xml version="1.0" encoding="UTF-8" standalone="yes"?>
<Relationships xmlns="http://schemas.openxmlformats.org/package/2006/relationships">
  <Relationship Id="rId1" Type="http://schemas.microsoft.com/office/2006/relationships/activeXControlBinary" Target="activeX2.bin" />
</Relationships>
</file>

<file path=xl/activeX/_rels/activeX3.xml.rels>&#65279;<?xml version="1.0" encoding="UTF-8" standalone="yes"?>
<Relationships xmlns="http://schemas.openxmlformats.org/package/2006/relationships">
  <Relationship Id="rId1" Type="http://schemas.microsoft.com/office/2006/relationships/activeXControlBinary" Target="activeX3.bin" />
</Relationships>
</file>

<file path=xl/activeX/_rels/activeX4.xml.rels>&#65279;<?xml version="1.0" encoding="UTF-8" standalone="yes"?>
<Relationships xmlns="http://schemas.openxmlformats.org/package/2006/relationships">
  <Relationship Id="rId1" Type="http://schemas.microsoft.com/office/2006/relationships/activeXControlBinary" Target="activeX4.bin" />
</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Times New Roman"/>
                <a:ea typeface="Times New Roman"/>
                <a:cs typeface="Times New Roman"/>
              </a:defRPr>
            </a:pPr>
            <a:r>
              <a:rPr lang="en-US" sz="1800" b="1" i="0" u="none" strike="noStrike" baseline="0">
                <a:solidFill>
                  <a:srgbClr val="000000"/>
                </a:solidFill>
                <a:latin typeface="Times New Roman"/>
                <a:cs typeface="Times New Roman"/>
              </a:rPr>
              <a:t>2019 Long-Run Avoided Cost - Residential </a:t>
            </a:r>
          </a:p>
          <a:p>
            <a:pPr>
              <a:defRPr sz="1000" b="0" i="0" u="none" strike="noStrike" baseline="0">
                <a:solidFill>
                  <a:srgbClr val="000000"/>
                </a:solidFill>
                <a:latin typeface="Times New Roman"/>
                <a:ea typeface="Times New Roman"/>
                <a:cs typeface="Times New Roman"/>
              </a:defRPr>
            </a:pPr>
            <a:r>
              <a:rPr lang="en-US" sz="1800" b="1" i="0" u="none" strike="noStrike" baseline="0">
                <a:solidFill>
                  <a:srgbClr val="000000"/>
                </a:solidFill>
                <a:latin typeface="Times New Roman"/>
                <a:cs typeface="Times New Roman"/>
              </a:rPr>
              <a:t>($0.055872/kWh)</a:t>
            </a:r>
          </a:p>
        </c:rich>
      </c:tx>
      <c:overlay val="0"/>
    </c:title>
    <c:autoTitleDeleted val="0"/>
    <c:plotArea>
      <c:layout/>
      <c:barChart>
        <c:barDir val="col"/>
        <c:grouping val="stacked"/>
        <c:varyColors val="0"/>
        <c:ser>
          <c:idx val="5"/>
          <c:order val="0"/>
          <c:tx>
            <c:strRef>
              <c:f>'2019 Summary - Residential'!$B$9</c:f>
              <c:strCache>
                <c:ptCount val="1"/>
                <c:pt idx="0">
                  <c:v>Avoided Energy</c:v>
                </c:pt>
              </c:strCache>
            </c:strRef>
          </c:tx>
          <c:invertIfNegative val="0"/>
          <c:val>
            <c:numRef>
              <c:f>'2019 Summary - Residential'!$D$9</c:f>
              <c:numCache>
                <c:formatCode>_("$"* #,##0.000000_);_("$"* \(#,##0.000000\);_("$"* "-"??_);_(@_)</c:formatCode>
                <c:ptCount val="1"/>
                <c:pt idx="0">
                  <c:v>2.3428869446417637E-2</c:v>
                </c:pt>
              </c:numCache>
            </c:numRef>
          </c:val>
          <c:extLst>
            <c:ext xmlns:c16="http://schemas.microsoft.com/office/drawing/2014/chart" uri="{C3380CC4-5D6E-409C-BE32-E72D297353CC}">
              <c16:uniqueId val="{00000000-1162-42DE-A1E6-27ACDDBFC108}"/>
            </c:ext>
          </c:extLst>
        </c:ser>
        <c:ser>
          <c:idx val="0"/>
          <c:order val="1"/>
          <c:tx>
            <c:strRef>
              <c:f>'2019 Summary - Residential'!$B$10</c:f>
              <c:strCache>
                <c:ptCount val="1"/>
                <c:pt idx="0">
                  <c:v>T&amp;D Loss Reduction</c:v>
                </c:pt>
              </c:strCache>
            </c:strRef>
          </c:tx>
          <c:invertIfNegative val="0"/>
          <c:val>
            <c:numRef>
              <c:f>'2019 Summary - Residential'!$D$10</c:f>
              <c:numCache>
                <c:formatCode>_("$"* #,##0.000000_);_("$"* \(#,##0.000000\);_("$"* "-"??_);_(@_)</c:formatCode>
                <c:ptCount val="1"/>
                <c:pt idx="0">
                  <c:v>1.6634497306956522E-3</c:v>
                </c:pt>
              </c:numCache>
            </c:numRef>
          </c:val>
          <c:extLst>
            <c:ext xmlns:c16="http://schemas.microsoft.com/office/drawing/2014/chart" uri="{C3380CC4-5D6E-409C-BE32-E72D297353CC}">
              <c16:uniqueId val="{00000001-1162-42DE-A1E6-27ACDDBFC108}"/>
            </c:ext>
          </c:extLst>
        </c:ser>
        <c:ser>
          <c:idx val="1"/>
          <c:order val="2"/>
          <c:tx>
            <c:strRef>
              <c:f>'2019 Summary - Residential'!$B$11</c:f>
              <c:strCache>
                <c:ptCount val="1"/>
                <c:pt idx="0">
                  <c:v>Avoided Renewable Energy</c:v>
                </c:pt>
              </c:strCache>
            </c:strRef>
          </c:tx>
          <c:invertIfNegative val="0"/>
          <c:val>
            <c:numRef>
              <c:f>'2019 Summary - Residential'!$D$11</c:f>
              <c:numCache>
                <c:formatCode>_("$"* #,##0.000000_);_("$"* \(#,##0.000000\);_("$"* "-"??_);_(@_)</c:formatCode>
                <c:ptCount val="1"/>
                <c:pt idx="0">
                  <c:v>3.8399999999999966E-3</c:v>
                </c:pt>
              </c:numCache>
            </c:numRef>
          </c:val>
          <c:extLst>
            <c:ext xmlns:c16="http://schemas.microsoft.com/office/drawing/2014/chart" uri="{C3380CC4-5D6E-409C-BE32-E72D297353CC}">
              <c16:uniqueId val="{00000002-1162-42DE-A1E6-27ACDDBFC108}"/>
            </c:ext>
          </c:extLst>
        </c:ser>
        <c:ser>
          <c:idx val="2"/>
          <c:order val="3"/>
          <c:tx>
            <c:strRef>
              <c:f>'2019 Summary - Residential'!$B$12</c:f>
              <c:strCache>
                <c:ptCount val="1"/>
                <c:pt idx="0">
                  <c:v>Conservation Credit - Energy</c:v>
                </c:pt>
              </c:strCache>
            </c:strRef>
          </c:tx>
          <c:invertIfNegative val="0"/>
          <c:val>
            <c:numRef>
              <c:f>'2019 Summary - Residential'!$D$12</c:f>
              <c:numCache>
                <c:formatCode>_("$"* #,##0.000000_);_("$"* \(#,##0.000000\);_("$"* "-"??_);_(@_)</c:formatCode>
                <c:ptCount val="1"/>
                <c:pt idx="0">
                  <c:v>2.8932319177113293E-3</c:v>
                </c:pt>
              </c:numCache>
            </c:numRef>
          </c:val>
          <c:extLst>
            <c:ext xmlns:c16="http://schemas.microsoft.com/office/drawing/2014/chart" uri="{C3380CC4-5D6E-409C-BE32-E72D297353CC}">
              <c16:uniqueId val="{00000003-1162-42DE-A1E6-27ACDDBFC108}"/>
            </c:ext>
          </c:extLst>
        </c:ser>
        <c:ser>
          <c:idx val="3"/>
          <c:order val="4"/>
          <c:tx>
            <c:strRef>
              <c:f>'2019 Summary - Residential'!$B$13</c:f>
              <c:strCache>
                <c:ptCount val="1"/>
                <c:pt idx="0">
                  <c:v>Avoided Generation Capacity</c:v>
                </c:pt>
              </c:strCache>
            </c:strRef>
          </c:tx>
          <c:invertIfNegative val="0"/>
          <c:val>
            <c:numRef>
              <c:f>'2019 Summary - Residential'!$D$13</c:f>
              <c:numCache>
                <c:formatCode>_("$"* #,##0.000000_);_("$"* \(#,##0.000000\);_("$"* "-"??_);_(@_)</c:formatCode>
                <c:ptCount val="1"/>
                <c:pt idx="0">
                  <c:v>1.474362163470873E-2</c:v>
                </c:pt>
              </c:numCache>
            </c:numRef>
          </c:val>
          <c:extLst>
            <c:ext xmlns:c16="http://schemas.microsoft.com/office/drawing/2014/chart" uri="{C3380CC4-5D6E-409C-BE32-E72D297353CC}">
              <c16:uniqueId val="{00000004-1162-42DE-A1E6-27ACDDBFC108}"/>
            </c:ext>
          </c:extLst>
        </c:ser>
        <c:ser>
          <c:idx val="4"/>
          <c:order val="5"/>
          <c:tx>
            <c:strRef>
              <c:f>'2019 Summary - Residential'!$B$14</c:f>
              <c:strCache>
                <c:ptCount val="1"/>
                <c:pt idx="0">
                  <c:v>Deferred T&amp;D Capacity</c:v>
                </c:pt>
              </c:strCache>
            </c:strRef>
          </c:tx>
          <c:invertIfNegative val="0"/>
          <c:val>
            <c:numRef>
              <c:f>'2019 Summary - Residential'!$D$14</c:f>
              <c:numCache>
                <c:formatCode>_("$"* #,##0.000000_);_("$"* \(#,##0.000000\);_("$"* "-"??_);_(@_)</c:formatCode>
                <c:ptCount val="1"/>
                <c:pt idx="0">
                  <c:v>7.1164549343400718E-3</c:v>
                </c:pt>
              </c:numCache>
            </c:numRef>
          </c:val>
          <c:extLst>
            <c:ext xmlns:c16="http://schemas.microsoft.com/office/drawing/2014/chart" uri="{C3380CC4-5D6E-409C-BE32-E72D297353CC}">
              <c16:uniqueId val="{00000005-1162-42DE-A1E6-27ACDDBFC108}"/>
            </c:ext>
          </c:extLst>
        </c:ser>
        <c:ser>
          <c:idx val="6"/>
          <c:order val="6"/>
          <c:tx>
            <c:strRef>
              <c:f>'2019 Summary - Residential'!$B$15</c:f>
              <c:strCache>
                <c:ptCount val="1"/>
                <c:pt idx="0">
                  <c:v>Conservation Credit - Capacity</c:v>
                </c:pt>
              </c:strCache>
            </c:strRef>
          </c:tx>
          <c:invertIfNegative val="0"/>
          <c:val>
            <c:numRef>
              <c:f>'2019 Summary - Residential'!$D$15</c:f>
              <c:numCache>
                <c:formatCode>_("$"* #,##0.000000_);_("$"* \(#,##0.000000\);_("$"* "-"??_);_(@_)</c:formatCode>
                <c:ptCount val="1"/>
                <c:pt idx="0">
                  <c:v>2.1860076569048805E-3</c:v>
                </c:pt>
              </c:numCache>
            </c:numRef>
          </c:val>
          <c:extLst>
            <c:ext xmlns:c16="http://schemas.microsoft.com/office/drawing/2014/chart" uri="{C3380CC4-5D6E-409C-BE32-E72D297353CC}">
              <c16:uniqueId val="{00000006-1162-42DE-A1E6-27ACDDBFC108}"/>
            </c:ext>
          </c:extLst>
        </c:ser>
        <c:dLbls>
          <c:showLegendKey val="0"/>
          <c:showVal val="0"/>
          <c:showCatName val="0"/>
          <c:showSerName val="0"/>
          <c:showPercent val="0"/>
          <c:showBubbleSize val="0"/>
        </c:dLbls>
        <c:gapWidth val="55"/>
        <c:overlap val="100"/>
        <c:axId val="628626432"/>
        <c:axId val="1"/>
      </c:barChart>
      <c:catAx>
        <c:axId val="628626432"/>
        <c:scaling>
          <c:orientation val="minMax"/>
        </c:scaling>
        <c:delete val="0"/>
        <c:axPos val="b"/>
        <c:majorTickMark val="none"/>
        <c:minorTickMark val="none"/>
        <c:tickLblPos val="none"/>
        <c:crossAx val="1"/>
        <c:crosses val="autoZero"/>
        <c:auto val="1"/>
        <c:lblAlgn val="ctr"/>
        <c:lblOffset val="100"/>
        <c:noMultiLvlLbl val="0"/>
      </c:catAx>
      <c:valAx>
        <c:axId val="1"/>
        <c:scaling>
          <c:orientation val="minMax"/>
          <c:max val="0.1"/>
        </c:scaling>
        <c:delete val="0"/>
        <c:axPos val="l"/>
        <c:majorGridlines/>
        <c:title>
          <c:tx>
            <c:rich>
              <a:bodyPr/>
              <a:lstStyle/>
              <a:p>
                <a:pPr>
                  <a:defRPr sz="1000" b="1" i="0" u="none" strike="noStrike" baseline="0">
                    <a:solidFill>
                      <a:srgbClr val="000000"/>
                    </a:solidFill>
                    <a:latin typeface="Times New Roman"/>
                    <a:ea typeface="Times New Roman"/>
                    <a:cs typeface="Times New Roman"/>
                  </a:defRPr>
                </a:pPr>
                <a:r>
                  <a:rPr lang="en-US"/>
                  <a:t>20-Year Levelized Avoided Cost ($/kWh)</a:t>
                </a:r>
              </a:p>
            </c:rich>
          </c:tx>
          <c:overlay val="0"/>
        </c:title>
        <c:numFmt formatCode="_(&quot;$&quot;* #,##0.000000_);_(&quot;$&quot;* \(#,##0.000000\);_(&quot;$&quot;* &quot;-&quot;??_);_(@_)" sourceLinked="1"/>
        <c:majorTickMark val="none"/>
        <c:minorTickMark val="none"/>
        <c:tickLblPos val="nextTo"/>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28626432"/>
        <c:crosses val="autoZero"/>
        <c:crossBetween val="between"/>
      </c:valAx>
    </c:plotArea>
    <c:legend>
      <c:legendPos val="r"/>
      <c:overlay val="0"/>
      <c:txPr>
        <a:bodyPr/>
        <a:lstStyle/>
        <a:p>
          <a:pPr>
            <a:defRPr sz="7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Times New Roman"/>
          <a:ea typeface="Times New Roman"/>
          <a:cs typeface="Times New Roman"/>
        </a:defRPr>
      </a:pPr>
      <a:endParaRPr lang="en-US"/>
    </a:p>
  </c:txPr>
  <c:printSettings>
    <c:headerFooter/>
    <c:pageMargins b="0.75" l="0.7" r="0.7" t="0.75" header="0.3" footer="0.3"/>
    <c:pageSetup/>
  </c:printSettings>
</c:chartSpace>
</file>

<file path=xl/drawings/_rels/drawing1.xml.rels>&#65279;<?xml version="1.0" encoding="UTF-8" standalone="yes"?>
<Relationships xmlns="http://schemas.openxmlformats.org/package/2006/relationships">
  <Relationship Id="rId1" Type="http://schemas.openxmlformats.org/officeDocument/2006/relationships/chart" Target="../charts/chart1.xml" />
</Relationships>
</file>

<file path=xl/drawings/_rels/vmlDrawing1.vml.rels>&#65279;<?xml version="1.0" encoding="UTF-8" standalone="yes"?>
<Relationships xmlns="http://schemas.openxmlformats.org/package/2006/relationships">
  <Relationship Id="rId3" Type="http://schemas.openxmlformats.org/officeDocument/2006/relationships/image" Target="../media/image3.emf" />
  <Relationship Id="rId2" Type="http://schemas.openxmlformats.org/officeDocument/2006/relationships/image" Target="../media/image2.emf" />
  <Relationship Id="rId1" Type="http://schemas.openxmlformats.org/officeDocument/2006/relationships/image" Target="../media/image1.emf" />
  <Relationship Id="rId4" Type="http://schemas.openxmlformats.org/officeDocument/2006/relationships/image" Target="../media/image4.emf" />
</Relationships>
</file>

<file path=xl/drawings/drawing1.xml><?xml version="1.0" encoding="utf-8"?>
<xdr:wsDr xmlns:xdr="http://schemas.openxmlformats.org/drawingml/2006/spreadsheetDrawing" xmlns:a="http://schemas.openxmlformats.org/drawingml/2006/main">
  <xdr:twoCellAnchor>
    <xdr:from>
      <xdr:col>7</xdr:col>
      <xdr:colOff>0</xdr:colOff>
      <xdr:row>3</xdr:row>
      <xdr:rowOff>38100</xdr:rowOff>
    </xdr:from>
    <xdr:to>
      <xdr:col>15</xdr:col>
      <xdr:colOff>9525</xdr:colOff>
      <xdr:row>27</xdr:row>
      <xdr:rowOff>47625</xdr:rowOff>
    </xdr:to>
    <xdr:graphicFrame macro="">
      <xdr:nvGraphicFramePr>
        <xdr:cNvPr id="2" name="Chart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574040</xdr:colOff>
          <xdr:row>2</xdr:row>
          <xdr:rowOff>93980</xdr:rowOff>
        </xdr:from>
        <xdr:to>
          <xdr:col>6</xdr:col>
          <xdr:colOff>741680</xdr:colOff>
          <xdr:row>3</xdr:row>
          <xdr:rowOff>66040</xdr:rowOff>
        </xdr:to>
        <xdr:sp macro="" textlink="">
          <xdr:nvSpPr>
            <xdr:cNvPr id="10241" name="Control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93980</xdr:rowOff>
        </xdr:from>
        <xdr:to>
          <xdr:col>6</xdr:col>
          <xdr:colOff>1130300</xdr:colOff>
          <xdr:row>3</xdr:row>
          <xdr:rowOff>66040</xdr:rowOff>
        </xdr:to>
        <xdr:sp macro="" textlink="">
          <xdr:nvSpPr>
            <xdr:cNvPr id="10242" name="Control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93980</xdr:rowOff>
        </xdr:from>
        <xdr:to>
          <xdr:col>6</xdr:col>
          <xdr:colOff>1130300</xdr:colOff>
          <xdr:row>3</xdr:row>
          <xdr:rowOff>66040</xdr:rowOff>
        </xdr:to>
        <xdr:sp macro="" textlink="">
          <xdr:nvSpPr>
            <xdr:cNvPr id="10243" name="Control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574040</xdr:colOff>
          <xdr:row>2</xdr:row>
          <xdr:rowOff>93980</xdr:rowOff>
        </xdr:from>
        <xdr:to>
          <xdr:col>6</xdr:col>
          <xdr:colOff>1145540</xdr:colOff>
          <xdr:row>3</xdr:row>
          <xdr:rowOff>127000</xdr:rowOff>
        </xdr:to>
        <xdr:sp macro="" textlink="">
          <xdr:nvSpPr>
            <xdr:cNvPr id="10244" name="Control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J:\GrpRates\Public\RASANEN\%23%20%20%202019%20GRC\Data%20Requests\Public%20Counsel\PC%20DR%20157%20Support\190529-30%20PSE%20Resp%20PC%20DR%20157%20Attach%20A%20WP.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ResourcePlanning/2009IRP/Aurora/PSM/RevReq/Update%20A/Update%20A%20Constrained_No%20DSM_FullCap_PSM%2020-1%202009%20IRP.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J:\GrpRates\Public\RASANEN\%23%20%20%202019%20GRC\Data%20Requests\Public%20Counsel\PC%20DR%20157%20Support\190665-Advice-2019-30-PSE-WP-SCH-91-(08-09-19).xlsx"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Users/rwilli/AppData/Local/Microsoft/Windows/Temporary%20Internet%20Files/Content.Outlook/OMOIMSCX/PSM%20III%2023.4_2015%20IRP%20Capacity%20Calc.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J:\GrpRates\Public\RASANEN\%23%20%20%202019%20GRC\Data%20Requests\Public%20Counsel\PC%20DR%20157%20Support\190665-Advice-2019-30-PSE-WP-SCH-91-(08-09-19)%20v6.3.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9 Summary - Residential"/>
      <sheetName val="2019 Res Avoided Energy Cost"/>
      <sheetName val="2019 Res Avoided Capacity Cost"/>
      <sheetName val="2019 Named Ranges"/>
      <sheetName val="2019 Cost of Capital"/>
      <sheetName val="2019 Yearly Prices"/>
      <sheetName val="Sch 91 FlatLoadShapeEnergy"/>
      <sheetName val="Sch 91 Firm Avoided Capacity"/>
      <sheetName val="2019 Capacity Delivered"/>
      <sheetName val="2017 Data======&gt;"/>
      <sheetName val="2017 Summary - Residential LRAC"/>
      <sheetName val="2017 Res Avoided Energy Cost"/>
      <sheetName val="2017 Res Avoided Capacity Cost"/>
      <sheetName val="2017 YearlyPrices"/>
      <sheetName val="2017 Named Rang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C2">
            <v>135.04</v>
          </cell>
        </row>
        <row r="6">
          <cell r="C6">
            <v>-1.5495357863633878</v>
          </cell>
        </row>
        <row r="7">
          <cell r="C7">
            <v>7.7751005342758805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 5yr Baseload"/>
      <sheetName val="Output - 10yr Baseload"/>
      <sheetName val="Output - 15yr Baseload"/>
      <sheetName val="Output - 10yr Wind"/>
      <sheetName val="Output - 15yr Wind"/>
      <sheetName val="Output - 10yr Solar"/>
      <sheetName val="Output - 15yr Solar"/>
      <sheetName val="Electric EES CE Std Energy"/>
      <sheetName val="FlatLoadShapeEnergy_perMWh"/>
      <sheetName val="Electric EES CE Std Capacity"/>
      <sheetName val="Firm Avoided Capacity Calcs"/>
      <sheetName val="Wind Avoided Capacity Calcs"/>
      <sheetName val="Solar Avoided Capacity Calcs"/>
      <sheetName val="Inputs-----&gt;"/>
      <sheetName val="Energy Prices"/>
      <sheetName val="Capacity Delivered"/>
      <sheetName val="Cost of Capi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6">
          <cell r="F16">
            <v>7.5999999999999998E-2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 Summary"/>
      <sheetName val="Output - 5yr Baseload"/>
      <sheetName val="Output - 10yr Baseload"/>
      <sheetName val="Output - 15yr Baseload"/>
      <sheetName val="Output - 10yr Wind"/>
      <sheetName val="Output - 15yr Wind"/>
      <sheetName val="Output - 10yr Solar"/>
      <sheetName val="Output - 15yr Solar"/>
      <sheetName val="Electric EES CE Std Energy"/>
      <sheetName val="FlatLoadShapeEnergy_perMWh"/>
      <sheetName val="Baseload Avoided Capacity Calcs"/>
      <sheetName val="Wind Avoided Capacity Calcs"/>
      <sheetName val="Solar Avoided Capacity Calcs"/>
      <sheetName val="Inputs-----&gt;"/>
      <sheetName val="Energy Prices"/>
      <sheetName val="Capacity Delivered"/>
      <sheetName val="Cost of Capi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
          <cell r="M7">
            <v>8760</v>
          </cell>
        </row>
      </sheetData>
      <sheetData sheetId="16">
        <row r="16">
          <cell r="F16">
            <v>7.5999999999999998E-2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printerSettings" Target="../printerSettings/printerSettings6.bin" />
  <Relationship Id="rId1" Type="http://schemas.openxmlformats.org/officeDocument/2006/relationships/hyperlink" Target="http://www.oatioasis.com/webSmartOASIS/HomePage?ProviderName=PSEI&amp;Homepage=1" TargetMode="External" />
</Relationships>
</file>

<file path=xl/worksheets/_rels/sheet7.xml.rels>&#65279;<?xml version="1.0" encoding="UTF-8" standalone="yes"?>
<Relationships xmlns="http://schemas.openxmlformats.org/package/2006/relationships">
  <Relationship Id="rId8" Type="http://schemas.openxmlformats.org/officeDocument/2006/relationships/control" Target="../activeX/activeX3.xml" />
  <Relationship Id="rId3" Type="http://schemas.openxmlformats.org/officeDocument/2006/relationships/vmlDrawing" Target="../drawings/vmlDrawing1.vml" />
  <Relationship Id="rId7" Type="http://schemas.openxmlformats.org/officeDocument/2006/relationships/image" Target="../media/image2.emf" />
  <Relationship Id="rId2" Type="http://schemas.openxmlformats.org/officeDocument/2006/relationships/drawing" Target="../drawings/drawing2.xml" />
  <Relationship Id="rId1" Type="http://schemas.openxmlformats.org/officeDocument/2006/relationships/printerSettings" Target="../printerSettings/printerSettings7.bin" />
  <Relationship Id="rId6" Type="http://schemas.openxmlformats.org/officeDocument/2006/relationships/control" Target="../activeX/activeX2.xml" />
  <Relationship Id="rId11" Type="http://schemas.openxmlformats.org/officeDocument/2006/relationships/image" Target="../media/image4.emf" />
  <Relationship Id="rId5" Type="http://schemas.openxmlformats.org/officeDocument/2006/relationships/image" Target="../media/image1.emf" />
  <Relationship Id="rId10" Type="http://schemas.openxmlformats.org/officeDocument/2006/relationships/control" Target="../activeX/activeX4.xml" />
  <Relationship Id="rId4" Type="http://schemas.openxmlformats.org/officeDocument/2006/relationships/control" Target="../activeX/activeX1.xml" />
  <Relationship Id="rId9" Type="http://schemas.openxmlformats.org/officeDocument/2006/relationships/image" Target="../media/image3.emf"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7:F16"/>
  <sheetViews>
    <sheetView tabSelected="1" workbookViewId="0"/>
  </sheetViews>
  <sheetFormatPr defaultRowHeight="14.4" x14ac:dyDescent="0.3"/>
  <cols>
    <col min="1" max="1" width="4.109375" customWidth="1"/>
    <col min="2" max="2" width="28.88671875" customWidth="1"/>
    <col min="3" max="3" width="11" bestFit="1" customWidth="1"/>
    <col min="4" max="5" width="11" customWidth="1"/>
    <col min="6" max="6" width="11" hidden="1" customWidth="1"/>
  </cols>
  <sheetData>
    <row r="7" spans="2:5" x14ac:dyDescent="0.3">
      <c r="C7" s="1" t="s">
        <v>0</v>
      </c>
      <c r="D7" s="2" t="s">
        <v>1</v>
      </c>
      <c r="E7" s="1" t="s">
        <v>2</v>
      </c>
    </row>
    <row r="8" spans="2:5" x14ac:dyDescent="0.3">
      <c r="B8" s="3" t="s">
        <v>3</v>
      </c>
      <c r="C8" s="4" t="s">
        <v>4</v>
      </c>
      <c r="D8" s="4" t="s">
        <v>4</v>
      </c>
      <c r="E8" s="4" t="s">
        <v>4</v>
      </c>
    </row>
    <row r="9" spans="2:5" x14ac:dyDescent="0.3">
      <c r="B9" s="5" t="s">
        <v>5</v>
      </c>
      <c r="C9" s="6">
        <f>'2019 Res Avoid Energy Cost'!$G35/1000</f>
        <v>2.4714275645375504E-2</v>
      </c>
      <c r="D9" s="6">
        <f>'2019 Res Avoid Energy Cost'!$G38/1000</f>
        <v>2.3428869446417637E-2</v>
      </c>
      <c r="E9" s="6">
        <f>'2019 Res Avoid Energy Cost'!$G41/1000</f>
        <v>2.2068261689565678E-2</v>
      </c>
    </row>
    <row r="10" spans="2:5" x14ac:dyDescent="0.3">
      <c r="B10" s="5" t="s">
        <v>6</v>
      </c>
      <c r="C10" s="6">
        <f>'2019 Res Avoid Energy Cost'!$H35/1000</f>
        <v>1.7547135708216607E-3</v>
      </c>
      <c r="D10" s="6">
        <f>'2019 Res Avoid Energy Cost'!$H38/1000</f>
        <v>1.6634497306956522E-3</v>
      </c>
      <c r="E10" s="6">
        <f>'2019 Res Avoid Energy Cost'!$H41/1000</f>
        <v>1.5668465799591629E-3</v>
      </c>
    </row>
    <row r="11" spans="2:5" x14ac:dyDescent="0.3">
      <c r="B11" s="5" t="s">
        <v>7</v>
      </c>
      <c r="C11" s="6">
        <f>'2019 Res Avoid Energy Cost'!$I35/1000</f>
        <v>3.8399999999999962E-3</v>
      </c>
      <c r="D11" s="6">
        <f>'2019 Res Avoid Energy Cost'!$I38/1000</f>
        <v>3.8399999999999966E-3</v>
      </c>
      <c r="E11" s="6">
        <f>'2019 Res Avoid Energy Cost'!$I41/1000</f>
        <v>3.8399999999999966E-3</v>
      </c>
    </row>
    <row r="12" spans="2:5" x14ac:dyDescent="0.3">
      <c r="B12" s="5" t="s">
        <v>8</v>
      </c>
      <c r="C12" s="6">
        <f>'2019 Res Avoid Energy Cost'!$J35/1000</f>
        <v>3.0308989216197156E-3</v>
      </c>
      <c r="D12" s="6">
        <f>'2019 Res Avoid Energy Cost'!$J38/1000</f>
        <v>2.8932319177113293E-3</v>
      </c>
      <c r="E12" s="6">
        <f>'2019 Res Avoid Energy Cost'!$J41/1000</f>
        <v>2.7475108269524838E-3</v>
      </c>
    </row>
    <row r="13" spans="2:5" x14ac:dyDescent="0.3">
      <c r="B13" s="5" t="s">
        <v>9</v>
      </c>
      <c r="C13" s="7">
        <f>'2019 Res Avoided Capacity Cost'!$G43</f>
        <v>1.4897746892369092E-2</v>
      </c>
      <c r="D13" s="7">
        <f>'2019 Res Avoided Capacity Cost'!$G44</f>
        <v>1.474362163470873E-2</v>
      </c>
      <c r="E13" s="7">
        <f>'2019 Res Avoided Capacity Cost'!$G45</f>
        <v>1.4498099987962667E-2</v>
      </c>
    </row>
    <row r="14" spans="2:5" x14ac:dyDescent="0.3">
      <c r="B14" s="5" t="s">
        <v>10</v>
      </c>
      <c r="C14" s="7">
        <f>'2019 Res Avoided Capacity Cost'!$H43</f>
        <v>7.3718822994289709E-3</v>
      </c>
      <c r="D14" s="7">
        <f>'2019 Res Avoided Capacity Cost'!$H44</f>
        <v>7.1164549343400718E-3</v>
      </c>
      <c r="E14" s="7">
        <f>'2019 Res Avoided Capacity Cost'!$H45</f>
        <v>6.8330199270962219E-3</v>
      </c>
    </row>
    <row r="15" spans="2:5" x14ac:dyDescent="0.3">
      <c r="B15" s="5" t="s">
        <v>11</v>
      </c>
      <c r="C15" s="7">
        <f>'2019 Res Avoided Capacity Cost'!$I43</f>
        <v>2.2269629191798064E-3</v>
      </c>
      <c r="D15" s="7">
        <f>'2019 Res Avoided Capacity Cost'!$I44</f>
        <v>2.1860076569048805E-3</v>
      </c>
      <c r="E15" s="7">
        <f>'2019 Res Avoided Capacity Cost'!$I45</f>
        <v>2.1331119915058891E-3</v>
      </c>
    </row>
    <row r="16" spans="2:5" x14ac:dyDescent="0.3">
      <c r="B16" s="3" t="s">
        <v>12</v>
      </c>
      <c r="C16" s="8">
        <f>SUM(C9:C15)</f>
        <v>5.7836480248794751E-2</v>
      </c>
      <c r="D16" s="8">
        <f>SUM(D9:D15)</f>
        <v>5.5871635320778296E-2</v>
      </c>
      <c r="E16" s="8">
        <f>SUM(E9:E15)</f>
        <v>5.3686851003042102E-2</v>
      </c>
    </row>
  </sheetData>
  <pageMargins left="0.45" right="0.45" top="0.75" bottom="0.75" header="0.3" footer="0.3"/>
  <pageSetup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1"/>
  <sheetViews>
    <sheetView workbookViewId="0">
      <selection activeCell="I17" sqref="I17"/>
    </sheetView>
  </sheetViews>
  <sheetFormatPr defaultColWidth="14.44140625" defaultRowHeight="14.4" x14ac:dyDescent="0.3"/>
  <cols>
    <col min="1" max="1" width="11.88671875" style="10" customWidth="1"/>
    <col min="2" max="2" width="17.6640625" style="10" customWidth="1"/>
    <col min="3" max="3" width="6.88671875" style="10" bestFit="1" customWidth="1"/>
    <col min="4" max="4" width="5.5546875" style="10" customWidth="1"/>
    <col min="5" max="5" width="9.6640625" style="10" bestFit="1" customWidth="1"/>
    <col min="6" max="6" width="14.44140625" style="10" customWidth="1"/>
    <col min="7" max="7" width="13.5546875" style="10" bestFit="1" customWidth="1"/>
    <col min="8" max="8" width="11.44140625" style="10" bestFit="1" customWidth="1"/>
    <col min="9" max="9" width="12.33203125" style="10" bestFit="1" customWidth="1"/>
    <col min="10" max="10" width="16.88671875" style="10" bestFit="1" customWidth="1"/>
    <col min="11" max="11" width="15.33203125" style="10" bestFit="1" customWidth="1"/>
    <col min="12" max="12" width="15.88671875" style="10" bestFit="1" customWidth="1"/>
    <col min="13" max="13" width="15.109375" style="10" bestFit="1" customWidth="1"/>
    <col min="14" max="16384" width="14.44140625" style="10"/>
  </cols>
  <sheetData>
    <row r="1" spans="1:18" x14ac:dyDescent="0.3">
      <c r="A1" s="9" t="s">
        <v>13</v>
      </c>
    </row>
    <row r="2" spans="1:18" x14ac:dyDescent="0.3">
      <c r="A2" s="11"/>
      <c r="B2" s="11"/>
      <c r="C2" s="11"/>
      <c r="D2" s="11"/>
      <c r="E2" s="11"/>
      <c r="F2" s="11"/>
      <c r="G2" s="11"/>
      <c r="H2" s="11"/>
      <c r="I2" s="11"/>
      <c r="J2" s="11"/>
      <c r="K2" s="11"/>
      <c r="L2" s="11"/>
      <c r="M2" s="11"/>
      <c r="N2" s="11"/>
      <c r="O2" s="11"/>
      <c r="P2" s="11"/>
      <c r="Q2" s="11"/>
      <c r="R2" s="11"/>
    </row>
    <row r="3" spans="1:18" x14ac:dyDescent="0.3">
      <c r="A3" s="11"/>
      <c r="B3" s="11"/>
      <c r="C3" s="11"/>
      <c r="D3" s="11"/>
      <c r="E3" s="11"/>
      <c r="F3" s="11"/>
      <c r="G3" s="11"/>
      <c r="H3" s="11"/>
      <c r="I3" s="11"/>
      <c r="J3" s="11"/>
      <c r="K3" s="11"/>
      <c r="L3" s="11"/>
      <c r="M3" s="11"/>
      <c r="N3" s="11"/>
      <c r="O3" s="11"/>
      <c r="P3" s="11"/>
      <c r="Q3" s="11"/>
      <c r="R3" s="11"/>
    </row>
    <row r="4" spans="1:18" ht="69.599999999999994" x14ac:dyDescent="0.3">
      <c r="A4" s="11"/>
      <c r="B4" s="11"/>
      <c r="C4" s="11"/>
      <c r="D4" s="11"/>
      <c r="E4" s="12" t="s">
        <v>14</v>
      </c>
      <c r="F4" s="13" t="s">
        <v>15</v>
      </c>
      <c r="G4" s="14" t="s">
        <v>16</v>
      </c>
      <c r="H4" s="13" t="s">
        <v>17</v>
      </c>
      <c r="I4" s="14" t="s">
        <v>18</v>
      </c>
      <c r="J4" s="13" t="s">
        <v>19</v>
      </c>
      <c r="K4" s="13" t="s">
        <v>20</v>
      </c>
      <c r="L4" s="13" t="s">
        <v>21</v>
      </c>
      <c r="M4" s="15" t="s">
        <v>22</v>
      </c>
      <c r="N4" s="13"/>
      <c r="O4" s="12"/>
      <c r="P4" s="13"/>
      <c r="Q4" s="13"/>
      <c r="R4" s="13"/>
    </row>
    <row r="5" spans="1:18" x14ac:dyDescent="0.3">
      <c r="A5" s="16"/>
      <c r="B5" s="16"/>
      <c r="C5" s="16"/>
      <c r="D5" s="16"/>
      <c r="E5" s="17"/>
      <c r="F5" s="17" t="s">
        <v>23</v>
      </c>
      <c r="G5" s="17" t="s">
        <v>24</v>
      </c>
      <c r="H5" s="17" t="s">
        <v>24</v>
      </c>
      <c r="I5" s="17" t="s">
        <v>24</v>
      </c>
      <c r="J5" s="17" t="s">
        <v>24</v>
      </c>
      <c r="K5" s="17" t="s">
        <v>24</v>
      </c>
      <c r="L5" s="17" t="s">
        <v>24</v>
      </c>
      <c r="M5" s="18" t="s">
        <v>25</v>
      </c>
      <c r="N5" s="12"/>
      <c r="O5" s="12"/>
      <c r="P5" s="12"/>
      <c r="Q5" s="12"/>
      <c r="R5" s="12"/>
    </row>
    <row r="6" spans="1:18" x14ac:dyDescent="0.3">
      <c r="A6" s="19"/>
      <c r="B6" s="20" t="s">
        <v>26</v>
      </c>
      <c r="C6" s="21">
        <v>7.0999999999999994E-2</v>
      </c>
      <c r="D6" s="22"/>
      <c r="E6" s="12" t="s">
        <v>27</v>
      </c>
      <c r="F6" s="23" t="s">
        <v>28</v>
      </c>
      <c r="G6" s="23" t="s">
        <v>29</v>
      </c>
      <c r="H6" s="12" t="s">
        <v>30</v>
      </c>
      <c r="I6" s="23" t="s">
        <v>31</v>
      </c>
      <c r="J6" s="12" t="s">
        <v>32</v>
      </c>
      <c r="K6" s="23" t="s">
        <v>33</v>
      </c>
      <c r="L6" s="23" t="s">
        <v>34</v>
      </c>
      <c r="M6" s="24" t="s">
        <v>35</v>
      </c>
      <c r="N6" s="23"/>
      <c r="O6" s="12"/>
      <c r="P6" s="11"/>
      <c r="Q6" s="23"/>
      <c r="R6" s="12"/>
    </row>
    <row r="7" spans="1:18" x14ac:dyDescent="0.3">
      <c r="A7" s="25"/>
      <c r="B7" s="26" t="s">
        <v>36</v>
      </c>
      <c r="C7" s="27">
        <f>Rate_of_Return</f>
        <v>7.5999999999999998E-2</v>
      </c>
      <c r="D7" s="28"/>
      <c r="E7" s="29"/>
      <c r="F7" s="29"/>
      <c r="G7" s="30"/>
      <c r="H7" s="30"/>
      <c r="I7" s="30"/>
      <c r="J7" s="30"/>
      <c r="K7" s="30"/>
      <c r="L7" s="30"/>
      <c r="N7" s="31"/>
      <c r="O7" s="32"/>
      <c r="P7" s="33"/>
      <c r="Q7" s="34"/>
      <c r="R7" s="34"/>
    </row>
    <row r="8" spans="1:18" x14ac:dyDescent="0.3">
      <c r="A8" s="35"/>
      <c r="B8" s="26" t="s">
        <v>37</v>
      </c>
      <c r="C8" s="36">
        <f>+'Sch 91 FlatLoadShapeEnerg'!E8</f>
        <v>2.5000000000000001E-2</v>
      </c>
      <c r="D8" s="28"/>
      <c r="E8" s="29">
        <v>2019</v>
      </c>
      <c r="F8" s="29">
        <v>1</v>
      </c>
      <c r="G8" s="30">
        <f>+'2019 Yearly Prices'!B3</f>
        <v>23.981526466666661</v>
      </c>
      <c r="H8" s="30">
        <f>G8*$C$6</f>
        <v>1.7026883791333327</v>
      </c>
      <c r="I8" s="30">
        <f>C11</f>
        <v>3.84</v>
      </c>
      <c r="J8" s="30">
        <f>(SUM(G8:I8))*$C$9</f>
        <v>2.9524214845799994</v>
      </c>
      <c r="K8" s="30">
        <f>(G8+H8+I8+J8)/((1+$C$7)^F8)</f>
        <v>30.182747518940509</v>
      </c>
      <c r="L8" s="30">
        <f>K8+L7</f>
        <v>30.182747518940509</v>
      </c>
      <c r="M8" s="37">
        <f>(-PMT($C$7,F8,(L8)))/1000</f>
        <v>3.247663633037999E-2</v>
      </c>
      <c r="N8" s="38"/>
      <c r="O8" s="39"/>
      <c r="P8" s="33"/>
      <c r="Q8" s="34"/>
      <c r="R8" s="34"/>
    </row>
    <row r="9" spans="1:18" x14ac:dyDescent="0.3">
      <c r="A9" s="213"/>
      <c r="B9" s="214" t="s">
        <v>38</v>
      </c>
      <c r="C9" s="215">
        <v>0.1</v>
      </c>
      <c r="D9" s="40"/>
      <c r="E9" s="29">
        <v>2020</v>
      </c>
      <c r="F9" s="29">
        <v>2</v>
      </c>
      <c r="G9" s="30">
        <f>+'2019 Yearly Prices'!B4</f>
        <v>21.580778041666665</v>
      </c>
      <c r="H9" s="30">
        <f>G9*$C$6</f>
        <v>1.5322352409583331</v>
      </c>
      <c r="I9" s="30">
        <f>+I8</f>
        <v>3.84</v>
      </c>
      <c r="J9" s="30">
        <f t="shared" ref="J9:J32" si="0">(SUM(G9:I9))*$C$9</f>
        <v>2.6953013282625</v>
      </c>
      <c r="K9" s="30">
        <f t="shared" ref="K9:K32" si="1">(G9+H9+I9+J9)/((1+$C$7)^F9)</f>
        <v>25.607988601324863</v>
      </c>
      <c r="L9" s="30">
        <f>K9+L8</f>
        <v>55.790736120265372</v>
      </c>
      <c r="M9" s="37">
        <f t="shared" ref="M9:M32" si="2">(-PMT($C$7,F9,(L9)))/1000</f>
        <v>3.1114246292088806E-2</v>
      </c>
      <c r="N9" s="38"/>
      <c r="O9" s="39"/>
      <c r="P9" s="33"/>
      <c r="Q9" s="34"/>
      <c r="R9" s="34"/>
    </row>
    <row r="10" spans="1:18" x14ac:dyDescent="0.3">
      <c r="A10" s="16"/>
      <c r="B10" s="16"/>
      <c r="C10" s="16"/>
      <c r="D10" s="28"/>
      <c r="E10" s="29">
        <v>2021</v>
      </c>
      <c r="F10" s="29">
        <v>3</v>
      </c>
      <c r="G10" s="30">
        <f>+'2019 Yearly Prices'!B5</f>
        <v>20.296439175</v>
      </c>
      <c r="H10" s="30">
        <f t="shared" ref="H10:H32" si="3">G10*$C$6</f>
        <v>1.4410471814249999</v>
      </c>
      <c r="I10" s="30">
        <f t="shared" ref="I10:I32" si="4">+I9</f>
        <v>3.84</v>
      </c>
      <c r="J10" s="30">
        <f t="shared" si="0"/>
        <v>2.5577486356425001</v>
      </c>
      <c r="K10" s="30">
        <f t="shared" si="1"/>
        <v>22.584669150892221</v>
      </c>
      <c r="L10" s="30">
        <f>K10+L9</f>
        <v>78.375405271157589</v>
      </c>
      <c r="M10" s="37">
        <f t="shared" si="2"/>
        <v>3.0193028712385904E-2</v>
      </c>
      <c r="N10" s="38"/>
      <c r="O10" s="39"/>
      <c r="P10" s="33"/>
      <c r="Q10" s="34"/>
      <c r="R10" s="34"/>
    </row>
    <row r="11" spans="1:18" x14ac:dyDescent="0.3">
      <c r="A11" s="222" t="s">
        <v>99</v>
      </c>
      <c r="B11" s="222"/>
      <c r="C11" s="16">
        <v>3.84</v>
      </c>
      <c r="D11" s="28"/>
      <c r="E11" s="29">
        <v>2022</v>
      </c>
      <c r="F11" s="29">
        <v>4</v>
      </c>
      <c r="G11" s="30">
        <f>+'2019 Yearly Prices'!B6</f>
        <v>19.080015383333336</v>
      </c>
      <c r="H11" s="30">
        <f>G11*$C$6</f>
        <v>1.3546810922166668</v>
      </c>
      <c r="I11" s="30">
        <f t="shared" si="4"/>
        <v>3.84</v>
      </c>
      <c r="J11" s="30">
        <f t="shared" si="0"/>
        <v>2.4274696475550002</v>
      </c>
      <c r="K11" s="30">
        <f t="shared" si="1"/>
        <v>19.920370340282894</v>
      </c>
      <c r="L11" s="30">
        <f>K11+L10</f>
        <v>98.29577561144049</v>
      </c>
      <c r="M11" s="37">
        <f t="shared" si="2"/>
        <v>2.9413738814290533E-2</v>
      </c>
      <c r="N11" s="38"/>
      <c r="O11" s="39"/>
      <c r="P11" s="33"/>
      <c r="Q11" s="34"/>
      <c r="R11" s="34"/>
    </row>
    <row r="12" spans="1:18" x14ac:dyDescent="0.3">
      <c r="A12" s="11"/>
      <c r="B12" s="11"/>
      <c r="C12" s="11"/>
      <c r="D12" s="16"/>
      <c r="E12" s="29">
        <v>2023</v>
      </c>
      <c r="F12" s="29">
        <v>5</v>
      </c>
      <c r="G12" s="30">
        <f>+'2019 Yearly Prices'!B7</f>
        <v>18.721724966666667</v>
      </c>
      <c r="H12" s="30">
        <f>G12*$C$6</f>
        <v>1.3292424726333332</v>
      </c>
      <c r="I12" s="30">
        <f t="shared" si="4"/>
        <v>3.84</v>
      </c>
      <c r="J12" s="30">
        <f t="shared" si="0"/>
        <v>2.3890967439300002</v>
      </c>
      <c r="K12" s="30">
        <f t="shared" si="1"/>
        <v>18.220700305861271</v>
      </c>
      <c r="L12" s="30">
        <f t="shared" ref="L12:L32" si="5">K12+L11</f>
        <v>116.51647591730176</v>
      </c>
      <c r="M12" s="37">
        <f t="shared" si="2"/>
        <v>2.8875305659331281E-2</v>
      </c>
      <c r="N12" s="38"/>
      <c r="O12" s="39"/>
      <c r="P12" s="33"/>
      <c r="Q12" s="34"/>
      <c r="R12" s="34"/>
    </row>
    <row r="13" spans="1:18" x14ac:dyDescent="0.3">
      <c r="A13" s="11"/>
      <c r="B13" s="11"/>
      <c r="C13" s="11"/>
      <c r="D13" s="16"/>
      <c r="E13" s="29">
        <v>2024</v>
      </c>
      <c r="F13" s="29">
        <v>6</v>
      </c>
      <c r="G13" s="30">
        <f>+'2019 Yearly Prices'!B8</f>
        <v>19.571321191666669</v>
      </c>
      <c r="H13" s="30">
        <f t="shared" si="3"/>
        <v>1.3895638046083334</v>
      </c>
      <c r="I13" s="30">
        <f t="shared" si="4"/>
        <v>3.84</v>
      </c>
      <c r="J13" s="30">
        <f t="shared" si="0"/>
        <v>2.4800884996275006</v>
      </c>
      <c r="K13" s="30">
        <f t="shared" si="1"/>
        <v>17.578679000140763</v>
      </c>
      <c r="L13" s="30">
        <f t="shared" si="5"/>
        <v>134.09515491744253</v>
      </c>
      <c r="M13" s="37">
        <f t="shared" si="2"/>
        <v>2.8655770450078503E-2</v>
      </c>
      <c r="N13" s="38"/>
      <c r="O13" s="39"/>
      <c r="P13" s="33"/>
      <c r="Q13" s="34"/>
      <c r="R13" s="34"/>
    </row>
    <row r="14" spans="1:18" x14ac:dyDescent="0.3">
      <c r="A14" s="11"/>
      <c r="B14" s="11"/>
      <c r="C14" s="11"/>
      <c r="D14" s="28"/>
      <c r="E14" s="29">
        <v>2025</v>
      </c>
      <c r="F14" s="29">
        <v>7</v>
      </c>
      <c r="G14" s="30">
        <f>+'2019 Yearly Prices'!B9</f>
        <v>20.623178365833336</v>
      </c>
      <c r="H14" s="30">
        <f t="shared" si="3"/>
        <v>1.4642456639741668</v>
      </c>
      <c r="I14" s="30">
        <f t="shared" si="4"/>
        <v>3.84</v>
      </c>
      <c r="J14" s="30">
        <f t="shared" si="0"/>
        <v>2.5927424029807504</v>
      </c>
      <c r="K14" s="30">
        <f t="shared" si="1"/>
        <v>17.079146203127383</v>
      </c>
      <c r="L14" s="30">
        <f t="shared" si="5"/>
        <v>151.17430112056991</v>
      </c>
      <c r="M14" s="37">
        <f t="shared" si="2"/>
        <v>2.8640385802548737E-2</v>
      </c>
      <c r="N14" s="38"/>
      <c r="O14" s="39"/>
      <c r="P14" s="33"/>
      <c r="Q14" s="34"/>
      <c r="R14" s="34"/>
    </row>
    <row r="15" spans="1:18" x14ac:dyDescent="0.3">
      <c r="A15" s="11"/>
      <c r="B15" s="11"/>
      <c r="C15" s="11"/>
      <c r="D15" s="16"/>
      <c r="E15" s="29">
        <v>2026</v>
      </c>
      <c r="F15" s="29">
        <v>8</v>
      </c>
      <c r="G15" s="30">
        <f>+'2019 Yearly Prices'!B10</f>
        <v>22.046968616666671</v>
      </c>
      <c r="H15" s="30">
        <f t="shared" si="3"/>
        <v>1.5653347717833335</v>
      </c>
      <c r="I15" s="30">
        <f t="shared" si="4"/>
        <v>3.84</v>
      </c>
      <c r="J15" s="30">
        <f t="shared" si="0"/>
        <v>2.7452303388450008</v>
      </c>
      <c r="K15" s="30">
        <f t="shared" si="1"/>
        <v>16.806346156145388</v>
      </c>
      <c r="L15" s="30">
        <f>K15+L14</f>
        <v>167.9806472767153</v>
      </c>
      <c r="M15" s="37">
        <f t="shared" si="2"/>
        <v>2.878891015742337E-2</v>
      </c>
      <c r="N15" s="38"/>
      <c r="O15" s="39"/>
      <c r="P15" s="33"/>
      <c r="Q15" s="34"/>
      <c r="R15" s="34"/>
    </row>
    <row r="16" spans="1:18" x14ac:dyDescent="0.3">
      <c r="A16" s="11"/>
      <c r="B16" s="11"/>
      <c r="C16" s="11"/>
      <c r="D16" s="41"/>
      <c r="E16" s="29">
        <v>2027</v>
      </c>
      <c r="F16" s="29">
        <v>9</v>
      </c>
      <c r="G16" s="30">
        <f>+'2019 Yearly Prices'!B11</f>
        <v>23.17016310833333</v>
      </c>
      <c r="H16" s="30">
        <f t="shared" si="3"/>
        <v>1.6450815806916663</v>
      </c>
      <c r="I16" s="30">
        <f t="shared" si="4"/>
        <v>3.84</v>
      </c>
      <c r="J16" s="30">
        <f t="shared" si="0"/>
        <v>2.8655244689024997</v>
      </c>
      <c r="K16" s="30">
        <f t="shared" si="1"/>
        <v>16.303707097582379</v>
      </c>
      <c r="L16" s="30">
        <f t="shared" si="5"/>
        <v>184.28435437429769</v>
      </c>
      <c r="M16" s="37">
        <f t="shared" si="2"/>
        <v>2.901135760416184E-2</v>
      </c>
      <c r="N16" s="38"/>
      <c r="O16" s="39"/>
      <c r="P16" s="33"/>
      <c r="Q16" s="34"/>
      <c r="R16" s="34"/>
    </row>
    <row r="17" spans="1:18" x14ac:dyDescent="0.3">
      <c r="A17" s="11"/>
      <c r="B17" s="11"/>
      <c r="C17" s="11"/>
      <c r="D17" s="42"/>
      <c r="E17" s="29">
        <v>2028</v>
      </c>
      <c r="F17" s="29">
        <v>10</v>
      </c>
      <c r="G17" s="30">
        <f>+'2019 Yearly Prices'!B12</f>
        <v>23.475946774999997</v>
      </c>
      <c r="H17" s="30">
        <f t="shared" si="3"/>
        <v>1.6667922210249997</v>
      </c>
      <c r="I17" s="30">
        <f t="shared" si="4"/>
        <v>3.84</v>
      </c>
      <c r="J17" s="30">
        <f t="shared" si="0"/>
        <v>2.8982738996024997</v>
      </c>
      <c r="K17" s="30">
        <f t="shared" si="1"/>
        <v>15.32531456928092</v>
      </c>
      <c r="L17" s="30">
        <f t="shared" si="5"/>
        <v>199.60966894357861</v>
      </c>
      <c r="M17" s="37">
        <f t="shared" si="2"/>
        <v>2.9213243145785998E-2</v>
      </c>
      <c r="N17" s="38"/>
      <c r="O17" s="39"/>
      <c r="P17" s="33"/>
      <c r="Q17" s="34"/>
      <c r="R17" s="34"/>
    </row>
    <row r="18" spans="1:18" x14ac:dyDescent="0.3">
      <c r="A18" s="11"/>
      <c r="B18" s="11"/>
      <c r="C18" s="11"/>
      <c r="D18" s="42"/>
      <c r="E18" s="29">
        <v>2029</v>
      </c>
      <c r="F18" s="29">
        <v>11</v>
      </c>
      <c r="G18" s="30">
        <f>+'2019 Yearly Prices'!B13</f>
        <v>23.715382383333335</v>
      </c>
      <c r="H18" s="30">
        <f>G18*$C$6</f>
        <v>1.6837921492166665</v>
      </c>
      <c r="I18" s="30">
        <f t="shared" si="4"/>
        <v>3.84</v>
      </c>
      <c r="J18" s="30">
        <f t="shared" si="0"/>
        <v>2.9239174532550005</v>
      </c>
      <c r="K18" s="30">
        <f t="shared" si="1"/>
        <v>14.368876371723163</v>
      </c>
      <c r="L18" s="30">
        <f t="shared" si="5"/>
        <v>213.97854531530177</v>
      </c>
      <c r="M18" s="37">
        <f t="shared" si="2"/>
        <v>2.9394275964566782E-2</v>
      </c>
      <c r="N18" s="38"/>
      <c r="O18" s="39"/>
      <c r="P18" s="33"/>
      <c r="Q18" s="34"/>
      <c r="R18" s="34"/>
    </row>
    <row r="19" spans="1:18" x14ac:dyDescent="0.3">
      <c r="A19" s="11"/>
      <c r="B19" s="11"/>
      <c r="C19" s="11"/>
      <c r="D19" s="42"/>
      <c r="E19" s="29">
        <v>2030</v>
      </c>
      <c r="F19" s="29">
        <v>12</v>
      </c>
      <c r="G19" s="30">
        <f>+'2019 Yearly Prices'!B14</f>
        <v>24.138445516666668</v>
      </c>
      <c r="H19" s="30">
        <f t="shared" si="3"/>
        <v>1.7138296316833332</v>
      </c>
      <c r="I19" s="30">
        <f t="shared" si="4"/>
        <v>3.84</v>
      </c>
      <c r="J19" s="30">
        <f t="shared" si="0"/>
        <v>2.969227514835</v>
      </c>
      <c r="K19" s="30">
        <f t="shared" si="1"/>
        <v>13.560912244151858</v>
      </c>
      <c r="L19" s="30">
        <f t="shared" si="5"/>
        <v>227.53945755945364</v>
      </c>
      <c r="M19" s="37">
        <f t="shared" si="2"/>
        <v>2.9570568926789283E-2</v>
      </c>
      <c r="N19" s="38"/>
      <c r="O19" s="39"/>
      <c r="P19" s="33"/>
      <c r="Q19" s="34"/>
      <c r="R19" s="34"/>
    </row>
    <row r="20" spans="1:18" x14ac:dyDescent="0.3">
      <c r="A20" s="11"/>
      <c r="B20" s="11"/>
      <c r="C20" s="11"/>
      <c r="D20" s="42"/>
      <c r="E20" s="29">
        <v>2031</v>
      </c>
      <c r="F20" s="29">
        <v>13</v>
      </c>
      <c r="G20" s="30">
        <f>+'2019 Yearly Prices'!B15</f>
        <v>24.553153041666665</v>
      </c>
      <c r="H20" s="30">
        <f t="shared" si="3"/>
        <v>1.7432738659583331</v>
      </c>
      <c r="I20" s="30">
        <f t="shared" si="4"/>
        <v>3.84</v>
      </c>
      <c r="J20" s="30">
        <f t="shared" si="0"/>
        <v>3.0136426907625</v>
      </c>
      <c r="K20" s="30">
        <f t="shared" si="1"/>
        <v>12.791601381678927</v>
      </c>
      <c r="L20" s="30">
        <f t="shared" si="5"/>
        <v>240.33105894113257</v>
      </c>
      <c r="M20" s="37">
        <f t="shared" si="2"/>
        <v>2.9741497969138386E-2</v>
      </c>
      <c r="N20" s="38"/>
      <c r="O20" s="39"/>
      <c r="P20" s="33"/>
      <c r="Q20" s="34"/>
      <c r="R20" s="34"/>
    </row>
    <row r="21" spans="1:18" x14ac:dyDescent="0.3">
      <c r="A21" s="11"/>
      <c r="B21" s="11"/>
      <c r="C21" s="11"/>
      <c r="D21" s="42"/>
      <c r="E21" s="29">
        <v>2032</v>
      </c>
      <c r="F21" s="29">
        <v>14</v>
      </c>
      <c r="G21" s="30">
        <f>+'2019 Yearly Prices'!B16</f>
        <v>26.087492999999995</v>
      </c>
      <c r="H21" s="30">
        <f t="shared" si="3"/>
        <v>1.8522120029999996</v>
      </c>
      <c r="I21" s="30">
        <f t="shared" si="4"/>
        <v>3.84</v>
      </c>
      <c r="J21" s="30">
        <f t="shared" si="0"/>
        <v>3.1779705002999994</v>
      </c>
      <c r="K21" s="30">
        <f t="shared" si="1"/>
        <v>12.53633959215993</v>
      </c>
      <c r="L21" s="30">
        <f t="shared" si="5"/>
        <v>252.86739853329249</v>
      </c>
      <c r="M21" s="37">
        <f t="shared" si="2"/>
        <v>2.9963151788662379E-2</v>
      </c>
      <c r="N21" s="38"/>
      <c r="O21" s="39"/>
      <c r="P21" s="33"/>
      <c r="Q21" s="34"/>
      <c r="R21" s="34"/>
    </row>
    <row r="22" spans="1:18" x14ac:dyDescent="0.3">
      <c r="A22" s="11"/>
      <c r="B22" s="11"/>
      <c r="C22" s="11"/>
      <c r="D22" s="42"/>
      <c r="E22" s="29">
        <v>2033</v>
      </c>
      <c r="F22" s="29">
        <v>15</v>
      </c>
      <c r="G22" s="30">
        <f>+'2019 Yearly Prices'!B17</f>
        <v>27.645123791666666</v>
      </c>
      <c r="H22" s="30">
        <f t="shared" si="3"/>
        <v>1.9628037892083332</v>
      </c>
      <c r="I22" s="30">
        <f t="shared" si="4"/>
        <v>3.84</v>
      </c>
      <c r="J22" s="30">
        <f t="shared" si="0"/>
        <v>3.3447927580875003</v>
      </c>
      <c r="K22" s="30">
        <f t="shared" si="1"/>
        <v>12.262466373146069</v>
      </c>
      <c r="L22" s="30">
        <f t="shared" si="5"/>
        <v>265.12986490643857</v>
      </c>
      <c r="M22" s="37">
        <f t="shared" si="2"/>
        <v>3.0222619096477332E-2</v>
      </c>
      <c r="N22" s="38"/>
      <c r="O22" s="39"/>
      <c r="P22" s="33"/>
      <c r="Q22" s="34"/>
      <c r="R22" s="34"/>
    </row>
    <row r="23" spans="1:18" x14ac:dyDescent="0.3">
      <c r="A23" s="11"/>
      <c r="B23" s="11"/>
      <c r="C23" s="11"/>
      <c r="D23" s="42"/>
      <c r="E23" s="29">
        <v>2034</v>
      </c>
      <c r="F23" s="29">
        <v>16</v>
      </c>
      <c r="G23" s="30">
        <f>+'2019 Yearly Prices'!B18</f>
        <v>29.490653850000001</v>
      </c>
      <c r="H23" s="30">
        <f t="shared" si="3"/>
        <v>2.09383642335</v>
      </c>
      <c r="I23" s="30">
        <f t="shared" si="4"/>
        <v>3.84</v>
      </c>
      <c r="J23" s="30">
        <f t="shared" si="0"/>
        <v>3.5424490273350004</v>
      </c>
      <c r="K23" s="30">
        <f t="shared" si="1"/>
        <v>12.069796663713824</v>
      </c>
      <c r="L23" s="30">
        <f t="shared" si="5"/>
        <v>277.19966157015239</v>
      </c>
      <c r="M23" s="37">
        <f t="shared" si="2"/>
        <v>3.0520836821204756E-2</v>
      </c>
      <c r="N23" s="38"/>
      <c r="O23" s="39"/>
      <c r="P23" s="33"/>
      <c r="Q23" s="34"/>
      <c r="R23" s="34"/>
    </row>
    <row r="24" spans="1:18" x14ac:dyDescent="0.3">
      <c r="A24" s="11"/>
      <c r="B24" s="11"/>
      <c r="C24" s="11"/>
      <c r="D24" s="42"/>
      <c r="E24" s="29">
        <v>2035</v>
      </c>
      <c r="F24" s="29">
        <v>17</v>
      </c>
      <c r="G24" s="30">
        <f>+'2019 Yearly Prices'!B19</f>
        <v>31.577413983333333</v>
      </c>
      <c r="H24" s="30">
        <f t="shared" si="3"/>
        <v>2.2419963928166666</v>
      </c>
      <c r="I24" s="30">
        <f t="shared" si="4"/>
        <v>3.84</v>
      </c>
      <c r="J24" s="30">
        <f t="shared" si="0"/>
        <v>3.7659410376150007</v>
      </c>
      <c r="K24" s="30">
        <f t="shared" si="1"/>
        <v>11.924978058755871</v>
      </c>
      <c r="L24" s="30">
        <f t="shared" si="5"/>
        <v>289.12463962890826</v>
      </c>
      <c r="M24" s="37">
        <f t="shared" si="2"/>
        <v>3.085584083192194E-2</v>
      </c>
      <c r="N24" s="38"/>
      <c r="O24" s="39"/>
      <c r="P24" s="33"/>
      <c r="Q24" s="34"/>
      <c r="R24" s="34"/>
    </row>
    <row r="25" spans="1:18" x14ac:dyDescent="0.3">
      <c r="A25" s="11"/>
      <c r="B25" s="11"/>
      <c r="C25" s="11"/>
      <c r="D25" s="42"/>
      <c r="E25" s="29">
        <v>2036</v>
      </c>
      <c r="F25" s="29">
        <v>18</v>
      </c>
      <c r="G25" s="30">
        <f>+'2019 Yearly Prices'!B20</f>
        <v>32.394096999999995</v>
      </c>
      <c r="H25" s="30">
        <f t="shared" si="3"/>
        <v>2.2999808869999994</v>
      </c>
      <c r="I25" s="30">
        <f t="shared" si="4"/>
        <v>3.84</v>
      </c>
      <c r="J25" s="30">
        <f t="shared" si="0"/>
        <v>3.8534077886999998</v>
      </c>
      <c r="K25" s="30">
        <f t="shared" si="1"/>
        <v>11.340097069710177</v>
      </c>
      <c r="L25" s="30">
        <f t="shared" si="5"/>
        <v>300.46473669861842</v>
      </c>
      <c r="M25" s="37">
        <f t="shared" si="2"/>
        <v>3.1175948844568917E-2</v>
      </c>
      <c r="N25" s="38"/>
      <c r="O25" s="39"/>
      <c r="P25" s="33"/>
      <c r="Q25" s="34"/>
      <c r="R25" s="34"/>
    </row>
    <row r="26" spans="1:18" x14ac:dyDescent="0.3">
      <c r="A26" s="11"/>
      <c r="B26" s="11"/>
      <c r="C26" s="11"/>
      <c r="D26" s="42"/>
      <c r="E26" s="29">
        <v>2037</v>
      </c>
      <c r="F26" s="29">
        <v>19</v>
      </c>
      <c r="G26" s="30">
        <f>+'2019 Yearly Prices'!B21</f>
        <v>33.181295058333333</v>
      </c>
      <c r="H26" s="30">
        <f t="shared" si="3"/>
        <v>2.3558719491416666</v>
      </c>
      <c r="I26" s="30">
        <f t="shared" si="4"/>
        <v>3.84</v>
      </c>
      <c r="J26" s="30">
        <f t="shared" si="0"/>
        <v>3.9377167007474996</v>
      </c>
      <c r="K26" s="30">
        <f t="shared" si="1"/>
        <v>10.769709712839562</v>
      </c>
      <c r="L26" s="30">
        <f t="shared" si="5"/>
        <v>311.23444641145801</v>
      </c>
      <c r="M26" s="37">
        <f t="shared" si="2"/>
        <v>3.1481238137505571E-2</v>
      </c>
      <c r="N26" s="38"/>
      <c r="O26" s="39"/>
      <c r="P26" s="33"/>
      <c r="Q26" s="34"/>
      <c r="R26" s="34"/>
    </row>
    <row r="27" spans="1:18" x14ac:dyDescent="0.3">
      <c r="A27" s="11"/>
      <c r="B27" s="11"/>
      <c r="C27" s="11"/>
      <c r="D27" s="42"/>
      <c r="E27" s="29">
        <v>2038</v>
      </c>
      <c r="F27" s="29">
        <v>20</v>
      </c>
      <c r="G27" s="30">
        <f>+'2019 Yearly Prices'!B22</f>
        <v>35.93297093333333</v>
      </c>
      <c r="H27" s="30">
        <f t="shared" si="3"/>
        <v>2.5512409362666664</v>
      </c>
      <c r="I27" s="30">
        <f t="shared" si="4"/>
        <v>3.84</v>
      </c>
      <c r="J27" s="30">
        <f t="shared" si="0"/>
        <v>4.232421186959999</v>
      </c>
      <c r="K27" s="30">
        <f t="shared" si="1"/>
        <v>10.758113907255545</v>
      </c>
      <c r="L27" s="30">
        <f t="shared" si="5"/>
        <v>321.99256031871357</v>
      </c>
      <c r="M27" s="37">
        <f t="shared" si="2"/>
        <v>3.1825551094824628E-2</v>
      </c>
      <c r="N27" s="38"/>
      <c r="O27" s="39"/>
      <c r="P27" s="33"/>
      <c r="Q27" s="34"/>
      <c r="R27" s="34"/>
    </row>
    <row r="28" spans="1:18" x14ac:dyDescent="0.3">
      <c r="A28" s="11"/>
      <c r="B28" s="11"/>
      <c r="C28" s="11"/>
      <c r="D28" s="42"/>
      <c r="E28" s="29">
        <v>2039</v>
      </c>
      <c r="F28" s="29">
        <v>21</v>
      </c>
      <c r="G28" s="30">
        <f>+'2019 Yearly Prices'!B23</f>
        <v>36.909455291666667</v>
      </c>
      <c r="H28" s="30">
        <f t="shared" si="3"/>
        <v>2.6205713257083332</v>
      </c>
      <c r="I28" s="30">
        <f t="shared" si="4"/>
        <v>3.84</v>
      </c>
      <c r="J28" s="30">
        <f t="shared" si="0"/>
        <v>4.3370026617375004</v>
      </c>
      <c r="K28" s="30">
        <f t="shared" si="1"/>
        <v>10.245299907882131</v>
      </c>
      <c r="L28" s="30">
        <f t="shared" si="5"/>
        <v>332.23786022659573</v>
      </c>
      <c r="M28" s="37">
        <f t="shared" si="2"/>
        <v>3.2155647935998864E-2</v>
      </c>
      <c r="N28" s="38"/>
      <c r="O28" s="39"/>
      <c r="P28" s="33"/>
      <c r="Q28" s="34"/>
      <c r="R28" s="34"/>
    </row>
    <row r="29" spans="1:18" x14ac:dyDescent="0.3">
      <c r="A29" s="11"/>
      <c r="B29" s="11"/>
      <c r="C29" s="11"/>
      <c r="D29" s="43"/>
      <c r="E29" s="29">
        <v>2040</v>
      </c>
      <c r="F29" s="29">
        <v>22</v>
      </c>
      <c r="G29" s="30">
        <f>+'2019 Yearly Prices'!B24</f>
        <v>37.832191673958334</v>
      </c>
      <c r="H29" s="30">
        <f t="shared" si="3"/>
        <v>2.6860856088510414</v>
      </c>
      <c r="I29" s="30">
        <f t="shared" si="4"/>
        <v>3.84</v>
      </c>
      <c r="J29" s="30">
        <f t="shared" si="0"/>
        <v>4.4358277282809384</v>
      </c>
      <c r="K29" s="30">
        <f t="shared" si="1"/>
        <v>9.7386192647351759</v>
      </c>
      <c r="L29" s="30">
        <f t="shared" si="5"/>
        <v>341.97647949133091</v>
      </c>
      <c r="M29" s="37">
        <f t="shared" si="2"/>
        <v>3.2470961015808091E-2</v>
      </c>
      <c r="N29" s="38"/>
      <c r="O29" s="39"/>
      <c r="P29" s="33"/>
      <c r="Q29" s="34"/>
      <c r="R29" s="34"/>
    </row>
    <row r="30" spans="1:18" x14ac:dyDescent="0.3">
      <c r="A30" s="11"/>
      <c r="B30" s="11"/>
      <c r="C30" s="11"/>
      <c r="D30" s="11"/>
      <c r="E30" s="29">
        <v>2041</v>
      </c>
      <c r="F30" s="29">
        <v>23</v>
      </c>
      <c r="G30" s="30">
        <f>+'2019 Yearly Prices'!B25</f>
        <v>38.777996465807291</v>
      </c>
      <c r="H30" s="30">
        <f t="shared" si="3"/>
        <v>2.7532377490723174</v>
      </c>
      <c r="I30" s="30">
        <f t="shared" si="4"/>
        <v>3.84</v>
      </c>
      <c r="J30" s="30">
        <f t="shared" si="0"/>
        <v>4.5371234214879612</v>
      </c>
      <c r="K30" s="30">
        <f t="shared" si="1"/>
        <v>9.2574428130763504</v>
      </c>
      <c r="L30" s="30">
        <f t="shared" si="5"/>
        <v>351.23392230440726</v>
      </c>
      <c r="M30" s="37">
        <f t="shared" si="2"/>
        <v>3.2772758734435976E-2</v>
      </c>
      <c r="N30" s="38"/>
      <c r="O30" s="39"/>
      <c r="P30" s="33"/>
      <c r="Q30" s="34"/>
      <c r="R30" s="34"/>
    </row>
    <row r="31" spans="1:18" x14ac:dyDescent="0.3">
      <c r="A31" s="11"/>
      <c r="B31" s="11"/>
      <c r="C31" s="11"/>
      <c r="D31" s="11"/>
      <c r="E31" s="29">
        <v>2042</v>
      </c>
      <c r="F31" s="29">
        <v>24</v>
      </c>
      <c r="G31" s="30">
        <f>+'2019 Yearly Prices'!B26</f>
        <v>39.747446377452476</v>
      </c>
      <c r="H31" s="30">
        <f t="shared" si="3"/>
        <v>2.8220686927991254</v>
      </c>
      <c r="I31" s="30">
        <f t="shared" si="4"/>
        <v>3.84</v>
      </c>
      <c r="J31" s="30">
        <f t="shared" si="0"/>
        <v>4.6409515070251599</v>
      </c>
      <c r="K31" s="30">
        <f t="shared" si="1"/>
        <v>8.8004565641872929</v>
      </c>
      <c r="L31" s="30">
        <f t="shared" si="5"/>
        <v>360.03437886859456</v>
      </c>
      <c r="M31" s="37">
        <f t="shared" si="2"/>
        <v>3.3062102221395231E-2</v>
      </c>
      <c r="N31" s="38"/>
      <c r="O31" s="39"/>
      <c r="P31" s="33"/>
      <c r="Q31" s="34"/>
      <c r="R31" s="34"/>
    </row>
    <row r="32" spans="1:18" x14ac:dyDescent="0.3">
      <c r="B32" s="11"/>
      <c r="C32" s="11"/>
      <c r="D32" s="11"/>
      <c r="E32" s="29">
        <v>2043</v>
      </c>
      <c r="F32" s="29">
        <v>25</v>
      </c>
      <c r="G32" s="30">
        <f>+'2019 Yearly Prices'!B27</f>
        <v>40.741132536888792</v>
      </c>
      <c r="H32" s="30">
        <f t="shared" si="3"/>
        <v>2.892620410119104</v>
      </c>
      <c r="I32" s="30">
        <f t="shared" si="4"/>
        <v>3.84</v>
      </c>
      <c r="J32" s="30">
        <f t="shared" si="0"/>
        <v>4.7473752947007899</v>
      </c>
      <c r="K32" s="30">
        <f t="shared" si="1"/>
        <v>8.3664162362187824</v>
      </c>
      <c r="L32" s="30">
        <f t="shared" si="5"/>
        <v>368.40079510481337</v>
      </c>
      <c r="M32" s="37">
        <f t="shared" si="2"/>
        <v>3.3339888137816895E-2</v>
      </c>
      <c r="N32" s="38"/>
      <c r="O32" s="39"/>
      <c r="P32" s="33"/>
      <c r="Q32" s="34"/>
      <c r="R32" s="34"/>
    </row>
    <row r="33" spans="2:18" x14ac:dyDescent="0.3">
      <c r="B33" s="11"/>
      <c r="C33" s="44"/>
      <c r="D33" s="11"/>
      <c r="E33" s="29"/>
      <c r="F33" s="29"/>
      <c r="G33" s="30"/>
      <c r="H33" s="30"/>
      <c r="I33" s="30"/>
      <c r="J33" s="30"/>
      <c r="K33" s="30"/>
      <c r="L33" s="30"/>
      <c r="M33" s="32"/>
      <c r="N33" s="31"/>
      <c r="O33" s="32"/>
      <c r="P33" s="33"/>
      <c r="Q33" s="34"/>
      <c r="R33" s="34"/>
    </row>
    <row r="34" spans="2:18" x14ac:dyDescent="0.3">
      <c r="D34" s="11"/>
      <c r="E34" s="45" t="s">
        <v>39</v>
      </c>
      <c r="F34" s="46">
        <v>25</v>
      </c>
      <c r="G34" s="47">
        <f>NPV($C7,G8:G32)</f>
        <v>273.08906258352079</v>
      </c>
      <c r="H34" s="47">
        <f>NPV($C7,H8:H32)</f>
        <v>19.389323443429973</v>
      </c>
      <c r="I34" s="47">
        <f>NPV($C7,I8:I32)</f>
        <v>42.431427704697576</v>
      </c>
      <c r="J34" s="47">
        <f>NPV($C7,J8:J32)</f>
        <v>33.490981373164828</v>
      </c>
      <c r="K34" s="47"/>
      <c r="L34" s="47">
        <f>SUM(G34:J34)</f>
        <v>368.40079510481314</v>
      </c>
      <c r="M34" s="48"/>
      <c r="N34" s="11"/>
      <c r="O34" s="11"/>
      <c r="P34" s="11"/>
      <c r="Q34" s="11"/>
      <c r="R34" s="11"/>
    </row>
    <row r="35" spans="2:18" x14ac:dyDescent="0.3">
      <c r="E35" s="49" t="s">
        <v>40</v>
      </c>
      <c r="F35" s="50">
        <v>25</v>
      </c>
      <c r="G35" s="51">
        <f>-PMT($C7,$F35,G34)</f>
        <v>24.714275645375505</v>
      </c>
      <c r="H35" s="51">
        <f>-PMT($C7,$F35,H34)</f>
        <v>1.7547135708216608</v>
      </c>
      <c r="I35" s="51">
        <f>-PMT($C7,$F35,I34)</f>
        <v>3.8399999999999963</v>
      </c>
      <c r="J35" s="51">
        <f>-PMT($C7,$F35,J34)</f>
        <v>3.0308989216197157</v>
      </c>
      <c r="K35" s="51"/>
      <c r="L35" s="51"/>
      <c r="M35" s="52">
        <f>SUM(G35:J35)/1000</f>
        <v>3.3339888137816881E-2</v>
      </c>
    </row>
    <row r="37" spans="2:18" x14ac:dyDescent="0.3">
      <c r="E37" s="45" t="s">
        <v>39</v>
      </c>
      <c r="F37" s="46">
        <v>20</v>
      </c>
      <c r="G37" s="47">
        <f>NPV($C7,G8:G27)</f>
        <v>237.03978089641518</v>
      </c>
      <c r="H37" s="47">
        <f>NPV($C7,H8:H27)</f>
        <v>16.829824443645478</v>
      </c>
      <c r="I37" s="47">
        <f>NPV($C7,I8:I27)</f>
        <v>38.850904040587906</v>
      </c>
      <c r="J37" s="47">
        <f>NPV($C7,J8:J27)</f>
        <v>29.272050938064861</v>
      </c>
      <c r="K37" s="47"/>
      <c r="L37" s="47">
        <f>SUM(G37:J37)</f>
        <v>321.99256031871346</v>
      </c>
      <c r="M37" s="48"/>
    </row>
    <row r="38" spans="2:18" x14ac:dyDescent="0.3">
      <c r="E38" s="49" t="s">
        <v>40</v>
      </c>
      <c r="F38" s="50">
        <v>20</v>
      </c>
      <c r="G38" s="51">
        <f>-PMT($C7,$F38,G37)</f>
        <v>23.428869446417636</v>
      </c>
      <c r="H38" s="51">
        <f>-PMT($C7,$F38,H37)</f>
        <v>1.6634497306956522</v>
      </c>
      <c r="I38" s="51">
        <f>-PMT($C7,$F38,I37)</f>
        <v>3.8399999999999967</v>
      </c>
      <c r="J38" s="51">
        <f>-PMT($C7,$F38,J37)</f>
        <v>2.8932319177113293</v>
      </c>
      <c r="K38" s="51"/>
      <c r="L38" s="51"/>
      <c r="M38" s="52">
        <f>SUM(G38:J38)/1000</f>
        <v>3.1825551094824614E-2</v>
      </c>
    </row>
    <row r="40" spans="2:18" x14ac:dyDescent="0.3">
      <c r="E40" s="45" t="s">
        <v>39</v>
      </c>
      <c r="F40" s="46">
        <v>15</v>
      </c>
      <c r="G40" s="47">
        <f>NPV($C7,G8:G22)</f>
        <v>193.5952414248722</v>
      </c>
      <c r="H40" s="47">
        <f>NPV($C7,H8:H22)</f>
        <v>13.745262141165924</v>
      </c>
      <c r="I40" s="47">
        <f>NPV($C7,I8:I22)</f>
        <v>33.686646348905946</v>
      </c>
      <c r="J40" s="47">
        <f>NPV($C7,J8:J22)</f>
        <v>24.102714991494409</v>
      </c>
      <c r="K40" s="47"/>
      <c r="L40" s="47">
        <f>SUM(G40:J40)</f>
        <v>265.12986490643851</v>
      </c>
      <c r="M40" s="48"/>
    </row>
    <row r="41" spans="2:18" x14ac:dyDescent="0.3">
      <c r="E41" s="49" t="s">
        <v>40</v>
      </c>
      <c r="F41" s="50">
        <v>15</v>
      </c>
      <c r="G41" s="51">
        <f>-PMT($C7,$F41,G40)</f>
        <v>22.068261689565677</v>
      </c>
      <c r="H41" s="51">
        <f>-PMT($C7,$F41,H40)</f>
        <v>1.5668465799591629</v>
      </c>
      <c r="I41" s="51">
        <f>-PMT($C7,$F41,I40)</f>
        <v>3.8399999999999967</v>
      </c>
      <c r="J41" s="51">
        <f>-PMT($C7,$F41,J40)</f>
        <v>2.7475108269524839</v>
      </c>
      <c r="K41" s="51"/>
      <c r="L41" s="51"/>
      <c r="M41" s="52">
        <f>SUM(G41:J41)/1000</f>
        <v>3.0222619096477322E-2</v>
      </c>
    </row>
  </sheetData>
  <pageMargins left="0.7" right="0.7" top="0.75" bottom="0.75" header="0.3" footer="0.3"/>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451"/>
  <sheetViews>
    <sheetView zoomScale="90" zoomScaleNormal="90" workbookViewId="0"/>
  </sheetViews>
  <sheetFormatPr defaultColWidth="9.109375" defaultRowHeight="13.8" x14ac:dyDescent="0.25"/>
  <cols>
    <col min="1" max="1" width="19.6640625" style="53" customWidth="1"/>
    <col min="2" max="2" width="17.44140625" style="53" customWidth="1"/>
    <col min="3" max="3" width="18.5546875" style="53" bestFit="1" customWidth="1"/>
    <col min="4" max="4" width="3.33203125" style="53" customWidth="1"/>
    <col min="5" max="5" width="9.6640625" style="53" customWidth="1"/>
    <col min="6" max="6" width="14.44140625" style="53" bestFit="1" customWidth="1"/>
    <col min="7" max="7" width="16.44140625" style="54" customWidth="1"/>
    <col min="8" max="8" width="15.44140625" style="54" bestFit="1" customWidth="1"/>
    <col min="9" max="9" width="14.88671875" style="54" bestFit="1" customWidth="1"/>
    <col min="10" max="10" width="15.88671875" style="53" bestFit="1" customWidth="1"/>
    <col min="11" max="11" width="15.33203125" style="53" bestFit="1" customWidth="1"/>
    <col min="12" max="12" width="19.6640625" style="53" bestFit="1" customWidth="1"/>
    <col min="13" max="16384" width="9.109375" style="53"/>
  </cols>
  <sheetData>
    <row r="1" spans="1:14" x14ac:dyDescent="0.25">
      <c r="A1" s="9" t="s">
        <v>41</v>
      </c>
      <c r="H1" s="53"/>
      <c r="K1" s="54"/>
      <c r="M1" s="54"/>
    </row>
    <row r="2" spans="1:14" x14ac:dyDescent="0.25">
      <c r="A2" s="11"/>
      <c r="J2" s="54"/>
      <c r="K2" s="54"/>
      <c r="L2" s="54"/>
      <c r="M2" s="54"/>
      <c r="N2" s="54"/>
    </row>
    <row r="4" spans="1:14" ht="55.2" x14ac:dyDescent="0.25">
      <c r="E4" s="55" t="s">
        <v>14</v>
      </c>
      <c r="F4" s="15" t="s">
        <v>15</v>
      </c>
      <c r="G4" s="56" t="s">
        <v>42</v>
      </c>
      <c r="H4" s="56" t="s">
        <v>43</v>
      </c>
      <c r="I4" s="56" t="s">
        <v>44</v>
      </c>
      <c r="J4" s="15" t="s">
        <v>45</v>
      </c>
      <c r="K4" s="15" t="s">
        <v>46</v>
      </c>
      <c r="L4" s="15" t="s">
        <v>47</v>
      </c>
    </row>
    <row r="5" spans="1:14" x14ac:dyDescent="0.25">
      <c r="E5" s="18"/>
      <c r="F5" s="18" t="s">
        <v>23</v>
      </c>
      <c r="G5" s="57" t="s">
        <v>48</v>
      </c>
      <c r="H5" s="57" t="s">
        <v>48</v>
      </c>
      <c r="I5" s="57" t="s">
        <v>48</v>
      </c>
      <c r="J5" s="57" t="s">
        <v>48</v>
      </c>
      <c r="K5" s="57" t="s">
        <v>48</v>
      </c>
      <c r="L5" s="57" t="s">
        <v>48</v>
      </c>
    </row>
    <row r="6" spans="1:14" x14ac:dyDescent="0.25">
      <c r="A6" s="58"/>
      <c r="B6" s="59" t="s">
        <v>49</v>
      </c>
      <c r="C6" s="60">
        <f>'Baseload Avoided Capacity Calcs'!D13</f>
        <v>32.486781647752245</v>
      </c>
      <c r="D6" s="61"/>
      <c r="E6" s="55" t="s">
        <v>27</v>
      </c>
      <c r="F6" s="62" t="s">
        <v>28</v>
      </c>
      <c r="G6" s="63" t="s">
        <v>29</v>
      </c>
      <c r="H6" s="63" t="s">
        <v>30</v>
      </c>
      <c r="I6" s="63" t="s">
        <v>31</v>
      </c>
      <c r="J6" s="62" t="s">
        <v>32</v>
      </c>
      <c r="K6" s="62" t="s">
        <v>33</v>
      </c>
      <c r="L6" s="62" t="s">
        <v>34</v>
      </c>
    </row>
    <row r="7" spans="1:14" x14ac:dyDescent="0.25">
      <c r="A7" s="64"/>
      <c r="B7" s="65" t="s">
        <v>50</v>
      </c>
      <c r="C7" s="36">
        <v>0.1</v>
      </c>
      <c r="D7" s="66"/>
      <c r="E7" s="67">
        <v>2019</v>
      </c>
      <c r="F7" s="67">
        <v>1</v>
      </c>
      <c r="G7" s="68">
        <f>'Baseload Avoided Capacity Calcs'!H7</f>
        <v>72.400000000000006</v>
      </c>
      <c r="H7" s="68">
        <f>C6</f>
        <v>32.486781647752245</v>
      </c>
      <c r="I7" s="68">
        <f>(G7+H7)*$C$7</f>
        <v>10.488678164775227</v>
      </c>
      <c r="J7" s="209">
        <f>SUM(G7:I7)/((1+$C$8)^F7)</f>
        <v>107.22626376628948</v>
      </c>
      <c r="K7" s="210">
        <f>J7</f>
        <v>107.22626376628948</v>
      </c>
      <c r="L7" s="69">
        <f>(-PMT($C$8,F7,(K7)))</f>
        <v>115.3754598125275</v>
      </c>
      <c r="M7" s="70"/>
    </row>
    <row r="8" spans="1:14" x14ac:dyDescent="0.25">
      <c r="A8" s="64"/>
      <c r="B8" s="65" t="s">
        <v>51</v>
      </c>
      <c r="C8" s="71">
        <f>'Baseload Avoided Capacity Calcs'!D8</f>
        <v>7.5999999999999998E-2</v>
      </c>
      <c r="D8" s="66"/>
      <c r="E8" s="67">
        <v>2020</v>
      </c>
      <c r="F8" s="67">
        <v>2</v>
      </c>
      <c r="G8" s="68">
        <f>'Baseload Avoided Capacity Calcs'!H8</f>
        <v>72.400000000000006</v>
      </c>
      <c r="H8" s="68">
        <f>H7+(H7*$C$9)</f>
        <v>33.298951188946049</v>
      </c>
      <c r="I8" s="68">
        <f>(G8+H8)*$C$7</f>
        <v>10.569895118894607</v>
      </c>
      <c r="J8" s="209">
        <f t="shared" ref="J8:J30" si="0">SUM(G8:I8)/((1+$C$8)^F8)</f>
        <v>100.42430168516246</v>
      </c>
      <c r="K8" s="210">
        <f t="shared" ref="K8:K30" si="1">K7+J8</f>
        <v>207.65056545145194</v>
      </c>
      <c r="L8" s="69">
        <f t="shared" ref="L8:L30" si="2">(-PMT($C$8,F8,(K8)))</f>
        <v>115.80580012818895</v>
      </c>
      <c r="M8" s="70"/>
    </row>
    <row r="9" spans="1:14" x14ac:dyDescent="0.25">
      <c r="A9" s="64"/>
      <c r="B9" s="65" t="s">
        <v>37</v>
      </c>
      <c r="C9" s="72">
        <f>'Baseload Avoided Capacity Calcs'!D9</f>
        <v>2.5000000000000001E-2</v>
      </c>
      <c r="D9" s="73"/>
      <c r="E9" s="67">
        <v>2021</v>
      </c>
      <c r="F9" s="67">
        <v>3</v>
      </c>
      <c r="G9" s="68">
        <f>'Baseload Avoided Capacity Calcs'!H9</f>
        <v>72.400000000000006</v>
      </c>
      <c r="H9" s="68">
        <f t="shared" ref="H9:H31" si="3">H8+(H8*$C$9)</f>
        <v>34.131424968669698</v>
      </c>
      <c r="I9" s="68">
        <f t="shared" ref="I9:I31" si="4">(G9+H9)*$C$7</f>
        <v>10.653142496866971</v>
      </c>
      <c r="J9" s="209">
        <f t="shared" si="0"/>
        <v>94.066201563474948</v>
      </c>
      <c r="K9" s="210">
        <f t="shared" si="1"/>
        <v>301.71676701492686</v>
      </c>
      <c r="L9" s="69">
        <f t="shared" si="2"/>
        <v>116.23216464364938</v>
      </c>
      <c r="M9" s="70"/>
    </row>
    <row r="10" spans="1:14" x14ac:dyDescent="0.25">
      <c r="A10" s="74"/>
      <c r="B10" s="75" t="s">
        <v>52</v>
      </c>
      <c r="C10" s="212">
        <v>1.819102149825469E-4</v>
      </c>
      <c r="D10" s="66"/>
      <c r="E10" s="67">
        <v>2022</v>
      </c>
      <c r="F10" s="67">
        <v>4</v>
      </c>
      <c r="G10" s="68">
        <f>'Baseload Avoided Capacity Calcs'!H10</f>
        <v>72.400000000000006</v>
      </c>
      <c r="H10" s="68">
        <f t="shared" si="3"/>
        <v>34.984710592886444</v>
      </c>
      <c r="I10" s="68">
        <f t="shared" si="4"/>
        <v>10.738471059288646</v>
      </c>
      <c r="J10" s="209">
        <f t="shared" si="0"/>
        <v>88.122346083667352</v>
      </c>
      <c r="K10" s="210">
        <f t="shared" si="1"/>
        <v>389.83911309859423</v>
      </c>
      <c r="L10" s="69">
        <f t="shared" si="2"/>
        <v>116.6543097193094</v>
      </c>
      <c r="M10" s="70"/>
    </row>
    <row r="11" spans="1:14" x14ac:dyDescent="0.25">
      <c r="A11" s="76"/>
      <c r="B11" s="77"/>
      <c r="C11" s="78"/>
      <c r="D11" s="66"/>
      <c r="E11" s="67">
        <v>2023</v>
      </c>
      <c r="F11" s="67">
        <v>5</v>
      </c>
      <c r="G11" s="68">
        <f>'Baseload Avoided Capacity Calcs'!H11</f>
        <v>93</v>
      </c>
      <c r="H11" s="68">
        <f t="shared" si="3"/>
        <v>35.859328357708605</v>
      </c>
      <c r="I11" s="68">
        <f t="shared" si="4"/>
        <v>12.885932835770859</v>
      </c>
      <c r="J11" s="209">
        <f t="shared" si="0"/>
        <v>98.275936693887701</v>
      </c>
      <c r="K11" s="210">
        <f t="shared" si="1"/>
        <v>488.11504979248195</v>
      </c>
      <c r="L11" s="69">
        <f t="shared" si="2"/>
        <v>120.96547847603335</v>
      </c>
      <c r="M11" s="70"/>
    </row>
    <row r="12" spans="1:14" x14ac:dyDescent="0.25">
      <c r="A12" s="76"/>
      <c r="B12" s="65"/>
      <c r="C12" s="79"/>
      <c r="E12" s="67">
        <v>2024</v>
      </c>
      <c r="F12" s="67">
        <v>6</v>
      </c>
      <c r="G12" s="68">
        <f>'Baseload Avoided Capacity Calcs'!H12</f>
        <v>93</v>
      </c>
      <c r="H12" s="68">
        <f t="shared" si="3"/>
        <v>36.755811566651317</v>
      </c>
      <c r="I12" s="68">
        <f t="shared" si="4"/>
        <v>12.975581156665132</v>
      </c>
      <c r="J12" s="209">
        <f t="shared" si="0"/>
        <v>91.969934148539593</v>
      </c>
      <c r="K12" s="210">
        <f t="shared" si="1"/>
        <v>580.08498394102151</v>
      </c>
      <c r="L12" s="69">
        <f t="shared" si="2"/>
        <v>123.96258575923511</v>
      </c>
      <c r="M12" s="70"/>
    </row>
    <row r="13" spans="1:14" x14ac:dyDescent="0.25">
      <c r="A13" s="76"/>
      <c r="B13" s="65"/>
      <c r="C13" s="80"/>
      <c r="E13" s="67">
        <v>2025</v>
      </c>
      <c r="F13" s="67">
        <v>7</v>
      </c>
      <c r="G13" s="68">
        <f>'Baseload Avoided Capacity Calcs'!H13</f>
        <v>80</v>
      </c>
      <c r="H13" s="68">
        <f t="shared" si="3"/>
        <v>37.674706855817604</v>
      </c>
      <c r="I13" s="68">
        <f t="shared" si="4"/>
        <v>11.767470685581761</v>
      </c>
      <c r="J13" s="209">
        <f t="shared" si="0"/>
        <v>77.51574242354792</v>
      </c>
      <c r="K13" s="210">
        <f t="shared" si="1"/>
        <v>657.60072636456948</v>
      </c>
      <c r="L13" s="69">
        <f t="shared" si="2"/>
        <v>124.58426046961803</v>
      </c>
      <c r="M13" s="70"/>
    </row>
    <row r="14" spans="1:14" ht="14.4" x14ac:dyDescent="0.3">
      <c r="A14" s="81"/>
      <c r="B14" s="81"/>
      <c r="C14" s="81"/>
      <c r="D14" s="66"/>
      <c r="E14" s="67">
        <v>2026</v>
      </c>
      <c r="F14" s="67">
        <v>8</v>
      </c>
      <c r="G14" s="68">
        <f>'Baseload Avoided Capacity Calcs'!H14</f>
        <v>80</v>
      </c>
      <c r="H14" s="68">
        <f t="shared" si="3"/>
        <v>38.616574527213047</v>
      </c>
      <c r="I14" s="68">
        <f t="shared" si="4"/>
        <v>11.861657452721305</v>
      </c>
      <c r="J14" s="209">
        <f t="shared" si="0"/>
        <v>72.617265777387871</v>
      </c>
      <c r="K14" s="210">
        <f t="shared" si="1"/>
        <v>730.21799214195732</v>
      </c>
      <c r="L14" s="69">
        <f t="shared" si="2"/>
        <v>125.14644104495537</v>
      </c>
      <c r="M14" s="70"/>
    </row>
    <row r="15" spans="1:14" ht="14.4" x14ac:dyDescent="0.3">
      <c r="A15" s="81"/>
      <c r="B15" s="81"/>
      <c r="C15" s="81"/>
      <c r="E15" s="67">
        <v>2027</v>
      </c>
      <c r="F15" s="67">
        <v>9</v>
      </c>
      <c r="G15" s="68">
        <f>'Baseload Avoided Capacity Calcs'!H15</f>
        <v>80.477938899565444</v>
      </c>
      <c r="H15" s="68">
        <f t="shared" si="3"/>
        <v>39.581988890393376</v>
      </c>
      <c r="I15" s="68">
        <f t="shared" si="4"/>
        <v>12.005992778995882</v>
      </c>
      <c r="J15" s="209">
        <f t="shared" si="0"/>
        <v>68.309376454010021</v>
      </c>
      <c r="K15" s="210">
        <f t="shared" si="1"/>
        <v>798.52736859596735</v>
      </c>
      <c r="L15" s="69">
        <f t="shared" si="2"/>
        <v>125.70987442588343</v>
      </c>
      <c r="M15" s="70"/>
    </row>
    <row r="16" spans="1:14" ht="14.4" x14ac:dyDescent="0.3">
      <c r="A16" s="81"/>
      <c r="B16" s="81"/>
      <c r="C16" s="81"/>
      <c r="D16" s="82"/>
      <c r="E16" s="67">
        <v>2028</v>
      </c>
      <c r="F16" s="67">
        <v>10</v>
      </c>
      <c r="G16" s="68">
        <f>'Baseload Avoided Capacity Calcs'!H16</f>
        <v>80.477938899565444</v>
      </c>
      <c r="H16" s="68">
        <f t="shared" si="3"/>
        <v>40.571538612653214</v>
      </c>
      <c r="I16" s="68">
        <f t="shared" si="4"/>
        <v>12.104947751221866</v>
      </c>
      <c r="J16" s="209">
        <f t="shared" si="0"/>
        <v>64.007798627185608</v>
      </c>
      <c r="K16" s="210">
        <f t="shared" si="1"/>
        <v>862.53516722315294</v>
      </c>
      <c r="L16" s="69">
        <f t="shared" si="2"/>
        <v>126.2336123056415</v>
      </c>
      <c r="M16" s="70"/>
    </row>
    <row r="17" spans="1:13" ht="14.4" x14ac:dyDescent="0.3">
      <c r="A17" s="81"/>
      <c r="B17" s="81"/>
      <c r="C17" s="81"/>
      <c r="D17" s="83"/>
      <c r="E17" s="67">
        <v>2029</v>
      </c>
      <c r="F17" s="67">
        <v>11</v>
      </c>
      <c r="G17" s="68">
        <f>'Baseload Avoided Capacity Calcs'!H17</f>
        <v>80.477938899565444</v>
      </c>
      <c r="H17" s="68">
        <f t="shared" si="3"/>
        <v>41.585827077969547</v>
      </c>
      <c r="I17" s="68">
        <f t="shared" si="4"/>
        <v>12.206376597753499</v>
      </c>
      <c r="J17" s="209">
        <f t="shared" si="0"/>
        <v>59.985248928475322</v>
      </c>
      <c r="K17" s="210">
        <f t="shared" si="1"/>
        <v>922.5204161516283</v>
      </c>
      <c r="L17" s="69">
        <f t="shared" si="2"/>
        <v>126.72681579057733</v>
      </c>
      <c r="M17" s="70"/>
    </row>
    <row r="18" spans="1:13" ht="14.4" x14ac:dyDescent="0.3">
      <c r="A18" s="84"/>
      <c r="B18" s="84"/>
      <c r="C18" s="84"/>
      <c r="D18" s="83"/>
      <c r="E18" s="67">
        <v>2030</v>
      </c>
      <c r="F18" s="67">
        <v>12</v>
      </c>
      <c r="G18" s="68">
        <f>'Baseload Avoided Capacity Calcs'!H18</f>
        <v>80.477938899565444</v>
      </c>
      <c r="H18" s="68">
        <f t="shared" si="3"/>
        <v>42.625472754918789</v>
      </c>
      <c r="I18" s="68">
        <f t="shared" si="4"/>
        <v>12.310341165448424</v>
      </c>
      <c r="J18" s="209">
        <f t="shared" si="0"/>
        <v>56.223194553514375</v>
      </c>
      <c r="K18" s="210">
        <f t="shared" si="1"/>
        <v>978.74361070514271</v>
      </c>
      <c r="L18" s="69">
        <f t="shared" si="2"/>
        <v>127.19554538996296</v>
      </c>
      <c r="M18" s="70"/>
    </row>
    <row r="19" spans="1:13" ht="14.4" x14ac:dyDescent="0.3">
      <c r="A19" s="84"/>
      <c r="B19" s="84"/>
      <c r="C19" s="84"/>
      <c r="D19" s="83"/>
      <c r="E19" s="67">
        <v>2031</v>
      </c>
      <c r="F19" s="67">
        <v>13</v>
      </c>
      <c r="G19" s="68">
        <f>'Baseload Avoided Capacity Calcs'!H19</f>
        <v>84.157096346974001</v>
      </c>
      <c r="H19" s="68">
        <f t="shared" si="3"/>
        <v>43.691109573791756</v>
      </c>
      <c r="I19" s="68">
        <f t="shared" si="4"/>
        <v>12.784820592076578</v>
      </c>
      <c r="J19" s="209">
        <f t="shared" si="0"/>
        <v>54.265998172711747</v>
      </c>
      <c r="K19" s="210">
        <f t="shared" si="1"/>
        <v>1033.0096088778544</v>
      </c>
      <c r="L19" s="69">
        <f t="shared" si="2"/>
        <v>127.8372147150011</v>
      </c>
      <c r="M19" s="70"/>
    </row>
    <row r="20" spans="1:13" ht="14.4" x14ac:dyDescent="0.3">
      <c r="A20" s="84"/>
      <c r="B20" s="84"/>
      <c r="C20" s="84"/>
      <c r="D20" s="83"/>
      <c r="E20" s="67">
        <v>2032</v>
      </c>
      <c r="F20" s="67">
        <v>14</v>
      </c>
      <c r="G20" s="68">
        <f>'Baseload Avoided Capacity Calcs'!H20</f>
        <v>84.157096346974001</v>
      </c>
      <c r="H20" s="68">
        <f t="shared" si="3"/>
        <v>44.783387313136551</v>
      </c>
      <c r="I20" s="68">
        <f t="shared" si="4"/>
        <v>12.894048366011056</v>
      </c>
      <c r="J20" s="209">
        <f t="shared" si="0"/>
        <v>50.863961455523345</v>
      </c>
      <c r="K20" s="210">
        <f t="shared" si="1"/>
        <v>1083.8735703333778</v>
      </c>
      <c r="L20" s="69">
        <f t="shared" si="2"/>
        <v>128.43201019977514</v>
      </c>
      <c r="M20" s="70"/>
    </row>
    <row r="21" spans="1:13" ht="14.4" x14ac:dyDescent="0.3">
      <c r="A21" s="84"/>
      <c r="B21" s="84"/>
      <c r="C21" s="84"/>
      <c r="D21" s="83"/>
      <c r="E21" s="67">
        <v>2033</v>
      </c>
      <c r="F21" s="67">
        <v>15</v>
      </c>
      <c r="G21" s="68">
        <f>'Baseload Avoided Capacity Calcs'!H21</f>
        <v>84.157096346974001</v>
      </c>
      <c r="H21" s="68">
        <f t="shared" si="3"/>
        <v>45.902971995964961</v>
      </c>
      <c r="I21" s="68">
        <f t="shared" si="4"/>
        <v>13.006006834293897</v>
      </c>
      <c r="J21" s="209">
        <f>SUM(G21:I21)/((1+$C$8)^F21)</f>
        <v>47.681794654933498</v>
      </c>
      <c r="K21" s="210">
        <f t="shared" si="1"/>
        <v>1131.5553649883113</v>
      </c>
      <c r="L21" s="69">
        <f t="shared" si="2"/>
        <v>128.98798403825768</v>
      </c>
      <c r="M21" s="70"/>
    </row>
    <row r="22" spans="1:13" ht="14.4" x14ac:dyDescent="0.3">
      <c r="A22" s="84"/>
      <c r="B22" s="84"/>
      <c r="C22" s="84"/>
      <c r="D22" s="83"/>
      <c r="E22" s="67">
        <v>2034</v>
      </c>
      <c r="F22" s="67">
        <v>16</v>
      </c>
      <c r="G22" s="68">
        <f>'Baseload Avoided Capacity Calcs'!H22</f>
        <v>88.306829270347322</v>
      </c>
      <c r="H22" s="68">
        <f t="shared" si="3"/>
        <v>47.050546295864088</v>
      </c>
      <c r="I22" s="68">
        <f t="shared" si="4"/>
        <v>13.535737556621141</v>
      </c>
      <c r="J22" s="209">
        <f t="shared" si="0"/>
        <v>46.118828737168421</v>
      </c>
      <c r="K22" s="210">
        <f t="shared" si="1"/>
        <v>1177.6741937254797</v>
      </c>
      <c r="L22" s="69">
        <f t="shared" si="2"/>
        <v>129.6668318122849</v>
      </c>
      <c r="M22" s="70"/>
    </row>
    <row r="23" spans="1:13" ht="14.4" x14ac:dyDescent="0.3">
      <c r="A23" s="84"/>
      <c r="B23" s="84"/>
      <c r="C23" s="84"/>
      <c r="D23" s="83"/>
      <c r="E23" s="67">
        <v>2035</v>
      </c>
      <c r="F23" s="67">
        <v>17</v>
      </c>
      <c r="G23" s="68">
        <f>'Baseload Avoided Capacity Calcs'!H23</f>
        <v>88.306829270347322</v>
      </c>
      <c r="H23" s="68">
        <f t="shared" si="3"/>
        <v>48.226809953260691</v>
      </c>
      <c r="I23" s="68">
        <f t="shared" si="4"/>
        <v>13.653363922360803</v>
      </c>
      <c r="J23" s="209">
        <f t="shared" si="0"/>
        <v>43.233832812601392</v>
      </c>
      <c r="K23" s="210">
        <f t="shared" si="1"/>
        <v>1220.908026538081</v>
      </c>
      <c r="L23" s="69">
        <f t="shared" si="2"/>
        <v>130.29724407310005</v>
      </c>
      <c r="M23" s="70"/>
    </row>
    <row r="24" spans="1:13" ht="14.4" x14ac:dyDescent="0.3">
      <c r="A24" s="84"/>
      <c r="B24" s="84"/>
      <c r="C24" s="84"/>
      <c r="D24" s="83"/>
      <c r="E24" s="85">
        <v>2036</v>
      </c>
      <c r="F24" s="67">
        <v>18</v>
      </c>
      <c r="G24" s="68">
        <f>'Baseload Avoided Capacity Calcs'!H24</f>
        <v>91.089450907608253</v>
      </c>
      <c r="H24" s="68">
        <f t="shared" si="3"/>
        <v>49.432480202092208</v>
      </c>
      <c r="I24" s="68">
        <f t="shared" si="4"/>
        <v>14.052193110970046</v>
      </c>
      <c r="J24" s="209">
        <f t="shared" si="0"/>
        <v>41.353846428610915</v>
      </c>
      <c r="K24" s="210">
        <f t="shared" si="1"/>
        <v>1262.261872966692</v>
      </c>
      <c r="L24" s="69">
        <f t="shared" si="2"/>
        <v>130.97114826999359</v>
      </c>
      <c r="M24" s="70"/>
    </row>
    <row r="25" spans="1:13" ht="14.4" x14ac:dyDescent="0.3">
      <c r="A25" s="84"/>
      <c r="B25" s="84"/>
      <c r="C25" s="84"/>
      <c r="D25" s="83"/>
      <c r="E25" s="85">
        <v>2037</v>
      </c>
      <c r="F25" s="67">
        <v>19</v>
      </c>
      <c r="G25" s="68">
        <f>'Baseload Avoided Capacity Calcs'!H25</f>
        <v>91.089450907608253</v>
      </c>
      <c r="H25" s="68">
        <f t="shared" si="3"/>
        <v>50.668292207144511</v>
      </c>
      <c r="I25" s="68">
        <f t="shared" si="4"/>
        <v>14.175774311475278</v>
      </c>
      <c r="J25" s="209">
        <f t="shared" si="0"/>
        <v>38.770939072466938</v>
      </c>
      <c r="K25" s="210">
        <f t="shared" si="1"/>
        <v>1301.0328120391589</v>
      </c>
      <c r="L25" s="69">
        <f t="shared" si="2"/>
        <v>131.59894173913466</v>
      </c>
      <c r="M25" s="70"/>
    </row>
    <row r="26" spans="1:13" ht="14.4" x14ac:dyDescent="0.3">
      <c r="A26" s="84"/>
      <c r="B26" s="84"/>
      <c r="C26" s="84"/>
      <c r="D26" s="83"/>
      <c r="E26" s="85">
        <v>2038</v>
      </c>
      <c r="F26" s="67">
        <v>20</v>
      </c>
      <c r="G26" s="68">
        <f>'Baseload Avoided Capacity Calcs'!H26</f>
        <v>91.089450907608253</v>
      </c>
      <c r="H26" s="68">
        <f t="shared" si="3"/>
        <v>51.934999512323124</v>
      </c>
      <c r="I26" s="68">
        <f t="shared" si="4"/>
        <v>14.302445041993138</v>
      </c>
      <c r="J26" s="209">
        <f t="shared" si="0"/>
        <v>36.354447281401605</v>
      </c>
      <c r="K26" s="210">
        <f t="shared" si="1"/>
        <v>1337.3872593205606</v>
      </c>
      <c r="L26" s="69">
        <f t="shared" si="2"/>
        <v>132.18655273570397</v>
      </c>
      <c r="M26" s="70"/>
    </row>
    <row r="27" spans="1:13" s="54" customFormat="1" x14ac:dyDescent="0.25">
      <c r="D27" s="42"/>
      <c r="E27" s="85">
        <v>2039</v>
      </c>
      <c r="F27" s="85">
        <v>21</v>
      </c>
      <c r="G27" s="68">
        <f>'Baseload Avoided Capacity Calcs'!H27</f>
        <v>91.089450907608253</v>
      </c>
      <c r="H27" s="68">
        <f t="shared" si="3"/>
        <v>53.233374500131205</v>
      </c>
      <c r="I27" s="68">
        <f t="shared" si="4"/>
        <v>14.432282540773947</v>
      </c>
      <c r="J27" s="68">
        <f t="shared" si="0"/>
        <v>34.093376121259503</v>
      </c>
      <c r="K27" s="211">
        <f t="shared" si="1"/>
        <v>1371.4806354418201</v>
      </c>
      <c r="L27" s="88">
        <f t="shared" si="2"/>
        <v>132.73878068631052</v>
      </c>
      <c r="M27" s="89"/>
    </row>
    <row r="28" spans="1:13" s="54" customFormat="1" x14ac:dyDescent="0.25">
      <c r="D28" s="42"/>
      <c r="E28" s="85">
        <v>2040</v>
      </c>
      <c r="F28" s="85">
        <v>22</v>
      </c>
      <c r="G28" s="68">
        <f>+G27</f>
        <v>91.089450907608253</v>
      </c>
      <c r="H28" s="68">
        <f t="shared" si="3"/>
        <v>54.564208862634487</v>
      </c>
      <c r="I28" s="68">
        <f t="shared" si="4"/>
        <v>14.565365977024275</v>
      </c>
      <c r="J28" s="68">
        <f t="shared" si="0"/>
        <v>31.97747126143199</v>
      </c>
      <c r="K28" s="211">
        <f t="shared" si="1"/>
        <v>1403.458106703252</v>
      </c>
      <c r="L28" s="88">
        <f t="shared" si="2"/>
        <v>133.25955497836034</v>
      </c>
      <c r="M28" s="89"/>
    </row>
    <row r="29" spans="1:13" s="54" customFormat="1" x14ac:dyDescent="0.25">
      <c r="D29" s="90"/>
      <c r="E29" s="85">
        <v>2041</v>
      </c>
      <c r="F29" s="85">
        <v>23</v>
      </c>
      <c r="G29" s="68">
        <f t="shared" ref="G29:G31" si="5">+G28</f>
        <v>91.089450907608253</v>
      </c>
      <c r="H29" s="68">
        <f t="shared" si="3"/>
        <v>55.928314084200352</v>
      </c>
      <c r="I29" s="68">
        <f t="shared" si="4"/>
        <v>14.701776499180861</v>
      </c>
      <c r="J29" s="68">
        <f t="shared" si="0"/>
        <v>29.997168370430185</v>
      </c>
      <c r="K29" s="211">
        <f t="shared" si="1"/>
        <v>1433.4552750736823</v>
      </c>
      <c r="L29" s="88">
        <f t="shared" si="2"/>
        <v>133.75212615676463</v>
      </c>
      <c r="M29" s="89"/>
    </row>
    <row r="30" spans="1:13" s="54" customFormat="1" x14ac:dyDescent="0.25">
      <c r="E30" s="85">
        <v>2042</v>
      </c>
      <c r="F30" s="85">
        <v>24</v>
      </c>
      <c r="G30" s="68">
        <f t="shared" si="5"/>
        <v>91.089450907608253</v>
      </c>
      <c r="H30" s="68">
        <f t="shared" si="3"/>
        <v>57.326521936305362</v>
      </c>
      <c r="I30" s="68">
        <f t="shared" si="4"/>
        <v>14.841597284391362</v>
      </c>
      <c r="J30" s="68">
        <f t="shared" si="0"/>
        <v>28.143546004894329</v>
      </c>
      <c r="K30" s="211">
        <f t="shared" si="1"/>
        <v>1461.5988210785765</v>
      </c>
      <c r="L30" s="88">
        <f t="shared" si="2"/>
        <v>134.21920923503751</v>
      </c>
      <c r="M30" s="89"/>
    </row>
    <row r="31" spans="1:13" s="54" customFormat="1" x14ac:dyDescent="0.25">
      <c r="E31" s="85">
        <v>2043</v>
      </c>
      <c r="F31" s="85">
        <v>25</v>
      </c>
      <c r="G31" s="68">
        <f t="shared" si="5"/>
        <v>91.089450907608253</v>
      </c>
      <c r="H31" s="68">
        <f t="shared" si="3"/>
        <v>58.759684984712997</v>
      </c>
      <c r="I31" s="68">
        <f t="shared" si="4"/>
        <v>14.984913589232125</v>
      </c>
      <c r="J31" s="68">
        <f>SUM(G31:I31)/((1+$C$8)^F31)</f>
        <v>26.408281749123596</v>
      </c>
      <c r="K31" s="211">
        <f>K30+J31</f>
        <v>1488.0071028277</v>
      </c>
      <c r="L31" s="88">
        <f>(-PMT($C$8,F31,(K31)))</f>
        <v>134.66309252247416</v>
      </c>
      <c r="M31" s="89"/>
    </row>
    <row r="32" spans="1:13" s="54" customFormat="1" ht="14.4" x14ac:dyDescent="0.3">
      <c r="E32" s="85"/>
      <c r="F32" s="85"/>
      <c r="G32" s="91"/>
      <c r="H32" s="91"/>
      <c r="I32" s="68"/>
      <c r="J32" s="86"/>
      <c r="K32" s="87"/>
      <c r="L32" s="88"/>
      <c r="M32" s="89"/>
    </row>
    <row r="33" spans="1:13" s="54" customFormat="1" ht="14.4" x14ac:dyDescent="0.3">
      <c r="E33" s="45" t="s">
        <v>39</v>
      </c>
      <c r="F33" s="46">
        <v>25</v>
      </c>
      <c r="G33" s="92">
        <f>NPV($C8,G7:G31)</f>
        <v>904.94029094112989</v>
      </c>
      <c r="H33" s="92">
        <f>NPV($C8,H7:H31)</f>
        <v>447.7934389022335</v>
      </c>
      <c r="I33" s="93">
        <f>NPV($C8,I7:I31)</f>
        <v>135.27337298433636</v>
      </c>
      <c r="J33" s="94"/>
      <c r="K33" s="95">
        <f>SUM(G33:I33)</f>
        <v>1488.0071028276998</v>
      </c>
      <c r="L33" s="96"/>
      <c r="M33" s="89"/>
    </row>
    <row r="34" spans="1:13" ht="14.4" x14ac:dyDescent="0.3">
      <c r="A34" s="54"/>
      <c r="B34" s="54"/>
      <c r="C34" s="54"/>
      <c r="E34" s="49" t="s">
        <v>40</v>
      </c>
      <c r="F34" s="50">
        <v>25</v>
      </c>
      <c r="G34" s="97">
        <f>-PMT($C8,$F34,G33)</f>
        <v>81.89615351616419</v>
      </c>
      <c r="H34" s="97">
        <f>-PMT($C8,$F34,H33)</f>
        <v>40.524839686085002</v>
      </c>
      <c r="I34" s="98">
        <f>-PMT($C8,$F34,I33)</f>
        <v>12.24209932022492</v>
      </c>
      <c r="J34" s="99"/>
      <c r="K34" s="100"/>
      <c r="L34" s="101">
        <f>SUM(G34:I34)</f>
        <v>134.6630925224741</v>
      </c>
      <c r="M34" s="89"/>
    </row>
    <row r="35" spans="1:13" ht="14.4" x14ac:dyDescent="0.3">
      <c r="A35" s="54"/>
      <c r="B35" s="54"/>
      <c r="C35" s="54"/>
      <c r="E35" s="45" t="s">
        <v>39</v>
      </c>
      <c r="F35" s="46">
        <v>20</v>
      </c>
      <c r="G35" s="92">
        <f>NPV($C8,G7:G26)</f>
        <v>820.00593299179479</v>
      </c>
      <c r="H35" s="92">
        <f>NPV($C8,H7:H26)</f>
        <v>395.80066639053285</v>
      </c>
      <c r="I35" s="92">
        <f>NPV($C8,I7:I26)</f>
        <v>121.58065993823278</v>
      </c>
      <c r="J35" s="94"/>
      <c r="K35" s="95">
        <f>SUM(G35:I35)</f>
        <v>1337.3872593205606</v>
      </c>
      <c r="L35" s="96"/>
      <c r="M35" s="89"/>
    </row>
    <row r="36" spans="1:13" ht="14.4" x14ac:dyDescent="0.3">
      <c r="A36" s="54"/>
      <c r="B36" s="54"/>
      <c r="C36" s="54"/>
      <c r="E36" s="49" t="s">
        <v>40</v>
      </c>
      <c r="F36" s="50">
        <v>20</v>
      </c>
      <c r="G36" s="97">
        <f>-PMT($C8,$F36,G35)</f>
        <v>81.048893467160624</v>
      </c>
      <c r="H36" s="97">
        <f>-PMT($C8,$F36,H35)</f>
        <v>39.120699928933895</v>
      </c>
      <c r="I36" s="97">
        <f>-PMT($C8,$F36,I35)</f>
        <v>12.016959339609453</v>
      </c>
      <c r="J36" s="99"/>
      <c r="K36" s="100"/>
      <c r="L36" s="101">
        <f>SUM(G36:I36)</f>
        <v>132.18655273570397</v>
      </c>
      <c r="M36" s="89"/>
    </row>
    <row r="37" spans="1:13" ht="14.4" x14ac:dyDescent="0.3">
      <c r="A37" s="54"/>
      <c r="B37" s="54"/>
      <c r="C37" s="54"/>
      <c r="E37" s="45" t="s">
        <v>39</v>
      </c>
      <c r="F37" s="46">
        <v>15</v>
      </c>
      <c r="G37" s="92">
        <f>NPV($C8,G7:G21)</f>
        <v>699.16641161930602</v>
      </c>
      <c r="H37" s="92">
        <f>NPV($C8,H7:H21)</f>
        <v>329.5202838246131</v>
      </c>
      <c r="I37" s="92">
        <f>NPV($C8,I7:I21)</f>
        <v>102.86866954439193</v>
      </c>
      <c r="J37" s="94"/>
      <c r="K37" s="95">
        <f>SUM(G37:I37)</f>
        <v>1131.5553649883111</v>
      </c>
      <c r="L37" s="96"/>
      <c r="M37" s="89"/>
    </row>
    <row r="38" spans="1:13" ht="14.4" x14ac:dyDescent="0.3">
      <c r="A38" s="54"/>
      <c r="B38" s="54"/>
      <c r="C38" s="54"/>
      <c r="E38" s="49" t="s">
        <v>40</v>
      </c>
      <c r="F38" s="50">
        <v>15</v>
      </c>
      <c r="G38" s="97">
        <f>-PMT($C8,$F38,G37)</f>
        <v>79.69920759729554</v>
      </c>
      <c r="H38" s="97">
        <f>-PMT($C8,$F38,H37)</f>
        <v>37.562596073847779</v>
      </c>
      <c r="I38" s="97">
        <f>-PMT($C8,$F38,I37)</f>
        <v>11.726180367114335</v>
      </c>
      <c r="J38" s="99"/>
      <c r="K38" s="100"/>
      <c r="L38" s="101">
        <f>SUM(G38:I38)</f>
        <v>128.98798403825765</v>
      </c>
      <c r="M38" s="89"/>
    </row>
    <row r="39" spans="1:13" s="54" customFormat="1" x14ac:dyDescent="0.25">
      <c r="J39" s="86"/>
      <c r="L39" s="102"/>
    </row>
    <row r="40" spans="1:13" s="54" customFormat="1" ht="55.2" x14ac:dyDescent="0.25">
      <c r="E40" s="55" t="s">
        <v>14</v>
      </c>
      <c r="F40" s="15" t="s">
        <v>15</v>
      </c>
      <c r="G40" s="56" t="s">
        <v>42</v>
      </c>
      <c r="H40" s="56" t="s">
        <v>43</v>
      </c>
      <c r="I40" s="56" t="s">
        <v>44</v>
      </c>
      <c r="J40" s="15" t="s">
        <v>45</v>
      </c>
      <c r="K40" s="15" t="s">
        <v>46</v>
      </c>
      <c r="L40" s="15" t="s">
        <v>47</v>
      </c>
    </row>
    <row r="41" spans="1:13" s="54" customFormat="1" x14ac:dyDescent="0.25">
      <c r="E41" s="18"/>
      <c r="F41" s="18" t="s">
        <v>23</v>
      </c>
      <c r="G41" s="57" t="s">
        <v>25</v>
      </c>
      <c r="H41" s="57" t="s">
        <v>25</v>
      </c>
      <c r="I41" s="57" t="s">
        <v>25</v>
      </c>
      <c r="J41" s="57" t="s">
        <v>25</v>
      </c>
      <c r="K41" s="57" t="s">
        <v>25</v>
      </c>
      <c r="L41" s="57" t="s">
        <v>25</v>
      </c>
    </row>
    <row r="42" spans="1:13" s="54" customFormat="1" x14ac:dyDescent="0.25">
      <c r="E42" s="103"/>
      <c r="F42" s="104"/>
      <c r="G42" s="104"/>
      <c r="H42" s="104"/>
      <c r="I42" s="104"/>
      <c r="J42" s="104"/>
      <c r="K42" s="104"/>
      <c r="L42" s="105"/>
    </row>
    <row r="43" spans="1:13" s="54" customFormat="1" x14ac:dyDescent="0.25">
      <c r="E43" s="106" t="s">
        <v>40</v>
      </c>
      <c r="F43" s="107">
        <f>F31</f>
        <v>25</v>
      </c>
      <c r="G43" s="108">
        <f>G34*$C$10</f>
        <v>1.4897746892369092E-2</v>
      </c>
      <c r="H43" s="108">
        <f>H34*$C$10</f>
        <v>7.3718822994289709E-3</v>
      </c>
      <c r="I43" s="108">
        <f>I34*$C$10</f>
        <v>2.2269629191798064E-3</v>
      </c>
      <c r="J43" s="108"/>
      <c r="K43" s="108"/>
      <c r="L43" s="109">
        <f>L34*$C$10</f>
        <v>2.4496592110977867E-2</v>
      </c>
    </row>
    <row r="44" spans="1:13" s="54" customFormat="1" x14ac:dyDescent="0.25">
      <c r="E44" s="106" t="s">
        <v>40</v>
      </c>
      <c r="F44" s="107">
        <v>20</v>
      </c>
      <c r="G44" s="108">
        <f>G36*$C$10</f>
        <v>1.474362163470873E-2</v>
      </c>
      <c r="H44" s="108">
        <f>H36*$C$10</f>
        <v>7.1164549343400718E-3</v>
      </c>
      <c r="I44" s="108">
        <f>I36*$C$10</f>
        <v>2.1860076569048805E-3</v>
      </c>
      <c r="J44" s="108"/>
      <c r="K44" s="108"/>
      <c r="L44" s="109">
        <f>L36*$C$10</f>
        <v>2.4046084225953682E-2</v>
      </c>
    </row>
    <row r="45" spans="1:13" s="54" customFormat="1" x14ac:dyDescent="0.25">
      <c r="E45" s="106" t="s">
        <v>40</v>
      </c>
      <c r="F45" s="107">
        <v>15</v>
      </c>
      <c r="G45" s="108">
        <f>G38*$C$10</f>
        <v>1.4498099987962667E-2</v>
      </c>
      <c r="H45" s="108">
        <f>H38*$C$10</f>
        <v>6.8330199270962219E-3</v>
      </c>
      <c r="I45" s="108">
        <f>I38*$C$10</f>
        <v>2.1331119915058891E-3</v>
      </c>
      <c r="J45" s="108"/>
      <c r="K45" s="108"/>
      <c r="L45" s="109">
        <f>L38*$C$10</f>
        <v>2.3464231906564777E-2</v>
      </c>
    </row>
    <row r="46" spans="1:13" s="54" customFormat="1" x14ac:dyDescent="0.25"/>
    <row r="47" spans="1:13" s="54" customFormat="1" x14ac:dyDescent="0.25"/>
    <row r="48" spans="1:13" s="54" customFormat="1" x14ac:dyDescent="0.25"/>
    <row r="49" s="54" customFormat="1" x14ac:dyDescent="0.25"/>
    <row r="50" s="54" customFormat="1" x14ac:dyDescent="0.25"/>
    <row r="51" s="54" customFormat="1" x14ac:dyDescent="0.25"/>
    <row r="52" s="54" customFormat="1" x14ac:dyDescent="0.25"/>
    <row r="53" s="54" customFormat="1" x14ac:dyDescent="0.25"/>
    <row r="54" s="54" customFormat="1" x14ac:dyDescent="0.25"/>
    <row r="55" s="54" customFormat="1" x14ac:dyDescent="0.25"/>
    <row r="56" s="54" customFormat="1" x14ac:dyDescent="0.25"/>
    <row r="57" s="54" customFormat="1" x14ac:dyDescent="0.25"/>
    <row r="58" s="54" customFormat="1" x14ac:dyDescent="0.25"/>
    <row r="59" s="54" customFormat="1" x14ac:dyDescent="0.25"/>
    <row r="60" s="54" customFormat="1" x14ac:dyDescent="0.25"/>
    <row r="61" s="54" customFormat="1" x14ac:dyDescent="0.25"/>
    <row r="62" s="54" customFormat="1" x14ac:dyDescent="0.25"/>
    <row r="63" s="54" customFormat="1" x14ac:dyDescent="0.25"/>
    <row r="64" s="54" customFormat="1" x14ac:dyDescent="0.25"/>
    <row r="65" s="54" customFormat="1" x14ac:dyDescent="0.25"/>
    <row r="66" s="54" customFormat="1" x14ac:dyDescent="0.25"/>
    <row r="67" s="54" customFormat="1" x14ac:dyDescent="0.25"/>
    <row r="68" s="54" customFormat="1" x14ac:dyDescent="0.25"/>
    <row r="69" s="54" customFormat="1" x14ac:dyDescent="0.25"/>
    <row r="70" s="54" customFormat="1" x14ac:dyDescent="0.25"/>
    <row r="71" s="54" customFormat="1" x14ac:dyDescent="0.25"/>
    <row r="72" s="54" customFormat="1" x14ac:dyDescent="0.25"/>
    <row r="73" s="54" customFormat="1" x14ac:dyDescent="0.25"/>
    <row r="74" s="54" customFormat="1" x14ac:dyDescent="0.25"/>
    <row r="75" s="54" customFormat="1" x14ac:dyDescent="0.25"/>
    <row r="76" s="54" customFormat="1" x14ac:dyDescent="0.25"/>
    <row r="77" s="54" customFormat="1" x14ac:dyDescent="0.25"/>
    <row r="78" s="54" customFormat="1" x14ac:dyDescent="0.25"/>
    <row r="79" s="54" customFormat="1" x14ac:dyDescent="0.25"/>
    <row r="80" s="54" customFormat="1" x14ac:dyDescent="0.25"/>
    <row r="81" s="54" customFormat="1" x14ac:dyDescent="0.25"/>
    <row r="82" s="54" customFormat="1" x14ac:dyDescent="0.25"/>
    <row r="83" s="54" customFormat="1" x14ac:dyDescent="0.25"/>
    <row r="84" s="54" customFormat="1" x14ac:dyDescent="0.25"/>
    <row r="85" s="54" customFormat="1" x14ac:dyDescent="0.25"/>
    <row r="86" s="54" customFormat="1" x14ac:dyDescent="0.25"/>
    <row r="87" s="54" customFormat="1" x14ac:dyDescent="0.25"/>
    <row r="88" s="54" customFormat="1" x14ac:dyDescent="0.25"/>
    <row r="89" s="54" customFormat="1" x14ac:dyDescent="0.25"/>
    <row r="90" s="54" customFormat="1" x14ac:dyDescent="0.25"/>
    <row r="91" s="54" customFormat="1" x14ac:dyDescent="0.25"/>
    <row r="92" s="54" customFormat="1" x14ac:dyDescent="0.25"/>
    <row r="93" s="54" customFormat="1" x14ac:dyDescent="0.25"/>
    <row r="94" s="54" customFormat="1" x14ac:dyDescent="0.25"/>
    <row r="95" s="54" customFormat="1" x14ac:dyDescent="0.25"/>
    <row r="96" s="54" customFormat="1" x14ac:dyDescent="0.25"/>
    <row r="97" s="54" customFormat="1" x14ac:dyDescent="0.25"/>
    <row r="98" s="54" customFormat="1" x14ac:dyDescent="0.25"/>
    <row r="99" s="54" customFormat="1" x14ac:dyDescent="0.25"/>
    <row r="100" s="54" customFormat="1" x14ac:dyDescent="0.25"/>
    <row r="101" s="54" customFormat="1" x14ac:dyDescent="0.25"/>
    <row r="102" s="54" customFormat="1" x14ac:dyDescent="0.25"/>
    <row r="103" s="54" customFormat="1" x14ac:dyDescent="0.25"/>
    <row r="104" s="54" customFormat="1" x14ac:dyDescent="0.25"/>
    <row r="105" s="54" customFormat="1" x14ac:dyDescent="0.25"/>
    <row r="106" s="54" customFormat="1" x14ac:dyDescent="0.25"/>
    <row r="107" s="54" customFormat="1" x14ac:dyDescent="0.25"/>
    <row r="108" s="54" customFormat="1" x14ac:dyDescent="0.25"/>
    <row r="109" s="54" customFormat="1" x14ac:dyDescent="0.25"/>
    <row r="110" s="54" customFormat="1" x14ac:dyDescent="0.25"/>
    <row r="111" s="54" customFormat="1" x14ac:dyDescent="0.25"/>
    <row r="112" s="54" customFormat="1" x14ac:dyDescent="0.25"/>
    <row r="113" s="54" customFormat="1" x14ac:dyDescent="0.25"/>
    <row r="114" s="54" customFormat="1" x14ac:dyDescent="0.25"/>
    <row r="115" s="54" customFormat="1" x14ac:dyDescent="0.25"/>
    <row r="116" s="54" customFormat="1" x14ac:dyDescent="0.25"/>
    <row r="117" s="54" customFormat="1" x14ac:dyDescent="0.25"/>
    <row r="118" s="54" customFormat="1" x14ac:dyDescent="0.25"/>
    <row r="119" s="54" customFormat="1" x14ac:dyDescent="0.25"/>
    <row r="120" s="54" customFormat="1" x14ac:dyDescent="0.25"/>
    <row r="121" s="54" customFormat="1" x14ac:dyDescent="0.25"/>
    <row r="122" s="54" customFormat="1" x14ac:dyDescent="0.25"/>
    <row r="123" s="54" customFormat="1" x14ac:dyDescent="0.25"/>
    <row r="124" s="54" customFormat="1" x14ac:dyDescent="0.25"/>
    <row r="125" s="54" customFormat="1" x14ac:dyDescent="0.25"/>
    <row r="126" s="54" customFormat="1" x14ac:dyDescent="0.25"/>
    <row r="127" s="54" customFormat="1" x14ac:dyDescent="0.25"/>
    <row r="128" s="54" customFormat="1" x14ac:dyDescent="0.25"/>
    <row r="129" s="54" customFormat="1" x14ac:dyDescent="0.25"/>
    <row r="130" s="54" customFormat="1" x14ac:dyDescent="0.25"/>
    <row r="131" s="54" customFormat="1" x14ac:dyDescent="0.25"/>
    <row r="132" s="54" customFormat="1" x14ac:dyDescent="0.25"/>
    <row r="133" s="54" customFormat="1" x14ac:dyDescent="0.25"/>
    <row r="134" s="54" customFormat="1" x14ac:dyDescent="0.25"/>
    <row r="135" s="54" customFormat="1" x14ac:dyDescent="0.25"/>
    <row r="136" s="54" customFormat="1" x14ac:dyDescent="0.25"/>
    <row r="137" s="54" customFormat="1" x14ac:dyDescent="0.25"/>
    <row r="138" s="54" customFormat="1" x14ac:dyDescent="0.25"/>
    <row r="139" s="54" customFormat="1" x14ac:dyDescent="0.25"/>
    <row r="140" s="54" customFormat="1" x14ac:dyDescent="0.25"/>
    <row r="141" s="54" customFormat="1" x14ac:dyDescent="0.25"/>
    <row r="142" s="54" customFormat="1" x14ac:dyDescent="0.25"/>
    <row r="143" s="54" customFormat="1" x14ac:dyDescent="0.25"/>
    <row r="144" s="54" customFormat="1" x14ac:dyDescent="0.25"/>
    <row r="145" s="54" customFormat="1" x14ac:dyDescent="0.25"/>
    <row r="146" s="54" customFormat="1" x14ac:dyDescent="0.25"/>
    <row r="147" s="54" customFormat="1" x14ac:dyDescent="0.25"/>
    <row r="148" s="54" customFormat="1" x14ac:dyDescent="0.25"/>
    <row r="149" s="54" customFormat="1" x14ac:dyDescent="0.25"/>
    <row r="150" s="54" customFormat="1" x14ac:dyDescent="0.25"/>
    <row r="151" s="54" customFormat="1" x14ac:dyDescent="0.25"/>
    <row r="152" s="54" customFormat="1" x14ac:dyDescent="0.25"/>
    <row r="153" s="54" customFormat="1" x14ac:dyDescent="0.25"/>
    <row r="154" s="54" customFormat="1" x14ac:dyDescent="0.25"/>
    <row r="155" s="54" customFormat="1" x14ac:dyDescent="0.25"/>
    <row r="156" s="54" customFormat="1" x14ac:dyDescent="0.25"/>
    <row r="157" s="54" customFormat="1" x14ac:dyDescent="0.25"/>
    <row r="158" s="54" customFormat="1" x14ac:dyDescent="0.25"/>
    <row r="159" s="54" customFormat="1" x14ac:dyDescent="0.25"/>
    <row r="160" s="54" customFormat="1" x14ac:dyDescent="0.25"/>
    <row r="161" s="54" customFormat="1" x14ac:dyDescent="0.25"/>
    <row r="162" s="54" customFormat="1" x14ac:dyDescent="0.25"/>
    <row r="163" s="54" customFormat="1" x14ac:dyDescent="0.25"/>
    <row r="164" s="54" customFormat="1" x14ac:dyDescent="0.25"/>
    <row r="165" s="54" customFormat="1" x14ac:dyDescent="0.25"/>
    <row r="166" s="54" customFormat="1" x14ac:dyDescent="0.25"/>
    <row r="167" s="54" customFormat="1" x14ac:dyDescent="0.25"/>
    <row r="168" s="54" customFormat="1" x14ac:dyDescent="0.25"/>
    <row r="169" s="54" customFormat="1" x14ac:dyDescent="0.25"/>
    <row r="170" s="54" customFormat="1" x14ac:dyDescent="0.25"/>
    <row r="171" s="54" customFormat="1" x14ac:dyDescent="0.25"/>
    <row r="172" s="54" customFormat="1" x14ac:dyDescent="0.25"/>
    <row r="173" s="54" customFormat="1" x14ac:dyDescent="0.25"/>
    <row r="174" s="54" customFormat="1" x14ac:dyDescent="0.25"/>
    <row r="175" s="54" customFormat="1" x14ac:dyDescent="0.25"/>
    <row r="176" s="54" customFormat="1" x14ac:dyDescent="0.25"/>
    <row r="177" s="54" customFormat="1" x14ac:dyDescent="0.25"/>
    <row r="178" s="54" customFormat="1" x14ac:dyDescent="0.25"/>
    <row r="179" s="54" customFormat="1" x14ac:dyDescent="0.25"/>
    <row r="180" s="54" customFormat="1" x14ac:dyDescent="0.25"/>
    <row r="181" s="54" customFormat="1" x14ac:dyDescent="0.25"/>
    <row r="182" s="54" customFormat="1" x14ac:dyDescent="0.25"/>
    <row r="183" s="54" customFormat="1" x14ac:dyDescent="0.25"/>
    <row r="184" s="54" customFormat="1" x14ac:dyDescent="0.25"/>
    <row r="185" s="54" customFormat="1" x14ac:dyDescent="0.25"/>
    <row r="186" s="54" customFormat="1" x14ac:dyDescent="0.25"/>
    <row r="187" s="54" customFormat="1" x14ac:dyDescent="0.25"/>
    <row r="188" s="54" customFormat="1" x14ac:dyDescent="0.25"/>
    <row r="189" s="54" customFormat="1" x14ac:dyDescent="0.25"/>
    <row r="190" s="54" customFormat="1" x14ac:dyDescent="0.25"/>
    <row r="191" s="54" customFormat="1" x14ac:dyDescent="0.25"/>
    <row r="192" s="54" customFormat="1" x14ac:dyDescent="0.25"/>
    <row r="193" s="54" customFormat="1" x14ac:dyDescent="0.25"/>
    <row r="194" s="54" customFormat="1" x14ac:dyDescent="0.25"/>
    <row r="195" s="54" customFormat="1" x14ac:dyDescent="0.25"/>
    <row r="196" s="54" customFormat="1" x14ac:dyDescent="0.25"/>
    <row r="197" s="54" customFormat="1" x14ac:dyDescent="0.25"/>
    <row r="198" s="54" customFormat="1" x14ac:dyDescent="0.25"/>
    <row r="199" s="54" customFormat="1" x14ac:dyDescent="0.25"/>
    <row r="200" s="54" customFormat="1" x14ac:dyDescent="0.25"/>
    <row r="201" s="54" customFormat="1" x14ac:dyDescent="0.25"/>
    <row r="202" s="54" customFormat="1" x14ac:dyDescent="0.25"/>
    <row r="203" s="54" customFormat="1" x14ac:dyDescent="0.25"/>
    <row r="204" s="54" customFormat="1" x14ac:dyDescent="0.25"/>
    <row r="205" s="54" customFormat="1" x14ac:dyDescent="0.25"/>
    <row r="206" s="54" customFormat="1" x14ac:dyDescent="0.25"/>
    <row r="207" s="54" customFormat="1" x14ac:dyDescent="0.25"/>
    <row r="208" s="54" customFormat="1" x14ac:dyDescent="0.25"/>
    <row r="209" s="54" customFormat="1" x14ac:dyDescent="0.25"/>
    <row r="210" s="54" customFormat="1" x14ac:dyDescent="0.25"/>
    <row r="211" s="54" customFormat="1" x14ac:dyDescent="0.25"/>
    <row r="212" s="54" customFormat="1" x14ac:dyDescent="0.25"/>
    <row r="213" s="54" customFormat="1" x14ac:dyDescent="0.25"/>
    <row r="214" s="54" customFormat="1" x14ac:dyDescent="0.25"/>
    <row r="215" s="54" customFormat="1" x14ac:dyDescent="0.25"/>
    <row r="216" s="54" customFormat="1" x14ac:dyDescent="0.25"/>
    <row r="217" s="54" customFormat="1" x14ac:dyDescent="0.25"/>
    <row r="218" s="54" customFormat="1" x14ac:dyDescent="0.25"/>
    <row r="219" s="54" customFormat="1" x14ac:dyDescent="0.25"/>
    <row r="220" s="54" customFormat="1" x14ac:dyDescent="0.25"/>
    <row r="221" s="54" customFormat="1" x14ac:dyDescent="0.25"/>
    <row r="222" s="54" customFormat="1" x14ac:dyDescent="0.25"/>
    <row r="223" s="54" customFormat="1" x14ac:dyDescent="0.25"/>
    <row r="224" s="54" customFormat="1" x14ac:dyDescent="0.25"/>
    <row r="225" s="54" customFormat="1" x14ac:dyDescent="0.25"/>
    <row r="226" s="54" customFormat="1" x14ac:dyDescent="0.25"/>
    <row r="227" s="54" customFormat="1" x14ac:dyDescent="0.25"/>
    <row r="228" s="54" customFormat="1" x14ac:dyDescent="0.25"/>
    <row r="229" s="54" customFormat="1" x14ac:dyDescent="0.25"/>
    <row r="230" s="54" customFormat="1" x14ac:dyDescent="0.25"/>
    <row r="231" s="54" customFormat="1" x14ac:dyDescent="0.25"/>
    <row r="232" s="54" customFormat="1" x14ac:dyDescent="0.25"/>
    <row r="233" s="54" customFormat="1" x14ac:dyDescent="0.25"/>
    <row r="234" s="54" customFormat="1" x14ac:dyDescent="0.25"/>
    <row r="235" s="54" customFormat="1" x14ac:dyDescent="0.25"/>
    <row r="236" s="54" customFormat="1" x14ac:dyDescent="0.25"/>
    <row r="237" s="54" customFormat="1" x14ac:dyDescent="0.25"/>
    <row r="238" s="54" customFormat="1" x14ac:dyDescent="0.25"/>
    <row r="239" s="54" customFormat="1" x14ac:dyDescent="0.25"/>
    <row r="240" s="54" customFormat="1" x14ac:dyDescent="0.25"/>
    <row r="241" s="54" customFormat="1" x14ac:dyDescent="0.25"/>
    <row r="242" s="54" customFormat="1" x14ac:dyDescent="0.25"/>
    <row r="243" s="54" customFormat="1" x14ac:dyDescent="0.25"/>
    <row r="244" s="54" customFormat="1" x14ac:dyDescent="0.25"/>
    <row r="245" s="54" customFormat="1" x14ac:dyDescent="0.25"/>
    <row r="246" s="54" customFormat="1" x14ac:dyDescent="0.25"/>
    <row r="247" s="54" customFormat="1" x14ac:dyDescent="0.25"/>
    <row r="248" s="54" customFormat="1" x14ac:dyDescent="0.25"/>
    <row r="249" s="54" customFormat="1" x14ac:dyDescent="0.25"/>
    <row r="250" s="54" customFormat="1" x14ac:dyDescent="0.25"/>
    <row r="251" s="54" customFormat="1" x14ac:dyDescent="0.25"/>
    <row r="252" s="54" customFormat="1" x14ac:dyDescent="0.25"/>
    <row r="253" s="54" customFormat="1" x14ac:dyDescent="0.25"/>
    <row r="254" s="54" customFormat="1" x14ac:dyDescent="0.25"/>
    <row r="255" s="54" customFormat="1" x14ac:dyDescent="0.25"/>
    <row r="256" s="54" customFormat="1" x14ac:dyDescent="0.25"/>
    <row r="257" s="54" customFormat="1" x14ac:dyDescent="0.25"/>
    <row r="258" s="54" customFormat="1" x14ac:dyDescent="0.25"/>
    <row r="259" s="54" customFormat="1" x14ac:dyDescent="0.25"/>
    <row r="260" s="54" customFormat="1" x14ac:dyDescent="0.25"/>
    <row r="261" s="54" customFormat="1" x14ac:dyDescent="0.25"/>
    <row r="262" s="54" customFormat="1" x14ac:dyDescent="0.25"/>
    <row r="263" s="54" customFormat="1" x14ac:dyDescent="0.25"/>
    <row r="264" s="54" customFormat="1" x14ac:dyDescent="0.25"/>
    <row r="265" s="54" customFormat="1" x14ac:dyDescent="0.25"/>
    <row r="266" s="54" customFormat="1" x14ac:dyDescent="0.25"/>
    <row r="267" s="54" customFormat="1" x14ac:dyDescent="0.25"/>
    <row r="268" s="54" customFormat="1" x14ac:dyDescent="0.25"/>
    <row r="269" s="54" customFormat="1" x14ac:dyDescent="0.25"/>
    <row r="270" s="54" customFormat="1" x14ac:dyDescent="0.25"/>
    <row r="271" s="54" customFormat="1" x14ac:dyDescent="0.25"/>
    <row r="272" s="54" customFormat="1" x14ac:dyDescent="0.25"/>
    <row r="273" s="54" customFormat="1" x14ac:dyDescent="0.25"/>
    <row r="274" s="54" customFormat="1" x14ac:dyDescent="0.25"/>
    <row r="275" s="54" customFormat="1" x14ac:dyDescent="0.25"/>
    <row r="276" s="54" customFormat="1" x14ac:dyDescent="0.25"/>
    <row r="277" s="54" customFormat="1" x14ac:dyDescent="0.25"/>
    <row r="278" s="54" customFormat="1" x14ac:dyDescent="0.25"/>
    <row r="279" s="54" customFormat="1" x14ac:dyDescent="0.25"/>
    <row r="280" s="54" customFormat="1" x14ac:dyDescent="0.25"/>
    <row r="281" s="54" customFormat="1" x14ac:dyDescent="0.25"/>
    <row r="282" s="54" customFormat="1" x14ac:dyDescent="0.25"/>
    <row r="283" s="54" customFormat="1" x14ac:dyDescent="0.25"/>
    <row r="284" s="54" customFormat="1" x14ac:dyDescent="0.25"/>
    <row r="285" s="54" customFormat="1" x14ac:dyDescent="0.25"/>
    <row r="286" s="54" customFormat="1" x14ac:dyDescent="0.25"/>
    <row r="287" s="54" customFormat="1" x14ac:dyDescent="0.25"/>
    <row r="288" s="54" customFormat="1" x14ac:dyDescent="0.25"/>
    <row r="289" s="54" customFormat="1" x14ac:dyDescent="0.25"/>
    <row r="290" s="54" customFormat="1" x14ac:dyDescent="0.25"/>
    <row r="291" s="54" customFormat="1" x14ac:dyDescent="0.25"/>
    <row r="292" s="54" customFormat="1" x14ac:dyDescent="0.25"/>
    <row r="293" s="54" customFormat="1" x14ac:dyDescent="0.25"/>
    <row r="294" s="54" customFormat="1" x14ac:dyDescent="0.25"/>
    <row r="295" s="54" customFormat="1" x14ac:dyDescent="0.25"/>
    <row r="296" s="54" customFormat="1" x14ac:dyDescent="0.25"/>
    <row r="297" s="54" customFormat="1" x14ac:dyDescent="0.25"/>
    <row r="298" s="54" customFormat="1" x14ac:dyDescent="0.25"/>
    <row r="299" s="54" customFormat="1" x14ac:dyDescent="0.25"/>
    <row r="300" s="54" customFormat="1" x14ac:dyDescent="0.25"/>
    <row r="301" s="54" customFormat="1" x14ac:dyDescent="0.25"/>
    <row r="302" s="54" customFormat="1" x14ac:dyDescent="0.25"/>
    <row r="303" s="54" customFormat="1" x14ac:dyDescent="0.25"/>
    <row r="304" s="54" customFormat="1" x14ac:dyDescent="0.25"/>
    <row r="305" s="54" customFormat="1" x14ac:dyDescent="0.25"/>
    <row r="306" s="54" customFormat="1" x14ac:dyDescent="0.25"/>
    <row r="307" s="54" customFormat="1" x14ac:dyDescent="0.25"/>
    <row r="308" s="54" customFormat="1" x14ac:dyDescent="0.25"/>
    <row r="309" s="54" customFormat="1" x14ac:dyDescent="0.25"/>
    <row r="310" s="54" customFormat="1" x14ac:dyDescent="0.25"/>
    <row r="311" s="54" customFormat="1" x14ac:dyDescent="0.25"/>
    <row r="312" s="54" customFormat="1" x14ac:dyDescent="0.25"/>
    <row r="313" s="54" customFormat="1" x14ac:dyDescent="0.25"/>
    <row r="314" s="54" customFormat="1" x14ac:dyDescent="0.25"/>
    <row r="315" s="54" customFormat="1" x14ac:dyDescent="0.25"/>
    <row r="316" s="54" customFormat="1" x14ac:dyDescent="0.25"/>
    <row r="317" s="54" customFormat="1" x14ac:dyDescent="0.25"/>
    <row r="318" s="54" customFormat="1" x14ac:dyDescent="0.25"/>
    <row r="319" s="54" customFormat="1" x14ac:dyDescent="0.25"/>
    <row r="320" s="54" customFormat="1" x14ac:dyDescent="0.25"/>
    <row r="321" s="54" customFormat="1" x14ac:dyDescent="0.25"/>
    <row r="322" s="54" customFormat="1" x14ac:dyDescent="0.25"/>
    <row r="323" s="54" customFormat="1" x14ac:dyDescent="0.25"/>
    <row r="324" s="54" customFormat="1" x14ac:dyDescent="0.25"/>
    <row r="325" s="54" customFormat="1" x14ac:dyDescent="0.25"/>
    <row r="326" s="54" customFormat="1" x14ac:dyDescent="0.25"/>
    <row r="327" s="54" customFormat="1" x14ac:dyDescent="0.25"/>
    <row r="328" s="54" customFormat="1" x14ac:dyDescent="0.25"/>
    <row r="329" s="54" customFormat="1" x14ac:dyDescent="0.25"/>
    <row r="330" s="54" customFormat="1" x14ac:dyDescent="0.25"/>
    <row r="331" s="54" customFormat="1" x14ac:dyDescent="0.25"/>
    <row r="332" s="54" customFormat="1" x14ac:dyDescent="0.25"/>
    <row r="333" s="54" customFormat="1" x14ac:dyDescent="0.25"/>
    <row r="334" s="54" customFormat="1" x14ac:dyDescent="0.25"/>
    <row r="335" s="54" customFormat="1" x14ac:dyDescent="0.25"/>
    <row r="336" s="54" customFormat="1" x14ac:dyDescent="0.25"/>
    <row r="337" s="54" customFormat="1" x14ac:dyDescent="0.25"/>
    <row r="338" s="54" customFormat="1" x14ac:dyDescent="0.25"/>
    <row r="339" s="54" customFormat="1" x14ac:dyDescent="0.25"/>
    <row r="340" s="54" customFormat="1" x14ac:dyDescent="0.25"/>
    <row r="341" s="54" customFormat="1" x14ac:dyDescent="0.25"/>
    <row r="342" s="54" customFormat="1" x14ac:dyDescent="0.25"/>
    <row r="343" s="54" customFormat="1" x14ac:dyDescent="0.25"/>
    <row r="344" s="54" customFormat="1" x14ac:dyDescent="0.25"/>
    <row r="345" s="54" customFormat="1" x14ac:dyDescent="0.25"/>
    <row r="346" s="54" customFormat="1" x14ac:dyDescent="0.25"/>
    <row r="347" s="54" customFormat="1" x14ac:dyDescent="0.25"/>
    <row r="348" s="54" customFormat="1" x14ac:dyDescent="0.25"/>
    <row r="349" s="54" customFormat="1" x14ac:dyDescent="0.25"/>
    <row r="350" s="54" customFormat="1" x14ac:dyDescent="0.25"/>
    <row r="351" s="54" customFormat="1" x14ac:dyDescent="0.25"/>
    <row r="352" s="54" customFormat="1" x14ac:dyDescent="0.25"/>
    <row r="353" s="54" customFormat="1" x14ac:dyDescent="0.25"/>
    <row r="354" s="54" customFormat="1" x14ac:dyDescent="0.25"/>
    <row r="355" s="54" customFormat="1" x14ac:dyDescent="0.25"/>
    <row r="356" s="54" customFormat="1" x14ac:dyDescent="0.25"/>
    <row r="357" s="54" customFormat="1" x14ac:dyDescent="0.25"/>
    <row r="358" s="54" customFormat="1" x14ac:dyDescent="0.25"/>
    <row r="359" s="54" customFormat="1" x14ac:dyDescent="0.25"/>
    <row r="360" s="54" customFormat="1" x14ac:dyDescent="0.25"/>
    <row r="361" s="54" customFormat="1" x14ac:dyDescent="0.25"/>
    <row r="362" s="54" customFormat="1" x14ac:dyDescent="0.25"/>
    <row r="363" s="54" customFormat="1" x14ac:dyDescent="0.25"/>
    <row r="364" s="54" customFormat="1" x14ac:dyDescent="0.25"/>
    <row r="365" s="54" customFormat="1" x14ac:dyDescent="0.25"/>
    <row r="366" s="54" customFormat="1" x14ac:dyDescent="0.25"/>
    <row r="367" s="54" customFormat="1" x14ac:dyDescent="0.25"/>
    <row r="368" s="54" customFormat="1" x14ac:dyDescent="0.25"/>
    <row r="369" s="54" customFormat="1" x14ac:dyDescent="0.25"/>
    <row r="370" s="54" customFormat="1" x14ac:dyDescent="0.25"/>
    <row r="371" s="54" customFormat="1" x14ac:dyDescent="0.25"/>
    <row r="372" s="54" customFormat="1" x14ac:dyDescent="0.25"/>
    <row r="373" s="54" customFormat="1" x14ac:dyDescent="0.25"/>
    <row r="374" s="54" customFormat="1" x14ac:dyDescent="0.25"/>
    <row r="375" s="54" customFormat="1" x14ac:dyDescent="0.25"/>
    <row r="376" s="54" customFormat="1" x14ac:dyDescent="0.25"/>
    <row r="377" s="54" customFormat="1" x14ac:dyDescent="0.25"/>
    <row r="378" s="54" customFormat="1" x14ac:dyDescent="0.25"/>
    <row r="379" s="54" customFormat="1" x14ac:dyDescent="0.25"/>
    <row r="380" s="54" customFormat="1" x14ac:dyDescent="0.25"/>
    <row r="381" s="54" customFormat="1" x14ac:dyDescent="0.25"/>
    <row r="382" s="54" customFormat="1" x14ac:dyDescent="0.25"/>
    <row r="383" s="54" customFormat="1" x14ac:dyDescent="0.25"/>
    <row r="384" s="54" customFormat="1" x14ac:dyDescent="0.25"/>
    <row r="385" s="54" customFormat="1" x14ac:dyDescent="0.25"/>
    <row r="386" s="54" customFormat="1" x14ac:dyDescent="0.25"/>
    <row r="387" s="54" customFormat="1" x14ac:dyDescent="0.25"/>
    <row r="388" s="54" customFormat="1" x14ac:dyDescent="0.25"/>
    <row r="389" s="54" customFormat="1" x14ac:dyDescent="0.25"/>
    <row r="390" s="54" customFormat="1" x14ac:dyDescent="0.25"/>
    <row r="391" s="54" customFormat="1" x14ac:dyDescent="0.25"/>
    <row r="392" s="54" customFormat="1" x14ac:dyDescent="0.25"/>
    <row r="393" s="54" customFormat="1" x14ac:dyDescent="0.25"/>
    <row r="394" s="54" customFormat="1" x14ac:dyDescent="0.25"/>
    <row r="395" s="54" customFormat="1" x14ac:dyDescent="0.25"/>
    <row r="396" s="54" customFormat="1" x14ac:dyDescent="0.25"/>
    <row r="397" s="54" customFormat="1" x14ac:dyDescent="0.25"/>
    <row r="398" s="54" customFormat="1" x14ac:dyDescent="0.25"/>
    <row r="399" s="54" customFormat="1" x14ac:dyDescent="0.25"/>
    <row r="400" s="54" customFormat="1" x14ac:dyDescent="0.25"/>
    <row r="401" s="54" customFormat="1" x14ac:dyDescent="0.25"/>
    <row r="402" s="54" customFormat="1" x14ac:dyDescent="0.25"/>
    <row r="403" s="54" customFormat="1" x14ac:dyDescent="0.25"/>
    <row r="404" s="54" customFormat="1" x14ac:dyDescent="0.25"/>
    <row r="405" s="54" customFormat="1" x14ac:dyDescent="0.25"/>
    <row r="406" s="54" customFormat="1" x14ac:dyDescent="0.25"/>
    <row r="407" s="54" customFormat="1" x14ac:dyDescent="0.25"/>
    <row r="408" s="54" customFormat="1" x14ac:dyDescent="0.25"/>
    <row r="409" s="54" customFormat="1" x14ac:dyDescent="0.25"/>
    <row r="410" s="54" customFormat="1" x14ac:dyDescent="0.25"/>
    <row r="411" s="54" customFormat="1" x14ac:dyDescent="0.25"/>
    <row r="412" s="54" customFormat="1" x14ac:dyDescent="0.25"/>
    <row r="413" s="54" customFormat="1" x14ac:dyDescent="0.25"/>
    <row r="414" s="54" customFormat="1" x14ac:dyDescent="0.25"/>
    <row r="415" s="54" customFormat="1" x14ac:dyDescent="0.25"/>
    <row r="416" s="54" customFormat="1" x14ac:dyDescent="0.25"/>
    <row r="417" s="54" customFormat="1" x14ac:dyDescent="0.25"/>
    <row r="418" s="54" customFormat="1" x14ac:dyDescent="0.25"/>
    <row r="419" s="54" customFormat="1" x14ac:dyDescent="0.25"/>
    <row r="420" s="54" customFormat="1" x14ac:dyDescent="0.25"/>
    <row r="421" s="54" customFormat="1" x14ac:dyDescent="0.25"/>
    <row r="422" s="54" customFormat="1" x14ac:dyDescent="0.25"/>
    <row r="423" s="54" customFormat="1" x14ac:dyDescent="0.25"/>
    <row r="424" s="54" customFormat="1" x14ac:dyDescent="0.25"/>
    <row r="425" s="54" customFormat="1" x14ac:dyDescent="0.25"/>
    <row r="426" s="54" customFormat="1" x14ac:dyDescent="0.25"/>
    <row r="427" s="54" customFormat="1" x14ac:dyDescent="0.25"/>
    <row r="428" s="54" customFormat="1" x14ac:dyDescent="0.25"/>
    <row r="429" s="54" customFormat="1" x14ac:dyDescent="0.25"/>
    <row r="430" s="54" customFormat="1" x14ac:dyDescent="0.25"/>
    <row r="431" s="54" customFormat="1" x14ac:dyDescent="0.25"/>
    <row r="432" s="54" customFormat="1" x14ac:dyDescent="0.25"/>
    <row r="433" s="54" customFormat="1" x14ac:dyDescent="0.25"/>
    <row r="434" s="54" customFormat="1" x14ac:dyDescent="0.25"/>
    <row r="435" s="54" customFormat="1" x14ac:dyDescent="0.25"/>
    <row r="436" s="54" customFormat="1" x14ac:dyDescent="0.25"/>
    <row r="437" s="54" customFormat="1" x14ac:dyDescent="0.25"/>
    <row r="438" s="54" customFormat="1" x14ac:dyDescent="0.25"/>
    <row r="439" s="54" customFormat="1" x14ac:dyDescent="0.25"/>
    <row r="440" s="54" customFormat="1" x14ac:dyDescent="0.25"/>
    <row r="441" s="54" customFormat="1" x14ac:dyDescent="0.25"/>
    <row r="442" s="54" customFormat="1" x14ac:dyDescent="0.25"/>
    <row r="443" s="54" customFormat="1" x14ac:dyDescent="0.25"/>
    <row r="444" s="54" customFormat="1" x14ac:dyDescent="0.25"/>
    <row r="445" s="54" customFormat="1" x14ac:dyDescent="0.25"/>
    <row r="446" s="54" customFormat="1" x14ac:dyDescent="0.25"/>
    <row r="447" s="54" customFormat="1" x14ac:dyDescent="0.25"/>
    <row r="448" s="54" customFormat="1" x14ac:dyDescent="0.25"/>
    <row r="449" s="54" customFormat="1" x14ac:dyDescent="0.25"/>
    <row r="450" s="54" customFormat="1" x14ac:dyDescent="0.25"/>
    <row r="451" s="54" customFormat="1" x14ac:dyDescent="0.25"/>
    <row r="452" s="54" customFormat="1" x14ac:dyDescent="0.25"/>
    <row r="453" s="54" customFormat="1" x14ac:dyDescent="0.25"/>
    <row r="454" s="54" customFormat="1" x14ac:dyDescent="0.25"/>
    <row r="455" s="54" customFormat="1" x14ac:dyDescent="0.25"/>
    <row r="456" s="54" customFormat="1" x14ac:dyDescent="0.25"/>
    <row r="457" s="54" customFormat="1" x14ac:dyDescent="0.25"/>
    <row r="458" s="54" customFormat="1" x14ac:dyDescent="0.25"/>
    <row r="459" s="54" customFormat="1" x14ac:dyDescent="0.25"/>
    <row r="460" s="54" customFormat="1" x14ac:dyDescent="0.25"/>
    <row r="461" s="54" customFormat="1" x14ac:dyDescent="0.25"/>
    <row r="462" s="54" customFormat="1" x14ac:dyDescent="0.25"/>
    <row r="463" s="54" customFormat="1" x14ac:dyDescent="0.25"/>
    <row r="464" s="54" customFormat="1" x14ac:dyDescent="0.25"/>
    <row r="465" s="54" customFormat="1" x14ac:dyDescent="0.25"/>
    <row r="466" s="54" customFormat="1" x14ac:dyDescent="0.25"/>
    <row r="467" s="54" customFormat="1" x14ac:dyDescent="0.25"/>
    <row r="468" s="54" customFormat="1" x14ac:dyDescent="0.25"/>
    <row r="469" s="54" customFormat="1" x14ac:dyDescent="0.25"/>
    <row r="470" s="54" customFormat="1" x14ac:dyDescent="0.25"/>
    <row r="471" s="54" customFormat="1" x14ac:dyDescent="0.25"/>
    <row r="472" s="54" customFormat="1" x14ac:dyDescent="0.25"/>
    <row r="473" s="54" customFormat="1" x14ac:dyDescent="0.25"/>
    <row r="474" s="54" customFormat="1" x14ac:dyDescent="0.25"/>
    <row r="475" s="54" customFormat="1" x14ac:dyDescent="0.25"/>
    <row r="476" s="54" customFormat="1" x14ac:dyDescent="0.25"/>
    <row r="477" s="54" customFormat="1" x14ac:dyDescent="0.25"/>
    <row r="478" s="54" customFormat="1" x14ac:dyDescent="0.25"/>
    <row r="479" s="54" customFormat="1" x14ac:dyDescent="0.25"/>
    <row r="480" s="54" customFormat="1" x14ac:dyDescent="0.25"/>
    <row r="481" s="54" customFormat="1" x14ac:dyDescent="0.25"/>
    <row r="482" s="54" customFormat="1" x14ac:dyDescent="0.25"/>
    <row r="483" s="54" customFormat="1" x14ac:dyDescent="0.25"/>
    <row r="484" s="54" customFormat="1" x14ac:dyDescent="0.25"/>
    <row r="485" s="54" customFormat="1" x14ac:dyDescent="0.25"/>
    <row r="486" s="54" customFormat="1" x14ac:dyDescent="0.25"/>
    <row r="487" s="54" customFormat="1" x14ac:dyDescent="0.25"/>
    <row r="488" s="54" customFormat="1" x14ac:dyDescent="0.25"/>
    <row r="489" s="54" customFormat="1" x14ac:dyDescent="0.25"/>
    <row r="490" s="54" customFormat="1" x14ac:dyDescent="0.25"/>
    <row r="491" s="54" customFormat="1" x14ac:dyDescent="0.25"/>
    <row r="492" s="54" customFormat="1" x14ac:dyDescent="0.25"/>
    <row r="493" s="54" customFormat="1" x14ac:dyDescent="0.25"/>
    <row r="494" s="54" customFormat="1" x14ac:dyDescent="0.25"/>
    <row r="495" s="54" customFormat="1" x14ac:dyDescent="0.25"/>
    <row r="496" s="54" customFormat="1" x14ac:dyDescent="0.25"/>
    <row r="497" s="54" customFormat="1" x14ac:dyDescent="0.25"/>
    <row r="498" s="54" customFormat="1" x14ac:dyDescent="0.25"/>
    <row r="499" s="54" customFormat="1" x14ac:dyDescent="0.25"/>
    <row r="500" s="54" customFormat="1" x14ac:dyDescent="0.25"/>
    <row r="501" s="54" customFormat="1" x14ac:dyDescent="0.25"/>
    <row r="502" s="54" customFormat="1" x14ac:dyDescent="0.25"/>
    <row r="503" s="54" customFormat="1" x14ac:dyDescent="0.25"/>
    <row r="504" s="54" customFormat="1" x14ac:dyDescent="0.25"/>
    <row r="505" s="54" customFormat="1" x14ac:dyDescent="0.25"/>
    <row r="506" s="54" customFormat="1" x14ac:dyDescent="0.25"/>
    <row r="507" s="54" customFormat="1" x14ac:dyDescent="0.25"/>
    <row r="508" s="54" customFormat="1" x14ac:dyDescent="0.25"/>
    <row r="509" s="54" customFormat="1" x14ac:dyDescent="0.25"/>
    <row r="510" s="54" customFormat="1" x14ac:dyDescent="0.25"/>
    <row r="511" s="54" customFormat="1" x14ac:dyDescent="0.25"/>
    <row r="512" s="54" customFormat="1" x14ac:dyDescent="0.25"/>
    <row r="513" s="54" customFormat="1" x14ac:dyDescent="0.25"/>
    <row r="514" s="54" customFormat="1" x14ac:dyDescent="0.25"/>
    <row r="515" s="54" customFormat="1" x14ac:dyDescent="0.25"/>
    <row r="516" s="54" customFormat="1" x14ac:dyDescent="0.25"/>
    <row r="517" s="54" customFormat="1" x14ac:dyDescent="0.25"/>
    <row r="518" s="54" customFormat="1" x14ac:dyDescent="0.25"/>
    <row r="519" s="54" customFormat="1" x14ac:dyDescent="0.25"/>
    <row r="520" s="54" customFormat="1" x14ac:dyDescent="0.25"/>
    <row r="521" s="54" customFormat="1" x14ac:dyDescent="0.25"/>
    <row r="522" s="54" customFormat="1" x14ac:dyDescent="0.25"/>
    <row r="523" s="54" customFormat="1" x14ac:dyDescent="0.25"/>
    <row r="524" s="54" customFormat="1" x14ac:dyDescent="0.25"/>
    <row r="525" s="54" customFormat="1" x14ac:dyDescent="0.25"/>
    <row r="526" s="54" customFormat="1" x14ac:dyDescent="0.25"/>
    <row r="527" s="54" customFormat="1" x14ac:dyDescent="0.25"/>
    <row r="528" s="54" customFormat="1" x14ac:dyDescent="0.25"/>
    <row r="529" s="54" customFormat="1" x14ac:dyDescent="0.25"/>
    <row r="530" s="54" customFormat="1" x14ac:dyDescent="0.25"/>
    <row r="531" s="54" customFormat="1" x14ac:dyDescent="0.25"/>
    <row r="532" s="54" customFormat="1" x14ac:dyDescent="0.25"/>
    <row r="533" s="54" customFormat="1" x14ac:dyDescent="0.25"/>
    <row r="534" s="54" customFormat="1" x14ac:dyDescent="0.25"/>
    <row r="535" s="54" customFormat="1" x14ac:dyDescent="0.25"/>
    <row r="536" s="54" customFormat="1" x14ac:dyDescent="0.25"/>
    <row r="537" s="54" customFormat="1" x14ac:dyDescent="0.25"/>
    <row r="538" s="54" customFormat="1" x14ac:dyDescent="0.25"/>
    <row r="539" s="54" customFormat="1" x14ac:dyDescent="0.25"/>
    <row r="540" s="54" customFormat="1" x14ac:dyDescent="0.25"/>
    <row r="541" s="54" customFormat="1" x14ac:dyDescent="0.25"/>
    <row r="542" s="54" customFormat="1" x14ac:dyDescent="0.25"/>
    <row r="543" s="54" customFormat="1" x14ac:dyDescent="0.25"/>
    <row r="544" s="54" customFormat="1" x14ac:dyDescent="0.25"/>
    <row r="545" s="54" customFormat="1" x14ac:dyDescent="0.25"/>
    <row r="546" s="54" customFormat="1" x14ac:dyDescent="0.25"/>
    <row r="547" s="54" customFormat="1" x14ac:dyDescent="0.25"/>
    <row r="548" s="54" customFormat="1" x14ac:dyDescent="0.25"/>
    <row r="549" s="54" customFormat="1" x14ac:dyDescent="0.25"/>
    <row r="550" s="54" customFormat="1" x14ac:dyDescent="0.25"/>
    <row r="551" s="54" customFormat="1" x14ac:dyDescent="0.25"/>
    <row r="552" s="54" customFormat="1" x14ac:dyDescent="0.25"/>
    <row r="553" s="54" customFormat="1" x14ac:dyDescent="0.25"/>
    <row r="554" s="54" customFormat="1" x14ac:dyDescent="0.25"/>
    <row r="555" s="54" customFormat="1" x14ac:dyDescent="0.25"/>
    <row r="556" s="54" customFormat="1" x14ac:dyDescent="0.25"/>
    <row r="557" s="54" customFormat="1" x14ac:dyDescent="0.25"/>
    <row r="558" s="54" customFormat="1" x14ac:dyDescent="0.25"/>
    <row r="559" s="54" customFormat="1" x14ac:dyDescent="0.25"/>
    <row r="560" s="54" customFormat="1" x14ac:dyDescent="0.25"/>
    <row r="561" s="54" customFormat="1" x14ac:dyDescent="0.25"/>
    <row r="562" s="54" customFormat="1" x14ac:dyDescent="0.25"/>
    <row r="563" s="54" customFormat="1" x14ac:dyDescent="0.25"/>
    <row r="564" s="54" customFormat="1" x14ac:dyDescent="0.25"/>
    <row r="565" s="54" customFormat="1" x14ac:dyDescent="0.25"/>
    <row r="566" s="54" customFormat="1" x14ac:dyDescent="0.25"/>
    <row r="567" s="54" customFormat="1" x14ac:dyDescent="0.25"/>
    <row r="568" s="54" customFormat="1" x14ac:dyDescent="0.25"/>
    <row r="569" s="54" customFormat="1" x14ac:dyDescent="0.25"/>
    <row r="570" s="54" customFormat="1" x14ac:dyDescent="0.25"/>
    <row r="571" s="54" customFormat="1" x14ac:dyDescent="0.25"/>
    <row r="572" s="54" customFormat="1" x14ac:dyDescent="0.25"/>
    <row r="573" s="54" customFormat="1" x14ac:dyDescent="0.25"/>
    <row r="574" s="54" customFormat="1" x14ac:dyDescent="0.25"/>
    <row r="575" s="54" customFormat="1" x14ac:dyDescent="0.25"/>
    <row r="576" s="54" customFormat="1" x14ac:dyDescent="0.25"/>
    <row r="577" s="54" customFormat="1" x14ac:dyDescent="0.25"/>
    <row r="578" s="54" customFormat="1" x14ac:dyDescent="0.25"/>
    <row r="579" s="54" customFormat="1" x14ac:dyDescent="0.25"/>
    <row r="580" s="54" customFormat="1" x14ac:dyDescent="0.25"/>
    <row r="581" s="54" customFormat="1" x14ac:dyDescent="0.25"/>
    <row r="582" s="54" customFormat="1" x14ac:dyDescent="0.25"/>
    <row r="583" s="54" customFormat="1" x14ac:dyDescent="0.25"/>
    <row r="584" s="54" customFormat="1" x14ac:dyDescent="0.25"/>
    <row r="585" s="54" customFormat="1" x14ac:dyDescent="0.25"/>
    <row r="586" s="54" customFormat="1" x14ac:dyDescent="0.25"/>
    <row r="587" s="54" customFormat="1" x14ac:dyDescent="0.25"/>
    <row r="588" s="54" customFormat="1" x14ac:dyDescent="0.25"/>
    <row r="589" s="54" customFormat="1" x14ac:dyDescent="0.25"/>
    <row r="590" s="54" customFormat="1" x14ac:dyDescent="0.25"/>
    <row r="591" s="54" customFormat="1" x14ac:dyDescent="0.25"/>
    <row r="592" s="54" customFormat="1" x14ac:dyDescent="0.25"/>
    <row r="593" s="54" customFormat="1" x14ac:dyDescent="0.25"/>
    <row r="594" s="54" customFormat="1" x14ac:dyDescent="0.25"/>
    <row r="595" s="54" customFormat="1" x14ac:dyDescent="0.25"/>
    <row r="596" s="54" customFormat="1" x14ac:dyDescent="0.25"/>
    <row r="597" s="54" customFormat="1" x14ac:dyDescent="0.25"/>
    <row r="598" s="54" customFormat="1" x14ac:dyDescent="0.25"/>
    <row r="599" s="54" customFormat="1" x14ac:dyDescent="0.25"/>
    <row r="600" s="54" customFormat="1" x14ac:dyDescent="0.25"/>
    <row r="601" s="54" customFormat="1" x14ac:dyDescent="0.25"/>
    <row r="602" s="54" customFormat="1" x14ac:dyDescent="0.25"/>
    <row r="603" s="54" customFormat="1" x14ac:dyDescent="0.25"/>
    <row r="604" s="54" customFormat="1" x14ac:dyDescent="0.25"/>
    <row r="605" s="54" customFormat="1" x14ac:dyDescent="0.25"/>
    <row r="606" s="54" customFormat="1" x14ac:dyDescent="0.25"/>
    <row r="607" s="54" customFormat="1" x14ac:dyDescent="0.25"/>
    <row r="608" s="54" customFormat="1" x14ac:dyDescent="0.25"/>
    <row r="609" s="54" customFormat="1" x14ac:dyDescent="0.25"/>
    <row r="610" s="54" customFormat="1" x14ac:dyDescent="0.25"/>
    <row r="611" s="54" customFormat="1" x14ac:dyDescent="0.25"/>
    <row r="612" s="54" customFormat="1" x14ac:dyDescent="0.25"/>
    <row r="613" s="54" customFormat="1" x14ac:dyDescent="0.25"/>
    <row r="614" s="54" customFormat="1" x14ac:dyDescent="0.25"/>
    <row r="615" s="54" customFormat="1" x14ac:dyDescent="0.25"/>
    <row r="616" s="54" customFormat="1" x14ac:dyDescent="0.25"/>
    <row r="617" s="54" customFormat="1" x14ac:dyDescent="0.25"/>
    <row r="618" s="54" customFormat="1" x14ac:dyDescent="0.25"/>
    <row r="619" s="54" customFormat="1" x14ac:dyDescent="0.25"/>
    <row r="620" s="54" customFormat="1" x14ac:dyDescent="0.25"/>
    <row r="621" s="54" customFormat="1" x14ac:dyDescent="0.25"/>
    <row r="622" s="54" customFormat="1" x14ac:dyDescent="0.25"/>
    <row r="623" s="54" customFormat="1" x14ac:dyDescent="0.25"/>
    <row r="624" s="54" customFormat="1" x14ac:dyDescent="0.25"/>
    <row r="625" s="54" customFormat="1" x14ac:dyDescent="0.25"/>
    <row r="626" s="54" customFormat="1" x14ac:dyDescent="0.25"/>
    <row r="627" s="54" customFormat="1" x14ac:dyDescent="0.25"/>
    <row r="628" s="54" customFormat="1" x14ac:dyDescent="0.25"/>
    <row r="629" s="54" customFormat="1" x14ac:dyDescent="0.25"/>
    <row r="630" s="54" customFormat="1" x14ac:dyDescent="0.25"/>
    <row r="631" s="54" customFormat="1" x14ac:dyDescent="0.25"/>
    <row r="632" s="54" customFormat="1" x14ac:dyDescent="0.25"/>
    <row r="633" s="54" customFormat="1" x14ac:dyDescent="0.25"/>
    <row r="634" s="54" customFormat="1" x14ac:dyDescent="0.25"/>
    <row r="635" s="54" customFormat="1" x14ac:dyDescent="0.25"/>
    <row r="636" s="54" customFormat="1" x14ac:dyDescent="0.25"/>
    <row r="637" s="54" customFormat="1" x14ac:dyDescent="0.25"/>
    <row r="638" s="54" customFormat="1" x14ac:dyDescent="0.25"/>
    <row r="639" s="54" customFormat="1" x14ac:dyDescent="0.25"/>
    <row r="640" s="54" customFormat="1" x14ac:dyDescent="0.25"/>
    <row r="641" s="54" customFormat="1" x14ac:dyDescent="0.25"/>
    <row r="642" s="54" customFormat="1" x14ac:dyDescent="0.25"/>
    <row r="643" s="54" customFormat="1" x14ac:dyDescent="0.25"/>
    <row r="644" s="54" customFormat="1" x14ac:dyDescent="0.25"/>
    <row r="645" s="54" customFormat="1" x14ac:dyDescent="0.25"/>
    <row r="646" s="54" customFormat="1" x14ac:dyDescent="0.25"/>
    <row r="647" s="54" customFormat="1" x14ac:dyDescent="0.25"/>
    <row r="648" s="54" customFormat="1" x14ac:dyDescent="0.25"/>
    <row r="649" s="54" customFormat="1" x14ac:dyDescent="0.25"/>
    <row r="650" s="54" customFormat="1" x14ac:dyDescent="0.25"/>
    <row r="651" s="54" customFormat="1" x14ac:dyDescent="0.25"/>
    <row r="652" s="54" customFormat="1" x14ac:dyDescent="0.25"/>
    <row r="653" s="54" customFormat="1" x14ac:dyDescent="0.25"/>
    <row r="654" s="54" customFormat="1" x14ac:dyDescent="0.25"/>
    <row r="655" s="54" customFormat="1" x14ac:dyDescent="0.25"/>
    <row r="656" s="54" customFormat="1" x14ac:dyDescent="0.25"/>
    <row r="657" s="54" customFormat="1" x14ac:dyDescent="0.25"/>
    <row r="658" s="54" customFormat="1" x14ac:dyDescent="0.25"/>
    <row r="659" s="54" customFormat="1" x14ac:dyDescent="0.25"/>
    <row r="660" s="54" customFormat="1" x14ac:dyDescent="0.25"/>
    <row r="661" s="54" customFormat="1" x14ac:dyDescent="0.25"/>
    <row r="662" s="54" customFormat="1" x14ac:dyDescent="0.25"/>
    <row r="663" s="54" customFormat="1" x14ac:dyDescent="0.25"/>
    <row r="664" s="54" customFormat="1" x14ac:dyDescent="0.25"/>
    <row r="665" s="54" customFormat="1" x14ac:dyDescent="0.25"/>
    <row r="666" s="54" customFormat="1" x14ac:dyDescent="0.25"/>
    <row r="667" s="54" customFormat="1" x14ac:dyDescent="0.25"/>
    <row r="668" s="54" customFormat="1" x14ac:dyDescent="0.25"/>
    <row r="669" s="54" customFormat="1" x14ac:dyDescent="0.25"/>
    <row r="670" s="54" customFormat="1" x14ac:dyDescent="0.25"/>
    <row r="671" s="54" customFormat="1" x14ac:dyDescent="0.25"/>
    <row r="672" s="54" customFormat="1" x14ac:dyDescent="0.25"/>
    <row r="673" s="54" customFormat="1" x14ac:dyDescent="0.25"/>
    <row r="674" s="54" customFormat="1" x14ac:dyDescent="0.25"/>
    <row r="675" s="54" customFormat="1" x14ac:dyDescent="0.25"/>
    <row r="676" s="54" customFormat="1" x14ac:dyDescent="0.25"/>
    <row r="677" s="54" customFormat="1" x14ac:dyDescent="0.25"/>
    <row r="678" s="54" customFormat="1" x14ac:dyDescent="0.25"/>
    <row r="679" s="54" customFormat="1" x14ac:dyDescent="0.25"/>
    <row r="680" s="54" customFormat="1" x14ac:dyDescent="0.25"/>
    <row r="681" s="54" customFormat="1" x14ac:dyDescent="0.25"/>
    <row r="682" s="54" customFormat="1" x14ac:dyDescent="0.25"/>
    <row r="683" s="54" customFormat="1" x14ac:dyDescent="0.25"/>
    <row r="684" s="54" customFormat="1" x14ac:dyDescent="0.25"/>
    <row r="685" s="54" customFormat="1" x14ac:dyDescent="0.25"/>
    <row r="686" s="54" customFormat="1" x14ac:dyDescent="0.25"/>
    <row r="687" s="54" customFormat="1" x14ac:dyDescent="0.25"/>
    <row r="688" s="54" customFormat="1" x14ac:dyDescent="0.25"/>
    <row r="689" s="54" customFormat="1" x14ac:dyDescent="0.25"/>
    <row r="690" s="54" customFormat="1" x14ac:dyDescent="0.25"/>
    <row r="691" s="54" customFormat="1" x14ac:dyDescent="0.25"/>
    <row r="692" s="54" customFormat="1" x14ac:dyDescent="0.25"/>
    <row r="693" s="54" customFormat="1" x14ac:dyDescent="0.25"/>
    <row r="694" s="54" customFormat="1" x14ac:dyDescent="0.25"/>
    <row r="695" s="54" customFormat="1" x14ac:dyDescent="0.25"/>
    <row r="696" s="54" customFormat="1" x14ac:dyDescent="0.25"/>
    <row r="697" s="54" customFormat="1" x14ac:dyDescent="0.25"/>
    <row r="698" s="54" customFormat="1" x14ac:dyDescent="0.25"/>
    <row r="699" s="54" customFormat="1" x14ac:dyDescent="0.25"/>
    <row r="700" s="54" customFormat="1" x14ac:dyDescent="0.25"/>
    <row r="701" s="54" customFormat="1" x14ac:dyDescent="0.25"/>
    <row r="702" s="54" customFormat="1" x14ac:dyDescent="0.25"/>
    <row r="703" s="54" customFormat="1" x14ac:dyDescent="0.25"/>
    <row r="704" s="54" customFormat="1" x14ac:dyDescent="0.25"/>
    <row r="705" s="54" customFormat="1" x14ac:dyDescent="0.25"/>
    <row r="706" s="54" customFormat="1" x14ac:dyDescent="0.25"/>
    <row r="707" s="54" customFormat="1" x14ac:dyDescent="0.25"/>
    <row r="708" s="54" customFormat="1" x14ac:dyDescent="0.25"/>
    <row r="709" s="54" customFormat="1" x14ac:dyDescent="0.25"/>
    <row r="710" s="54" customFormat="1" x14ac:dyDescent="0.25"/>
    <row r="711" s="54" customFormat="1" x14ac:dyDescent="0.25"/>
    <row r="712" s="54" customFormat="1" x14ac:dyDescent="0.25"/>
    <row r="713" s="54" customFormat="1" x14ac:dyDescent="0.25"/>
    <row r="714" s="54" customFormat="1" x14ac:dyDescent="0.25"/>
    <row r="715" s="54" customFormat="1" x14ac:dyDescent="0.25"/>
    <row r="716" s="54" customFormat="1" x14ac:dyDescent="0.25"/>
    <row r="717" s="54" customFormat="1" x14ac:dyDescent="0.25"/>
    <row r="718" s="54" customFormat="1" x14ac:dyDescent="0.25"/>
    <row r="719" s="54" customFormat="1" x14ac:dyDescent="0.25"/>
    <row r="720" s="54" customFormat="1" x14ac:dyDescent="0.25"/>
    <row r="721" s="54" customFormat="1" x14ac:dyDescent="0.25"/>
    <row r="722" s="54" customFormat="1" x14ac:dyDescent="0.25"/>
    <row r="723" s="54" customFormat="1" x14ac:dyDescent="0.25"/>
    <row r="724" s="54" customFormat="1" x14ac:dyDescent="0.25"/>
    <row r="725" s="54" customFormat="1" x14ac:dyDescent="0.25"/>
    <row r="726" s="54" customFormat="1" x14ac:dyDescent="0.25"/>
    <row r="727" s="54" customFormat="1" x14ac:dyDescent="0.25"/>
    <row r="728" s="54" customFormat="1" x14ac:dyDescent="0.25"/>
    <row r="729" s="54" customFormat="1" x14ac:dyDescent="0.25"/>
    <row r="730" s="54" customFormat="1" x14ac:dyDescent="0.25"/>
    <row r="731" s="54" customFormat="1" x14ac:dyDescent="0.25"/>
    <row r="732" s="54" customFormat="1" x14ac:dyDescent="0.25"/>
    <row r="733" s="54" customFormat="1" x14ac:dyDescent="0.25"/>
    <row r="734" s="54" customFormat="1" x14ac:dyDescent="0.25"/>
    <row r="735" s="54" customFormat="1" x14ac:dyDescent="0.25"/>
    <row r="736" s="54" customFormat="1" x14ac:dyDescent="0.25"/>
    <row r="737" s="54" customFormat="1" x14ac:dyDescent="0.25"/>
    <row r="738" s="54" customFormat="1" x14ac:dyDescent="0.25"/>
    <row r="739" s="54" customFormat="1" x14ac:dyDescent="0.25"/>
    <row r="740" s="54" customFormat="1" x14ac:dyDescent="0.25"/>
    <row r="741" s="54" customFormat="1" x14ac:dyDescent="0.25"/>
    <row r="742" s="54" customFormat="1" x14ac:dyDescent="0.25"/>
    <row r="743" s="54" customFormat="1" x14ac:dyDescent="0.25"/>
    <row r="744" s="54" customFormat="1" x14ac:dyDescent="0.25"/>
    <row r="745" s="54" customFormat="1" x14ac:dyDescent="0.25"/>
    <row r="746" s="54" customFormat="1" x14ac:dyDescent="0.25"/>
    <row r="747" s="54" customFormat="1" x14ac:dyDescent="0.25"/>
    <row r="748" s="54" customFormat="1" x14ac:dyDescent="0.25"/>
    <row r="749" s="54" customFormat="1" x14ac:dyDescent="0.25"/>
    <row r="750" s="54" customFormat="1" x14ac:dyDescent="0.25"/>
    <row r="751" s="54" customFormat="1" x14ac:dyDescent="0.25"/>
    <row r="752" s="54" customFormat="1" x14ac:dyDescent="0.25"/>
    <row r="753" s="54" customFormat="1" x14ac:dyDescent="0.25"/>
    <row r="754" s="54" customFormat="1" x14ac:dyDescent="0.25"/>
    <row r="755" s="54" customFormat="1" x14ac:dyDescent="0.25"/>
    <row r="756" s="54" customFormat="1" x14ac:dyDescent="0.25"/>
    <row r="757" s="54" customFormat="1" x14ac:dyDescent="0.25"/>
    <row r="758" s="54" customFormat="1" x14ac:dyDescent="0.25"/>
    <row r="759" s="54" customFormat="1" x14ac:dyDescent="0.25"/>
    <row r="760" s="54" customFormat="1" x14ac:dyDescent="0.25"/>
    <row r="761" s="54" customFormat="1" x14ac:dyDescent="0.25"/>
    <row r="762" s="54" customFormat="1" x14ac:dyDescent="0.25"/>
    <row r="763" s="54" customFormat="1" x14ac:dyDescent="0.25"/>
    <row r="764" s="54" customFormat="1" x14ac:dyDescent="0.25"/>
    <row r="765" s="54" customFormat="1" x14ac:dyDescent="0.25"/>
    <row r="766" s="54" customFormat="1" x14ac:dyDescent="0.25"/>
    <row r="767" s="54" customFormat="1" x14ac:dyDescent="0.25"/>
    <row r="768" s="54" customFormat="1" x14ac:dyDescent="0.25"/>
    <row r="769" s="54" customFormat="1" x14ac:dyDescent="0.25"/>
    <row r="770" s="54" customFormat="1" x14ac:dyDescent="0.25"/>
    <row r="771" s="54" customFormat="1" x14ac:dyDescent="0.25"/>
    <row r="772" s="54" customFormat="1" x14ac:dyDescent="0.25"/>
    <row r="773" s="54" customFormat="1" x14ac:dyDescent="0.25"/>
    <row r="774" s="54" customFormat="1" x14ac:dyDescent="0.25"/>
    <row r="775" s="54" customFormat="1" x14ac:dyDescent="0.25"/>
    <row r="776" s="54" customFormat="1" x14ac:dyDescent="0.25"/>
    <row r="777" s="54" customFormat="1" x14ac:dyDescent="0.25"/>
    <row r="778" s="54" customFormat="1" x14ac:dyDescent="0.25"/>
    <row r="779" s="54" customFormat="1" x14ac:dyDescent="0.25"/>
    <row r="780" s="54" customFormat="1" x14ac:dyDescent="0.25"/>
    <row r="781" s="54" customFormat="1" x14ac:dyDescent="0.25"/>
    <row r="782" s="54" customFormat="1" x14ac:dyDescent="0.25"/>
    <row r="783" s="54" customFormat="1" x14ac:dyDescent="0.25"/>
    <row r="784" s="54" customFormat="1" x14ac:dyDescent="0.25"/>
    <row r="785" s="54" customFormat="1" x14ac:dyDescent="0.25"/>
    <row r="786" s="54" customFormat="1" x14ac:dyDescent="0.25"/>
    <row r="787" s="54" customFormat="1" x14ac:dyDescent="0.25"/>
    <row r="788" s="54" customFormat="1" x14ac:dyDescent="0.25"/>
    <row r="789" s="54" customFormat="1" x14ac:dyDescent="0.25"/>
    <row r="790" s="54" customFormat="1" x14ac:dyDescent="0.25"/>
    <row r="791" s="54" customFormat="1" x14ac:dyDescent="0.25"/>
    <row r="792" s="54" customFormat="1" x14ac:dyDescent="0.25"/>
    <row r="793" s="54" customFormat="1" x14ac:dyDescent="0.25"/>
    <row r="794" s="54" customFormat="1" x14ac:dyDescent="0.25"/>
    <row r="795" s="54" customFormat="1" x14ac:dyDescent="0.25"/>
    <row r="796" s="54" customFormat="1" x14ac:dyDescent="0.25"/>
    <row r="797" s="54" customFormat="1" x14ac:dyDescent="0.25"/>
    <row r="798" s="54" customFormat="1" x14ac:dyDescent="0.25"/>
    <row r="799" s="54" customFormat="1" x14ac:dyDescent="0.25"/>
    <row r="800" s="54" customFormat="1" x14ac:dyDescent="0.25"/>
    <row r="801" s="54" customFormat="1" x14ac:dyDescent="0.25"/>
    <row r="802" s="54" customFormat="1" x14ac:dyDescent="0.25"/>
    <row r="803" s="54" customFormat="1" x14ac:dyDescent="0.25"/>
    <row r="804" s="54" customFormat="1" x14ac:dyDescent="0.25"/>
    <row r="805" s="54" customFormat="1" x14ac:dyDescent="0.25"/>
    <row r="806" s="54" customFormat="1" x14ac:dyDescent="0.25"/>
    <row r="807" s="54" customFormat="1" x14ac:dyDescent="0.25"/>
    <row r="808" s="54" customFormat="1" x14ac:dyDescent="0.25"/>
    <row r="809" s="54" customFormat="1" x14ac:dyDescent="0.25"/>
    <row r="810" s="54" customFormat="1" x14ac:dyDescent="0.25"/>
    <row r="811" s="54" customFormat="1" x14ac:dyDescent="0.25"/>
    <row r="812" s="54" customFormat="1" x14ac:dyDescent="0.25"/>
    <row r="813" s="54" customFormat="1" x14ac:dyDescent="0.25"/>
    <row r="814" s="54" customFormat="1" x14ac:dyDescent="0.25"/>
    <row r="815" s="54" customFormat="1" x14ac:dyDescent="0.25"/>
    <row r="816" s="54" customFormat="1" x14ac:dyDescent="0.25"/>
    <row r="817" s="54" customFormat="1" x14ac:dyDescent="0.25"/>
    <row r="818" s="54" customFormat="1" x14ac:dyDescent="0.25"/>
    <row r="819" s="54" customFormat="1" x14ac:dyDescent="0.25"/>
    <row r="820" s="54" customFormat="1" x14ac:dyDescent="0.25"/>
    <row r="821" s="54" customFormat="1" x14ac:dyDescent="0.25"/>
    <row r="822" s="54" customFormat="1" x14ac:dyDescent="0.25"/>
    <row r="823" s="54" customFormat="1" x14ac:dyDescent="0.25"/>
    <row r="824" s="54" customFormat="1" x14ac:dyDescent="0.25"/>
    <row r="825" s="54" customFormat="1" x14ac:dyDescent="0.25"/>
    <row r="826" s="54" customFormat="1" x14ac:dyDescent="0.25"/>
    <row r="827" s="54" customFormat="1" x14ac:dyDescent="0.25"/>
    <row r="828" s="54" customFormat="1" x14ac:dyDescent="0.25"/>
    <row r="829" s="54" customFormat="1" x14ac:dyDescent="0.25"/>
    <row r="830" s="54" customFormat="1" x14ac:dyDescent="0.25"/>
    <row r="831" s="54" customFormat="1" x14ac:dyDescent="0.25"/>
    <row r="832" s="54" customFormat="1" x14ac:dyDescent="0.25"/>
    <row r="833" s="54" customFormat="1" x14ac:dyDescent="0.25"/>
    <row r="834" s="54" customFormat="1" x14ac:dyDescent="0.25"/>
    <row r="835" s="54" customFormat="1" x14ac:dyDescent="0.25"/>
    <row r="836" s="54" customFormat="1" x14ac:dyDescent="0.25"/>
    <row r="837" s="54" customFormat="1" x14ac:dyDescent="0.25"/>
    <row r="838" s="54" customFormat="1" x14ac:dyDescent="0.25"/>
    <row r="839" s="54" customFormat="1" x14ac:dyDescent="0.25"/>
    <row r="840" s="54" customFormat="1" x14ac:dyDescent="0.25"/>
    <row r="841" s="54" customFormat="1" x14ac:dyDescent="0.25"/>
    <row r="842" s="54" customFormat="1" x14ac:dyDescent="0.25"/>
    <row r="843" s="54" customFormat="1" x14ac:dyDescent="0.25"/>
    <row r="844" s="54" customFormat="1" x14ac:dyDescent="0.25"/>
    <row r="845" s="54" customFormat="1" x14ac:dyDescent="0.25"/>
    <row r="846" s="54" customFormat="1" x14ac:dyDescent="0.25"/>
    <row r="847" s="54" customFormat="1" x14ac:dyDescent="0.25"/>
    <row r="848" s="54" customFormat="1" x14ac:dyDescent="0.25"/>
    <row r="849" s="54" customFormat="1" x14ac:dyDescent="0.25"/>
    <row r="850" s="54" customFormat="1" x14ac:dyDescent="0.25"/>
    <row r="851" s="54" customFormat="1" x14ac:dyDescent="0.25"/>
    <row r="852" s="54" customFormat="1" x14ac:dyDescent="0.25"/>
    <row r="853" s="54" customFormat="1" x14ac:dyDescent="0.25"/>
    <row r="854" s="54" customFormat="1" x14ac:dyDescent="0.25"/>
    <row r="855" s="54" customFormat="1" x14ac:dyDescent="0.25"/>
    <row r="856" s="54" customFormat="1" x14ac:dyDescent="0.25"/>
    <row r="857" s="54" customFormat="1" x14ac:dyDescent="0.25"/>
    <row r="858" s="54" customFormat="1" x14ac:dyDescent="0.25"/>
    <row r="859" s="54" customFormat="1" x14ac:dyDescent="0.25"/>
    <row r="860" s="54" customFormat="1" x14ac:dyDescent="0.25"/>
    <row r="861" s="54" customFormat="1" x14ac:dyDescent="0.25"/>
    <row r="862" s="54" customFormat="1" x14ac:dyDescent="0.25"/>
    <row r="863" s="54" customFormat="1" x14ac:dyDescent="0.25"/>
    <row r="864" s="54" customFormat="1" x14ac:dyDescent="0.25"/>
    <row r="865" s="54" customFormat="1" x14ac:dyDescent="0.25"/>
    <row r="866" s="54" customFormat="1" x14ac:dyDescent="0.25"/>
    <row r="867" s="54" customFormat="1" x14ac:dyDescent="0.25"/>
    <row r="868" s="54" customFormat="1" x14ac:dyDescent="0.25"/>
    <row r="869" s="54" customFormat="1" x14ac:dyDescent="0.25"/>
    <row r="870" s="54" customFormat="1" x14ac:dyDescent="0.25"/>
    <row r="871" s="54" customFormat="1" x14ac:dyDescent="0.25"/>
    <row r="872" s="54" customFormat="1" x14ac:dyDescent="0.25"/>
    <row r="873" s="54" customFormat="1" x14ac:dyDescent="0.25"/>
    <row r="874" s="54" customFormat="1" x14ac:dyDescent="0.25"/>
    <row r="875" s="54" customFormat="1" x14ac:dyDescent="0.25"/>
    <row r="876" s="54" customFormat="1" x14ac:dyDescent="0.25"/>
    <row r="877" s="54" customFormat="1" x14ac:dyDescent="0.25"/>
    <row r="878" s="54" customFormat="1" x14ac:dyDescent="0.25"/>
    <row r="879" s="54" customFormat="1" x14ac:dyDescent="0.25"/>
    <row r="880" s="54" customFormat="1" x14ac:dyDescent="0.25"/>
    <row r="881" s="54" customFormat="1" x14ac:dyDescent="0.25"/>
    <row r="882" s="54" customFormat="1" x14ac:dyDescent="0.25"/>
    <row r="883" s="54" customFormat="1" x14ac:dyDescent="0.25"/>
    <row r="884" s="54" customFormat="1" x14ac:dyDescent="0.25"/>
    <row r="885" s="54" customFormat="1" x14ac:dyDescent="0.25"/>
    <row r="886" s="54" customFormat="1" x14ac:dyDescent="0.25"/>
    <row r="887" s="54" customFormat="1" x14ac:dyDescent="0.25"/>
    <row r="888" s="54" customFormat="1" x14ac:dyDescent="0.25"/>
    <row r="889" s="54" customFormat="1" x14ac:dyDescent="0.25"/>
    <row r="890" s="54" customFormat="1" x14ac:dyDescent="0.25"/>
    <row r="891" s="54" customFormat="1" x14ac:dyDescent="0.25"/>
    <row r="892" s="54" customFormat="1" x14ac:dyDescent="0.25"/>
    <row r="893" s="54" customFormat="1" x14ac:dyDescent="0.25"/>
    <row r="894" s="54" customFormat="1" x14ac:dyDescent="0.25"/>
    <row r="895" s="54" customFormat="1" x14ac:dyDescent="0.25"/>
    <row r="896" s="54" customFormat="1" x14ac:dyDescent="0.25"/>
    <row r="897" s="54" customFormat="1" x14ac:dyDescent="0.25"/>
    <row r="898" s="54" customFormat="1" x14ac:dyDescent="0.25"/>
    <row r="899" s="54" customFormat="1" x14ac:dyDescent="0.25"/>
    <row r="900" s="54" customFormat="1" x14ac:dyDescent="0.25"/>
    <row r="901" s="54" customFormat="1" x14ac:dyDescent="0.25"/>
    <row r="902" s="54" customFormat="1" x14ac:dyDescent="0.25"/>
    <row r="903" s="54" customFormat="1" x14ac:dyDescent="0.25"/>
    <row r="904" s="54" customFormat="1" x14ac:dyDescent="0.25"/>
    <row r="905" s="54" customFormat="1" x14ac:dyDescent="0.25"/>
    <row r="906" s="54" customFormat="1" x14ac:dyDescent="0.25"/>
    <row r="907" s="54" customFormat="1" x14ac:dyDescent="0.25"/>
    <row r="908" s="54" customFormat="1" x14ac:dyDescent="0.25"/>
    <row r="909" s="54" customFormat="1" x14ac:dyDescent="0.25"/>
    <row r="910" s="54" customFormat="1" x14ac:dyDescent="0.25"/>
    <row r="911" s="54" customFormat="1" x14ac:dyDescent="0.25"/>
    <row r="912" s="54" customFormat="1" x14ac:dyDescent="0.25"/>
    <row r="913" s="54" customFormat="1" x14ac:dyDescent="0.25"/>
    <row r="914" s="54" customFormat="1" x14ac:dyDescent="0.25"/>
    <row r="915" s="54" customFormat="1" x14ac:dyDescent="0.25"/>
    <row r="916" s="54" customFormat="1" x14ac:dyDescent="0.25"/>
    <row r="917" s="54" customFormat="1" x14ac:dyDescent="0.25"/>
    <row r="918" s="54" customFormat="1" x14ac:dyDescent="0.25"/>
    <row r="919" s="54" customFormat="1" x14ac:dyDescent="0.25"/>
    <row r="920" s="54" customFormat="1" x14ac:dyDescent="0.25"/>
    <row r="921" s="54" customFormat="1" x14ac:dyDescent="0.25"/>
    <row r="922" s="54" customFormat="1" x14ac:dyDescent="0.25"/>
    <row r="923" s="54" customFormat="1" x14ac:dyDescent="0.25"/>
    <row r="924" s="54" customFormat="1" x14ac:dyDescent="0.25"/>
    <row r="925" s="54" customFormat="1" x14ac:dyDescent="0.25"/>
    <row r="926" s="54" customFormat="1" x14ac:dyDescent="0.25"/>
    <row r="927" s="54" customFormat="1" x14ac:dyDescent="0.25"/>
    <row r="928" s="54" customFormat="1" x14ac:dyDescent="0.25"/>
    <row r="929" s="54" customFormat="1" x14ac:dyDescent="0.25"/>
    <row r="930" s="54" customFormat="1" x14ac:dyDescent="0.25"/>
    <row r="931" s="54" customFormat="1" x14ac:dyDescent="0.25"/>
    <row r="932" s="54" customFormat="1" x14ac:dyDescent="0.25"/>
    <row r="933" s="54" customFormat="1" x14ac:dyDescent="0.25"/>
    <row r="934" s="54" customFormat="1" x14ac:dyDescent="0.25"/>
    <row r="935" s="54" customFormat="1" x14ac:dyDescent="0.25"/>
    <row r="936" s="54" customFormat="1" x14ac:dyDescent="0.25"/>
    <row r="937" s="54" customFormat="1" x14ac:dyDescent="0.25"/>
    <row r="938" s="54" customFormat="1" x14ac:dyDescent="0.25"/>
    <row r="939" s="54" customFormat="1" x14ac:dyDescent="0.25"/>
    <row r="940" s="54" customFormat="1" x14ac:dyDescent="0.25"/>
    <row r="941" s="54" customFormat="1" x14ac:dyDescent="0.25"/>
    <row r="942" s="54" customFormat="1" x14ac:dyDescent="0.25"/>
    <row r="943" s="54" customFormat="1" x14ac:dyDescent="0.25"/>
    <row r="944" s="54" customFormat="1" x14ac:dyDescent="0.25"/>
    <row r="945" s="54" customFormat="1" x14ac:dyDescent="0.25"/>
    <row r="946" s="54" customFormat="1" x14ac:dyDescent="0.25"/>
    <row r="947" s="54" customFormat="1" x14ac:dyDescent="0.25"/>
    <row r="948" s="54" customFormat="1" x14ac:dyDescent="0.25"/>
    <row r="949" s="54" customFormat="1" x14ac:dyDescent="0.25"/>
    <row r="950" s="54" customFormat="1" x14ac:dyDescent="0.25"/>
    <row r="951" s="54" customFormat="1" x14ac:dyDescent="0.25"/>
    <row r="952" s="54" customFormat="1" x14ac:dyDescent="0.25"/>
    <row r="953" s="54" customFormat="1" x14ac:dyDescent="0.25"/>
    <row r="954" s="54" customFormat="1" x14ac:dyDescent="0.25"/>
    <row r="955" s="54" customFormat="1" x14ac:dyDescent="0.25"/>
    <row r="956" s="54" customFormat="1" x14ac:dyDescent="0.25"/>
    <row r="957" s="54" customFormat="1" x14ac:dyDescent="0.25"/>
    <row r="958" s="54" customFormat="1" x14ac:dyDescent="0.25"/>
    <row r="959" s="54" customFormat="1" x14ac:dyDescent="0.25"/>
    <row r="960" s="54" customFormat="1" x14ac:dyDescent="0.25"/>
    <row r="961" s="54" customFormat="1" x14ac:dyDescent="0.25"/>
    <row r="962" s="54" customFormat="1" x14ac:dyDescent="0.25"/>
    <row r="963" s="54" customFormat="1" x14ac:dyDescent="0.25"/>
    <row r="964" s="54" customFormat="1" x14ac:dyDescent="0.25"/>
    <row r="965" s="54" customFormat="1" x14ac:dyDescent="0.25"/>
    <row r="966" s="54" customFormat="1" x14ac:dyDescent="0.25"/>
    <row r="967" s="54" customFormat="1" x14ac:dyDescent="0.25"/>
    <row r="968" s="54" customFormat="1" x14ac:dyDescent="0.25"/>
    <row r="969" s="54" customFormat="1" x14ac:dyDescent="0.25"/>
    <row r="970" s="54" customFormat="1" x14ac:dyDescent="0.25"/>
    <row r="971" s="54" customFormat="1" x14ac:dyDescent="0.25"/>
    <row r="972" s="54" customFormat="1" x14ac:dyDescent="0.25"/>
    <row r="973" s="54" customFormat="1" x14ac:dyDescent="0.25"/>
    <row r="974" s="54" customFormat="1" x14ac:dyDescent="0.25"/>
    <row r="975" s="54" customFormat="1" x14ac:dyDescent="0.25"/>
    <row r="976" s="54" customFormat="1" x14ac:dyDescent="0.25"/>
    <row r="977" s="54" customFormat="1" x14ac:dyDescent="0.25"/>
    <row r="978" s="54" customFormat="1" x14ac:dyDescent="0.25"/>
    <row r="979" s="54" customFormat="1" x14ac:dyDescent="0.25"/>
    <row r="980" s="54" customFormat="1" x14ac:dyDescent="0.25"/>
    <row r="981" s="54" customFormat="1" x14ac:dyDescent="0.25"/>
    <row r="982" s="54" customFormat="1" x14ac:dyDescent="0.25"/>
    <row r="983" s="54" customFormat="1" x14ac:dyDescent="0.25"/>
    <row r="984" s="54" customFormat="1" x14ac:dyDescent="0.25"/>
    <row r="985" s="54" customFormat="1" x14ac:dyDescent="0.25"/>
    <row r="986" s="54" customFormat="1" x14ac:dyDescent="0.25"/>
    <row r="987" s="54" customFormat="1" x14ac:dyDescent="0.25"/>
    <row r="988" s="54" customFormat="1" x14ac:dyDescent="0.25"/>
    <row r="989" s="54" customFormat="1" x14ac:dyDescent="0.25"/>
    <row r="990" s="54" customFormat="1" x14ac:dyDescent="0.25"/>
    <row r="991" s="54" customFormat="1" x14ac:dyDescent="0.25"/>
    <row r="992" s="54" customFormat="1" x14ac:dyDescent="0.25"/>
    <row r="993" s="54" customFormat="1" x14ac:dyDescent="0.25"/>
    <row r="994" s="54" customFormat="1" x14ac:dyDescent="0.25"/>
    <row r="995" s="54" customFormat="1" x14ac:dyDescent="0.25"/>
    <row r="996" s="54" customFormat="1" x14ac:dyDescent="0.25"/>
    <row r="997" s="54" customFormat="1" x14ac:dyDescent="0.25"/>
    <row r="998" s="54" customFormat="1" x14ac:dyDescent="0.25"/>
    <row r="999" s="54" customFormat="1" x14ac:dyDescent="0.25"/>
    <row r="1000" s="54" customFormat="1" x14ac:dyDescent="0.25"/>
    <row r="1001" s="54" customFormat="1" x14ac:dyDescent="0.25"/>
    <row r="1002" s="54" customFormat="1" x14ac:dyDescent="0.25"/>
    <row r="1003" s="54" customFormat="1" x14ac:dyDescent="0.25"/>
    <row r="1004" s="54" customFormat="1" x14ac:dyDescent="0.25"/>
    <row r="1005" s="54" customFormat="1" x14ac:dyDescent="0.25"/>
    <row r="1006" s="54" customFormat="1" x14ac:dyDescent="0.25"/>
    <row r="1007" s="54" customFormat="1" x14ac:dyDescent="0.25"/>
    <row r="1008" s="54" customFormat="1" x14ac:dyDescent="0.25"/>
    <row r="1009" s="54" customFormat="1" x14ac:dyDescent="0.25"/>
    <row r="1010" s="54" customFormat="1" x14ac:dyDescent="0.25"/>
    <row r="1011" s="54" customFormat="1" x14ac:dyDescent="0.25"/>
    <row r="1012" s="54" customFormat="1" x14ac:dyDescent="0.25"/>
    <row r="1013" s="54" customFormat="1" x14ac:dyDescent="0.25"/>
    <row r="1014" s="54" customFormat="1" x14ac:dyDescent="0.25"/>
    <row r="1015" s="54" customFormat="1" x14ac:dyDescent="0.25"/>
    <row r="1016" s="54" customFormat="1" x14ac:dyDescent="0.25"/>
    <row r="1017" s="54" customFormat="1" x14ac:dyDescent="0.25"/>
    <row r="1018" s="54" customFormat="1" x14ac:dyDescent="0.25"/>
    <row r="1019" s="54" customFormat="1" x14ac:dyDescent="0.25"/>
    <row r="1020" s="54" customFormat="1" x14ac:dyDescent="0.25"/>
    <row r="1021" s="54" customFormat="1" x14ac:dyDescent="0.25"/>
    <row r="1022" s="54" customFormat="1" x14ac:dyDescent="0.25"/>
    <row r="1023" s="54" customFormat="1" x14ac:dyDescent="0.25"/>
    <row r="1024" s="54" customFormat="1" x14ac:dyDescent="0.25"/>
    <row r="1025" s="54" customFormat="1" x14ac:dyDescent="0.25"/>
    <row r="1026" s="54" customFormat="1" x14ac:dyDescent="0.25"/>
    <row r="1027" s="54" customFormat="1" x14ac:dyDescent="0.25"/>
    <row r="1028" s="54" customFormat="1" x14ac:dyDescent="0.25"/>
    <row r="1029" s="54" customFormat="1" x14ac:dyDescent="0.25"/>
    <row r="1030" s="54" customFormat="1" x14ac:dyDescent="0.25"/>
    <row r="1031" s="54" customFormat="1" x14ac:dyDescent="0.25"/>
    <row r="1032" s="54" customFormat="1" x14ac:dyDescent="0.25"/>
    <row r="1033" s="54" customFormat="1" x14ac:dyDescent="0.25"/>
    <row r="1034" s="54" customFormat="1" x14ac:dyDescent="0.25"/>
    <row r="1035" s="54" customFormat="1" x14ac:dyDescent="0.25"/>
    <row r="1036" s="54" customFormat="1" x14ac:dyDescent="0.25"/>
    <row r="1037" s="54" customFormat="1" x14ac:dyDescent="0.25"/>
    <row r="1038" s="54" customFormat="1" x14ac:dyDescent="0.25"/>
    <row r="1039" s="54" customFormat="1" x14ac:dyDescent="0.25"/>
    <row r="1040" s="54" customFormat="1" x14ac:dyDescent="0.25"/>
    <row r="1041" s="54" customFormat="1" x14ac:dyDescent="0.25"/>
    <row r="1042" s="54" customFormat="1" x14ac:dyDescent="0.25"/>
    <row r="1043" s="54" customFormat="1" x14ac:dyDescent="0.25"/>
    <row r="1044" s="54" customFormat="1" x14ac:dyDescent="0.25"/>
    <row r="1045" s="54" customFormat="1" x14ac:dyDescent="0.25"/>
    <row r="1046" s="54" customFormat="1" x14ac:dyDescent="0.25"/>
    <row r="1047" s="54" customFormat="1" x14ac:dyDescent="0.25"/>
    <row r="1048" s="54" customFormat="1" x14ac:dyDescent="0.25"/>
    <row r="1049" s="54" customFormat="1" x14ac:dyDescent="0.25"/>
    <row r="1050" s="54" customFormat="1" x14ac:dyDescent="0.25"/>
    <row r="1051" s="54" customFormat="1" x14ac:dyDescent="0.25"/>
    <row r="1052" s="54" customFormat="1" x14ac:dyDescent="0.25"/>
    <row r="1053" s="54" customFormat="1" x14ac:dyDescent="0.25"/>
    <row r="1054" s="54" customFormat="1" x14ac:dyDescent="0.25"/>
    <row r="1055" s="54" customFormat="1" x14ac:dyDescent="0.25"/>
    <row r="1056" s="54" customFormat="1" x14ac:dyDescent="0.25"/>
    <row r="1057" s="54" customFormat="1" x14ac:dyDescent="0.25"/>
    <row r="1058" s="54" customFormat="1" x14ac:dyDescent="0.25"/>
    <row r="1059" s="54" customFormat="1" x14ac:dyDescent="0.25"/>
    <row r="1060" s="54" customFormat="1" x14ac:dyDescent="0.25"/>
    <row r="1061" s="54" customFormat="1" x14ac:dyDescent="0.25"/>
    <row r="1062" s="54" customFormat="1" x14ac:dyDescent="0.25"/>
    <row r="1063" s="54" customFormat="1" x14ac:dyDescent="0.25"/>
    <row r="1064" s="54" customFormat="1" x14ac:dyDescent="0.25"/>
    <row r="1065" s="54" customFormat="1" x14ac:dyDescent="0.25"/>
    <row r="1066" s="54" customFormat="1" x14ac:dyDescent="0.25"/>
    <row r="1067" s="54" customFormat="1" x14ac:dyDescent="0.25"/>
    <row r="1068" s="54" customFormat="1" x14ac:dyDescent="0.25"/>
    <row r="1069" s="54" customFormat="1" x14ac:dyDescent="0.25"/>
    <row r="1070" s="54" customFormat="1" x14ac:dyDescent="0.25"/>
    <row r="1071" s="54" customFormat="1" x14ac:dyDescent="0.25"/>
    <row r="1072" s="54" customFormat="1" x14ac:dyDescent="0.25"/>
    <row r="1073" s="54" customFormat="1" x14ac:dyDescent="0.25"/>
    <row r="1074" s="54" customFormat="1" x14ac:dyDescent="0.25"/>
    <row r="1075" s="54" customFormat="1" x14ac:dyDescent="0.25"/>
    <row r="1076" s="54" customFormat="1" x14ac:dyDescent="0.25"/>
    <row r="1077" s="54" customFormat="1" x14ac:dyDescent="0.25"/>
    <row r="1078" s="54" customFormat="1" x14ac:dyDescent="0.25"/>
    <row r="1079" s="54" customFormat="1" x14ac:dyDescent="0.25"/>
    <row r="1080" s="54" customFormat="1" x14ac:dyDescent="0.25"/>
    <row r="1081" s="54" customFormat="1" x14ac:dyDescent="0.25"/>
    <row r="1082" s="54" customFormat="1" x14ac:dyDescent="0.25"/>
    <row r="1083" s="54" customFormat="1" x14ac:dyDescent="0.25"/>
    <row r="1084" s="54" customFormat="1" x14ac:dyDescent="0.25"/>
    <row r="1085" s="54" customFormat="1" x14ac:dyDescent="0.25"/>
    <row r="1086" s="54" customFormat="1" x14ac:dyDescent="0.25"/>
    <row r="1087" s="54" customFormat="1" x14ac:dyDescent="0.25"/>
    <row r="1088" s="54" customFormat="1" x14ac:dyDescent="0.25"/>
    <row r="1089" s="54" customFormat="1" x14ac:dyDescent="0.25"/>
    <row r="1090" s="54" customFormat="1" x14ac:dyDescent="0.25"/>
    <row r="1091" s="54" customFormat="1" x14ac:dyDescent="0.25"/>
    <row r="1092" s="54" customFormat="1" x14ac:dyDescent="0.25"/>
    <row r="1093" s="54" customFormat="1" x14ac:dyDescent="0.25"/>
    <row r="1094" s="54" customFormat="1" x14ac:dyDescent="0.25"/>
    <row r="1095" s="54" customFormat="1" x14ac:dyDescent="0.25"/>
    <row r="1096" s="54" customFormat="1" x14ac:dyDescent="0.25"/>
    <row r="1097" s="54" customFormat="1" x14ac:dyDescent="0.25"/>
    <row r="1098" s="54" customFormat="1" x14ac:dyDescent="0.25"/>
    <row r="1099" s="54" customFormat="1" x14ac:dyDescent="0.25"/>
    <row r="1100" s="54" customFormat="1" x14ac:dyDescent="0.25"/>
    <row r="1101" s="54" customFormat="1" x14ac:dyDescent="0.25"/>
    <row r="1102" s="54" customFormat="1" x14ac:dyDescent="0.25"/>
    <row r="1103" s="54" customFormat="1" x14ac:dyDescent="0.25"/>
    <row r="1104" s="54" customFormat="1" x14ac:dyDescent="0.25"/>
    <row r="1105" s="54" customFormat="1" x14ac:dyDescent="0.25"/>
    <row r="1106" s="54" customFormat="1" x14ac:dyDescent="0.25"/>
    <row r="1107" s="54" customFormat="1" x14ac:dyDescent="0.25"/>
    <row r="1108" s="54" customFormat="1" x14ac:dyDescent="0.25"/>
    <row r="1109" s="54" customFormat="1" x14ac:dyDescent="0.25"/>
    <row r="1110" s="54" customFormat="1" x14ac:dyDescent="0.25"/>
    <row r="1111" s="54" customFormat="1" x14ac:dyDescent="0.25"/>
    <row r="1112" s="54" customFormat="1" x14ac:dyDescent="0.25"/>
    <row r="1113" s="54" customFormat="1" x14ac:dyDescent="0.25"/>
    <row r="1114" s="54" customFormat="1" x14ac:dyDescent="0.25"/>
    <row r="1115" s="54" customFormat="1" x14ac:dyDescent="0.25"/>
    <row r="1116" s="54" customFormat="1" x14ac:dyDescent="0.25"/>
    <row r="1117" s="54" customFormat="1" x14ac:dyDescent="0.25"/>
    <row r="1118" s="54" customFormat="1" x14ac:dyDescent="0.25"/>
    <row r="1119" s="54" customFormat="1" x14ac:dyDescent="0.25"/>
    <row r="1120" s="54" customFormat="1" x14ac:dyDescent="0.25"/>
    <row r="1121" s="54" customFormat="1" x14ac:dyDescent="0.25"/>
    <row r="1122" s="54" customFormat="1" x14ac:dyDescent="0.25"/>
    <row r="1123" s="54" customFormat="1" x14ac:dyDescent="0.25"/>
    <row r="1124" s="54" customFormat="1" x14ac:dyDescent="0.25"/>
    <row r="1125" s="54" customFormat="1" x14ac:dyDescent="0.25"/>
    <row r="1126" s="54" customFormat="1" x14ac:dyDescent="0.25"/>
    <row r="1127" s="54" customFormat="1" x14ac:dyDescent="0.25"/>
    <row r="1128" s="54" customFormat="1" x14ac:dyDescent="0.25"/>
    <row r="1129" s="54" customFormat="1" x14ac:dyDescent="0.25"/>
    <row r="1130" s="54" customFormat="1" x14ac:dyDescent="0.25"/>
    <row r="1131" s="54" customFormat="1" x14ac:dyDescent="0.25"/>
    <row r="1132" s="54" customFormat="1" x14ac:dyDescent="0.25"/>
    <row r="1133" s="54" customFormat="1" x14ac:dyDescent="0.25"/>
    <row r="1134" s="54" customFormat="1" x14ac:dyDescent="0.25"/>
    <row r="1135" s="54" customFormat="1" x14ac:dyDescent="0.25"/>
    <row r="1136" s="54" customFormat="1" x14ac:dyDescent="0.25"/>
    <row r="1137" s="54" customFormat="1" x14ac:dyDescent="0.25"/>
    <row r="1138" s="54" customFormat="1" x14ac:dyDescent="0.25"/>
    <row r="1139" s="54" customFormat="1" x14ac:dyDescent="0.25"/>
    <row r="1140" s="54" customFormat="1" x14ac:dyDescent="0.25"/>
    <row r="1141" s="54" customFormat="1" x14ac:dyDescent="0.25"/>
    <row r="1142" s="54" customFormat="1" x14ac:dyDescent="0.25"/>
    <row r="1143" s="54" customFormat="1" x14ac:dyDescent="0.25"/>
    <row r="1144" s="54" customFormat="1" x14ac:dyDescent="0.25"/>
    <row r="1145" s="54" customFormat="1" x14ac:dyDescent="0.25"/>
    <row r="1146" s="54" customFormat="1" x14ac:dyDescent="0.25"/>
    <row r="1147" s="54" customFormat="1" x14ac:dyDescent="0.25"/>
    <row r="1148" s="54" customFormat="1" x14ac:dyDescent="0.25"/>
    <row r="1149" s="54" customFormat="1" x14ac:dyDescent="0.25"/>
    <row r="1150" s="54" customFormat="1" x14ac:dyDescent="0.25"/>
    <row r="1151" s="54" customFormat="1" x14ac:dyDescent="0.25"/>
    <row r="1152" s="54" customFormat="1" x14ac:dyDescent="0.25"/>
    <row r="1153" s="54" customFormat="1" x14ac:dyDescent="0.25"/>
    <row r="1154" s="54" customFormat="1" x14ac:dyDescent="0.25"/>
    <row r="1155" s="54" customFormat="1" x14ac:dyDescent="0.25"/>
    <row r="1156" s="54" customFormat="1" x14ac:dyDescent="0.25"/>
    <row r="1157" s="54" customFormat="1" x14ac:dyDescent="0.25"/>
    <row r="1158" s="54" customFormat="1" x14ac:dyDescent="0.25"/>
    <row r="1159" s="54" customFormat="1" x14ac:dyDescent="0.25"/>
    <row r="1160" s="54" customFormat="1" x14ac:dyDescent="0.25"/>
    <row r="1161" s="54" customFormat="1" x14ac:dyDescent="0.25"/>
    <row r="1162" s="54" customFormat="1" x14ac:dyDescent="0.25"/>
    <row r="1163" s="54" customFormat="1" x14ac:dyDescent="0.25"/>
    <row r="1164" s="54" customFormat="1" x14ac:dyDescent="0.25"/>
    <row r="1165" s="54" customFormat="1" x14ac:dyDescent="0.25"/>
    <row r="1166" s="54" customFormat="1" x14ac:dyDescent="0.25"/>
    <row r="1167" s="54" customFormat="1" x14ac:dyDescent="0.25"/>
    <row r="1168" s="54" customFormat="1" x14ac:dyDescent="0.25"/>
    <row r="1169" s="54" customFormat="1" x14ac:dyDescent="0.25"/>
    <row r="1170" s="54" customFormat="1" x14ac:dyDescent="0.25"/>
    <row r="1171" s="54" customFormat="1" x14ac:dyDescent="0.25"/>
    <row r="1172" s="54" customFormat="1" x14ac:dyDescent="0.25"/>
    <row r="1173" s="54" customFormat="1" x14ac:dyDescent="0.25"/>
    <row r="1174" s="54" customFormat="1" x14ac:dyDescent="0.25"/>
    <row r="1175" s="54" customFormat="1" x14ac:dyDescent="0.25"/>
    <row r="1176" s="54" customFormat="1" x14ac:dyDescent="0.25"/>
    <row r="1177" s="54" customFormat="1" x14ac:dyDescent="0.25"/>
    <row r="1178" s="54" customFormat="1" x14ac:dyDescent="0.25"/>
    <row r="1179" s="54" customFormat="1" x14ac:dyDescent="0.25"/>
    <row r="1180" s="54" customFormat="1" x14ac:dyDescent="0.25"/>
    <row r="1181" s="54" customFormat="1" x14ac:dyDescent="0.25"/>
    <row r="1182" s="54" customFormat="1" x14ac:dyDescent="0.25"/>
    <row r="1183" s="54" customFormat="1" x14ac:dyDescent="0.25"/>
    <row r="1184" s="54" customFormat="1" x14ac:dyDescent="0.25"/>
    <row r="1185" s="54" customFormat="1" x14ac:dyDescent="0.25"/>
    <row r="1186" s="54" customFormat="1" x14ac:dyDescent="0.25"/>
    <row r="1187" s="54" customFormat="1" x14ac:dyDescent="0.25"/>
    <row r="1188" s="54" customFormat="1" x14ac:dyDescent="0.25"/>
    <row r="1189" s="54" customFormat="1" x14ac:dyDescent="0.25"/>
    <row r="1190" s="54" customFormat="1" x14ac:dyDescent="0.25"/>
    <row r="1191" s="54" customFormat="1" x14ac:dyDescent="0.25"/>
    <row r="1192" s="54" customFormat="1" x14ac:dyDescent="0.25"/>
    <row r="1193" s="54" customFormat="1" x14ac:dyDescent="0.25"/>
    <row r="1194" s="54" customFormat="1" x14ac:dyDescent="0.25"/>
    <row r="1195" s="54" customFormat="1" x14ac:dyDescent="0.25"/>
    <row r="1196" s="54" customFormat="1" x14ac:dyDescent="0.25"/>
    <row r="1197" s="54" customFormat="1" x14ac:dyDescent="0.25"/>
    <row r="1198" s="54" customFormat="1" x14ac:dyDescent="0.25"/>
    <row r="1199" s="54" customFormat="1" x14ac:dyDescent="0.25"/>
    <row r="1200" s="54" customFormat="1" x14ac:dyDescent="0.25"/>
    <row r="1201" s="54" customFormat="1" x14ac:dyDescent="0.25"/>
    <row r="1202" s="54" customFormat="1" x14ac:dyDescent="0.25"/>
    <row r="1203" s="54" customFormat="1" x14ac:dyDescent="0.25"/>
    <row r="1204" s="54" customFormat="1" x14ac:dyDescent="0.25"/>
    <row r="1205" s="54" customFormat="1" x14ac:dyDescent="0.25"/>
    <row r="1206" s="54" customFormat="1" x14ac:dyDescent="0.25"/>
    <row r="1207" s="54" customFormat="1" x14ac:dyDescent="0.25"/>
    <row r="1208" s="54" customFormat="1" x14ac:dyDescent="0.25"/>
    <row r="1209" s="54" customFormat="1" x14ac:dyDescent="0.25"/>
    <row r="1210" s="54" customFormat="1" x14ac:dyDescent="0.25"/>
    <row r="1211" s="54" customFormat="1" x14ac:dyDescent="0.25"/>
    <row r="1212" s="54" customFormat="1" x14ac:dyDescent="0.25"/>
    <row r="1213" s="54" customFormat="1" x14ac:dyDescent="0.25"/>
    <row r="1214" s="54" customFormat="1" x14ac:dyDescent="0.25"/>
    <row r="1215" s="54" customFormat="1" x14ac:dyDescent="0.25"/>
    <row r="1216" s="54" customFormat="1" x14ac:dyDescent="0.25"/>
    <row r="1217" s="54" customFormat="1" x14ac:dyDescent="0.25"/>
    <row r="1218" s="54" customFormat="1" x14ac:dyDescent="0.25"/>
    <row r="1219" s="54" customFormat="1" x14ac:dyDescent="0.25"/>
    <row r="1220" s="54" customFormat="1" x14ac:dyDescent="0.25"/>
    <row r="1221" s="54" customFormat="1" x14ac:dyDescent="0.25"/>
    <row r="1222" s="54" customFormat="1" x14ac:dyDescent="0.25"/>
    <row r="1223" s="54" customFormat="1" x14ac:dyDescent="0.25"/>
    <row r="1224" s="54" customFormat="1" x14ac:dyDescent="0.25"/>
    <row r="1225" s="54" customFormat="1" x14ac:dyDescent="0.25"/>
    <row r="1226" s="54" customFormat="1" x14ac:dyDescent="0.25"/>
    <row r="1227" s="54" customFormat="1" x14ac:dyDescent="0.25"/>
    <row r="1228" s="54" customFormat="1" x14ac:dyDescent="0.25"/>
    <row r="1229" s="54" customFormat="1" x14ac:dyDescent="0.25"/>
    <row r="1230" s="54" customFormat="1" x14ac:dyDescent="0.25"/>
    <row r="1231" s="54" customFormat="1" x14ac:dyDescent="0.25"/>
    <row r="1232" s="54" customFormat="1" x14ac:dyDescent="0.25"/>
    <row r="1233" s="54" customFormat="1" x14ac:dyDescent="0.25"/>
    <row r="1234" s="54" customFormat="1" x14ac:dyDescent="0.25"/>
    <row r="1235" s="54" customFormat="1" x14ac:dyDescent="0.25"/>
    <row r="1236" s="54" customFormat="1" x14ac:dyDescent="0.25"/>
    <row r="1237" s="54" customFormat="1" x14ac:dyDescent="0.25"/>
    <row r="1238" s="54" customFormat="1" x14ac:dyDescent="0.25"/>
    <row r="1239" s="54" customFormat="1" x14ac:dyDescent="0.25"/>
    <row r="1240" s="54" customFormat="1" x14ac:dyDescent="0.25"/>
    <row r="1241" s="54" customFormat="1" x14ac:dyDescent="0.25"/>
    <row r="1242" s="54" customFormat="1" x14ac:dyDescent="0.25"/>
    <row r="1243" s="54" customFormat="1" x14ac:dyDescent="0.25"/>
    <row r="1244" s="54" customFormat="1" x14ac:dyDescent="0.25"/>
    <row r="1245" s="54" customFormat="1" x14ac:dyDescent="0.25"/>
    <row r="1246" s="54" customFormat="1" x14ac:dyDescent="0.25"/>
    <row r="1247" s="54" customFormat="1" x14ac:dyDescent="0.25"/>
    <row r="1248" s="54" customFormat="1" x14ac:dyDescent="0.25"/>
    <row r="1249" s="54" customFormat="1" x14ac:dyDescent="0.25"/>
    <row r="1250" s="54" customFormat="1" x14ac:dyDescent="0.25"/>
    <row r="1251" s="54" customFormat="1" x14ac:dyDescent="0.25"/>
    <row r="1252" s="54" customFormat="1" x14ac:dyDescent="0.25"/>
    <row r="1253" s="54" customFormat="1" x14ac:dyDescent="0.25"/>
    <row r="1254" s="54" customFormat="1" x14ac:dyDescent="0.25"/>
    <row r="1255" s="54" customFormat="1" x14ac:dyDescent="0.25"/>
    <row r="1256" s="54" customFormat="1" x14ac:dyDescent="0.25"/>
    <row r="1257" s="54" customFormat="1" x14ac:dyDescent="0.25"/>
    <row r="1258" s="54" customFormat="1" x14ac:dyDescent="0.25"/>
    <row r="1259" s="54" customFormat="1" x14ac:dyDescent="0.25"/>
    <row r="1260" s="54" customFormat="1" x14ac:dyDescent="0.25"/>
    <row r="1261" s="54" customFormat="1" x14ac:dyDescent="0.25"/>
    <row r="1262" s="54" customFormat="1" x14ac:dyDescent="0.25"/>
    <row r="1263" s="54" customFormat="1" x14ac:dyDescent="0.25"/>
    <row r="1264" s="54" customFormat="1" x14ac:dyDescent="0.25"/>
    <row r="1265" s="54" customFormat="1" x14ac:dyDescent="0.25"/>
    <row r="1266" s="54" customFormat="1" x14ac:dyDescent="0.25"/>
    <row r="1267" s="54" customFormat="1" x14ac:dyDescent="0.25"/>
    <row r="1268" s="54" customFormat="1" x14ac:dyDescent="0.25"/>
    <row r="1269" s="54" customFormat="1" x14ac:dyDescent="0.25"/>
    <row r="1270" s="54" customFormat="1" x14ac:dyDescent="0.25"/>
    <row r="1271" s="54" customFormat="1" x14ac:dyDescent="0.25"/>
    <row r="1272" s="54" customFormat="1" x14ac:dyDescent="0.25"/>
    <row r="1273" s="54" customFormat="1" x14ac:dyDescent="0.25"/>
    <row r="1274" s="54" customFormat="1" x14ac:dyDescent="0.25"/>
    <row r="1275" s="54" customFormat="1" x14ac:dyDescent="0.25"/>
    <row r="1276" s="54" customFormat="1" x14ac:dyDescent="0.25"/>
    <row r="1277" s="54" customFormat="1" x14ac:dyDescent="0.25"/>
    <row r="1278" s="54" customFormat="1" x14ac:dyDescent="0.25"/>
    <row r="1279" s="54" customFormat="1" x14ac:dyDescent="0.25"/>
    <row r="1280" s="54" customFormat="1" x14ac:dyDescent="0.25"/>
    <row r="1281" s="54" customFormat="1" x14ac:dyDescent="0.25"/>
    <row r="1282" s="54" customFormat="1" x14ac:dyDescent="0.25"/>
    <row r="1283" s="54" customFormat="1" x14ac:dyDescent="0.25"/>
    <row r="1284" s="54" customFormat="1" x14ac:dyDescent="0.25"/>
    <row r="1285" s="54" customFormat="1" x14ac:dyDescent="0.25"/>
    <row r="1286" s="54" customFormat="1" x14ac:dyDescent="0.25"/>
    <row r="1287" s="54" customFormat="1" x14ac:dyDescent="0.25"/>
    <row r="1288" s="54" customFormat="1" x14ac:dyDescent="0.25"/>
    <row r="1289" s="54" customFormat="1" x14ac:dyDescent="0.25"/>
    <row r="1290" s="54" customFormat="1" x14ac:dyDescent="0.25"/>
    <row r="1291" s="54" customFormat="1" x14ac:dyDescent="0.25"/>
    <row r="1292" s="54" customFormat="1" x14ac:dyDescent="0.25"/>
    <row r="1293" s="54" customFormat="1" x14ac:dyDescent="0.25"/>
    <row r="1294" s="54" customFormat="1" x14ac:dyDescent="0.25"/>
    <row r="1295" s="54" customFormat="1" x14ac:dyDescent="0.25"/>
    <row r="1296" s="54" customFormat="1" x14ac:dyDescent="0.25"/>
    <row r="1297" s="54" customFormat="1" x14ac:dyDescent="0.25"/>
    <row r="1298" s="54" customFormat="1" x14ac:dyDescent="0.25"/>
    <row r="1299" s="54" customFormat="1" x14ac:dyDescent="0.25"/>
    <row r="1300" s="54" customFormat="1" x14ac:dyDescent="0.25"/>
    <row r="1301" s="54" customFormat="1" x14ac:dyDescent="0.25"/>
    <row r="1302" s="54" customFormat="1" x14ac:dyDescent="0.25"/>
    <row r="1303" s="54" customFormat="1" x14ac:dyDescent="0.25"/>
    <row r="1304" s="54" customFormat="1" x14ac:dyDescent="0.25"/>
    <row r="1305" s="54" customFormat="1" x14ac:dyDescent="0.25"/>
    <row r="1306" s="54" customFormat="1" x14ac:dyDescent="0.25"/>
    <row r="1307" s="54" customFormat="1" x14ac:dyDescent="0.25"/>
    <row r="1308" s="54" customFormat="1" x14ac:dyDescent="0.25"/>
    <row r="1309" s="54" customFormat="1" x14ac:dyDescent="0.25"/>
    <row r="1310" s="54" customFormat="1" x14ac:dyDescent="0.25"/>
    <row r="1311" s="54" customFormat="1" x14ac:dyDescent="0.25"/>
    <row r="1312" s="54" customFormat="1" x14ac:dyDescent="0.25"/>
    <row r="1313" s="54" customFormat="1" x14ac:dyDescent="0.25"/>
    <row r="1314" s="54" customFormat="1" x14ac:dyDescent="0.25"/>
    <row r="1315" s="54" customFormat="1" x14ac:dyDescent="0.25"/>
    <row r="1316" s="54" customFormat="1" x14ac:dyDescent="0.25"/>
    <row r="1317" s="54" customFormat="1" x14ac:dyDescent="0.25"/>
    <row r="1318" s="54" customFormat="1" x14ac:dyDescent="0.25"/>
    <row r="1319" s="54" customFormat="1" x14ac:dyDescent="0.25"/>
    <row r="1320" s="54" customFormat="1" x14ac:dyDescent="0.25"/>
    <row r="1321" s="54" customFormat="1" x14ac:dyDescent="0.25"/>
    <row r="1322" s="54" customFormat="1" x14ac:dyDescent="0.25"/>
    <row r="1323" s="54" customFormat="1" x14ac:dyDescent="0.25"/>
    <row r="1324" s="54" customFormat="1" x14ac:dyDescent="0.25"/>
    <row r="1325" s="54" customFormat="1" x14ac:dyDescent="0.25"/>
    <row r="1326" s="54" customFormat="1" x14ac:dyDescent="0.25"/>
    <row r="1327" s="54" customFormat="1" x14ac:dyDescent="0.25"/>
    <row r="1328" s="54" customFormat="1" x14ac:dyDescent="0.25"/>
    <row r="1329" s="54" customFormat="1" x14ac:dyDescent="0.25"/>
    <row r="1330" s="54" customFormat="1" x14ac:dyDescent="0.25"/>
    <row r="1331" s="54" customFormat="1" x14ac:dyDescent="0.25"/>
    <row r="1332" s="54" customFormat="1" x14ac:dyDescent="0.25"/>
    <row r="1333" s="54" customFormat="1" x14ac:dyDescent="0.25"/>
    <row r="1334" s="54" customFormat="1" x14ac:dyDescent="0.25"/>
    <row r="1335" s="54" customFormat="1" x14ac:dyDescent="0.25"/>
    <row r="1336" s="54" customFormat="1" x14ac:dyDescent="0.25"/>
    <row r="1337" s="54" customFormat="1" x14ac:dyDescent="0.25"/>
    <row r="1338" s="54" customFormat="1" x14ac:dyDescent="0.25"/>
    <row r="1339" s="54" customFormat="1" x14ac:dyDescent="0.25"/>
    <row r="1340" s="54" customFormat="1" x14ac:dyDescent="0.25"/>
    <row r="1341" s="54" customFormat="1" x14ac:dyDescent="0.25"/>
    <row r="1342" s="54" customFormat="1" x14ac:dyDescent="0.25"/>
    <row r="1343" s="54" customFormat="1" x14ac:dyDescent="0.25"/>
    <row r="1344" s="54" customFormat="1" x14ac:dyDescent="0.25"/>
    <row r="1345" s="54" customFormat="1" x14ac:dyDescent="0.25"/>
    <row r="1346" s="54" customFormat="1" x14ac:dyDescent="0.25"/>
    <row r="1347" s="54" customFormat="1" x14ac:dyDescent="0.25"/>
    <row r="1348" s="54" customFormat="1" x14ac:dyDescent="0.25"/>
    <row r="1349" s="54" customFormat="1" x14ac:dyDescent="0.25"/>
    <row r="1350" s="54" customFormat="1" x14ac:dyDescent="0.25"/>
    <row r="1351" s="54" customFormat="1" x14ac:dyDescent="0.25"/>
    <row r="1352" s="54" customFormat="1" x14ac:dyDescent="0.25"/>
    <row r="1353" s="54" customFormat="1" x14ac:dyDescent="0.25"/>
    <row r="1354" s="54" customFormat="1" x14ac:dyDescent="0.25"/>
    <row r="1355" s="54" customFormat="1" x14ac:dyDescent="0.25"/>
    <row r="1356" s="54" customFormat="1" x14ac:dyDescent="0.25"/>
    <row r="1357" s="54" customFormat="1" x14ac:dyDescent="0.25"/>
    <row r="1358" s="54" customFormat="1" x14ac:dyDescent="0.25"/>
    <row r="1359" s="54" customFormat="1" x14ac:dyDescent="0.25"/>
    <row r="1360" s="54" customFormat="1" x14ac:dyDescent="0.25"/>
    <row r="1361" s="54" customFormat="1" x14ac:dyDescent="0.25"/>
    <row r="1362" s="54" customFormat="1" x14ac:dyDescent="0.25"/>
    <row r="1363" s="54" customFormat="1" x14ac:dyDescent="0.25"/>
    <row r="1364" s="54" customFormat="1" x14ac:dyDescent="0.25"/>
    <row r="1365" s="54" customFormat="1" x14ac:dyDescent="0.25"/>
    <row r="1366" s="54" customFormat="1" x14ac:dyDescent="0.25"/>
    <row r="1367" s="54" customFormat="1" x14ac:dyDescent="0.25"/>
    <row r="1368" s="54" customFormat="1" x14ac:dyDescent="0.25"/>
    <row r="1369" s="54" customFormat="1" x14ac:dyDescent="0.25"/>
    <row r="1370" s="54" customFormat="1" x14ac:dyDescent="0.25"/>
    <row r="1371" s="54" customFormat="1" x14ac:dyDescent="0.25"/>
    <row r="1372" s="54" customFormat="1" x14ac:dyDescent="0.25"/>
    <row r="1373" s="54" customFormat="1" x14ac:dyDescent="0.25"/>
    <row r="1374" s="54" customFormat="1" x14ac:dyDescent="0.25"/>
    <row r="1375" s="54" customFormat="1" x14ac:dyDescent="0.25"/>
    <row r="1376" s="54" customFormat="1" x14ac:dyDescent="0.25"/>
    <row r="1377" s="54" customFormat="1" x14ac:dyDescent="0.25"/>
    <row r="1378" s="54" customFormat="1" x14ac:dyDescent="0.25"/>
    <row r="1379" s="54" customFormat="1" x14ac:dyDescent="0.25"/>
    <row r="1380" s="54" customFormat="1" x14ac:dyDescent="0.25"/>
    <row r="1381" s="54" customFormat="1" x14ac:dyDescent="0.25"/>
    <row r="1382" s="54" customFormat="1" x14ac:dyDescent="0.25"/>
    <row r="1383" s="54" customFormat="1" x14ac:dyDescent="0.25"/>
    <row r="1384" s="54" customFormat="1" x14ac:dyDescent="0.25"/>
    <row r="1385" s="54" customFormat="1" x14ac:dyDescent="0.25"/>
    <row r="1386" s="54" customFormat="1" x14ac:dyDescent="0.25"/>
    <row r="1387" s="54" customFormat="1" x14ac:dyDescent="0.25"/>
    <row r="1388" s="54" customFormat="1" x14ac:dyDescent="0.25"/>
    <row r="1389" s="54" customFormat="1" x14ac:dyDescent="0.25"/>
    <row r="1390" s="54" customFormat="1" x14ac:dyDescent="0.25"/>
    <row r="1391" s="54" customFormat="1" x14ac:dyDescent="0.25"/>
    <row r="1392" s="54" customFormat="1" x14ac:dyDescent="0.25"/>
    <row r="1393" s="54" customFormat="1" x14ac:dyDescent="0.25"/>
    <row r="1394" s="54" customFormat="1" x14ac:dyDescent="0.25"/>
    <row r="1395" s="54" customFormat="1" x14ac:dyDescent="0.25"/>
    <row r="1396" s="54" customFormat="1" x14ac:dyDescent="0.25"/>
    <row r="1397" s="54" customFormat="1" x14ac:dyDescent="0.25"/>
    <row r="1398" s="54" customFormat="1" x14ac:dyDescent="0.25"/>
    <row r="1399" s="54" customFormat="1" x14ac:dyDescent="0.25"/>
    <row r="1400" s="54" customFormat="1" x14ac:dyDescent="0.25"/>
    <row r="1401" s="54" customFormat="1" x14ac:dyDescent="0.25"/>
    <row r="1402" s="54" customFormat="1" x14ac:dyDescent="0.25"/>
    <row r="1403" s="54" customFormat="1" x14ac:dyDescent="0.25"/>
    <row r="1404" s="54" customFormat="1" x14ac:dyDescent="0.25"/>
    <row r="1405" s="54" customFormat="1" x14ac:dyDescent="0.25"/>
    <row r="1406" s="54" customFormat="1" x14ac:dyDescent="0.25"/>
    <row r="1407" s="54" customFormat="1" x14ac:dyDescent="0.25"/>
    <row r="1408" s="54" customFormat="1" x14ac:dyDescent="0.25"/>
    <row r="1409" s="54" customFormat="1" x14ac:dyDescent="0.25"/>
    <row r="1410" s="54" customFormat="1" x14ac:dyDescent="0.25"/>
    <row r="1411" s="54" customFormat="1" x14ac:dyDescent="0.25"/>
    <row r="1412" s="54" customFormat="1" x14ac:dyDescent="0.25"/>
    <row r="1413" s="54" customFormat="1" x14ac:dyDescent="0.25"/>
    <row r="1414" s="54" customFormat="1" x14ac:dyDescent="0.25"/>
    <row r="1415" s="54" customFormat="1" x14ac:dyDescent="0.25"/>
    <row r="1416" s="54" customFormat="1" x14ac:dyDescent="0.25"/>
    <row r="1417" s="54" customFormat="1" x14ac:dyDescent="0.25"/>
    <row r="1418" s="54" customFormat="1" x14ac:dyDescent="0.25"/>
    <row r="1419" s="54" customFormat="1" x14ac:dyDescent="0.25"/>
    <row r="1420" s="54" customFormat="1" x14ac:dyDescent="0.25"/>
    <row r="1421" s="54" customFormat="1" x14ac:dyDescent="0.25"/>
    <row r="1422" s="54" customFormat="1" x14ac:dyDescent="0.25"/>
    <row r="1423" s="54" customFormat="1" x14ac:dyDescent="0.25"/>
    <row r="1424" s="54" customFormat="1" x14ac:dyDescent="0.25"/>
    <row r="1425" s="54" customFormat="1" x14ac:dyDescent="0.25"/>
    <row r="1426" s="54" customFormat="1" x14ac:dyDescent="0.25"/>
    <row r="1427" s="54" customFormat="1" x14ac:dyDescent="0.25"/>
    <row r="1428" s="54" customFormat="1" x14ac:dyDescent="0.25"/>
    <row r="1429" s="54" customFormat="1" x14ac:dyDescent="0.25"/>
    <row r="1430" s="54" customFormat="1" x14ac:dyDescent="0.25"/>
    <row r="1431" s="54" customFormat="1" x14ac:dyDescent="0.25"/>
    <row r="1432" s="54" customFormat="1" x14ac:dyDescent="0.25"/>
    <row r="1433" s="54" customFormat="1" x14ac:dyDescent="0.25"/>
    <row r="1434" s="54" customFormat="1" x14ac:dyDescent="0.25"/>
    <row r="1435" s="54" customFormat="1" x14ac:dyDescent="0.25"/>
    <row r="1436" s="54" customFormat="1" x14ac:dyDescent="0.25"/>
    <row r="1437" s="54" customFormat="1" x14ac:dyDescent="0.25"/>
    <row r="1438" s="54" customFormat="1" x14ac:dyDescent="0.25"/>
    <row r="1439" s="54" customFormat="1" x14ac:dyDescent="0.25"/>
    <row r="1440" s="54" customFormat="1" x14ac:dyDescent="0.25"/>
    <row r="1441" spans="1:3" s="54" customFormat="1" x14ac:dyDescent="0.25"/>
    <row r="1442" spans="1:3" s="54" customFormat="1" x14ac:dyDescent="0.25"/>
    <row r="1443" spans="1:3" s="54" customFormat="1" x14ac:dyDescent="0.25"/>
    <row r="1444" spans="1:3" s="54" customFormat="1" x14ac:dyDescent="0.25"/>
    <row r="1445" spans="1:3" s="54" customFormat="1" x14ac:dyDescent="0.25"/>
    <row r="1446" spans="1:3" s="54" customFormat="1" x14ac:dyDescent="0.25"/>
    <row r="1447" spans="1:3" s="54" customFormat="1" x14ac:dyDescent="0.25"/>
    <row r="1448" spans="1:3" s="54" customFormat="1" x14ac:dyDescent="0.25"/>
    <row r="1449" spans="1:3" s="54" customFormat="1" x14ac:dyDescent="0.25">
      <c r="A1449" s="53"/>
      <c r="B1449" s="53"/>
      <c r="C1449" s="53"/>
    </row>
    <row r="1450" spans="1:3" s="54" customFormat="1" x14ac:dyDescent="0.25">
      <c r="A1450" s="53"/>
      <c r="B1450" s="53"/>
      <c r="C1450" s="53"/>
    </row>
    <row r="1451" spans="1:3" s="54" customFormat="1" x14ac:dyDescent="0.25">
      <c r="A1451" s="53"/>
      <c r="B1451" s="53"/>
      <c r="C1451" s="53"/>
    </row>
  </sheetData>
  <pageMargins left="0.7" right="0.7" top="0.75" bottom="0.7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21"/>
  <sheetViews>
    <sheetView workbookViewId="0"/>
  </sheetViews>
  <sheetFormatPr defaultColWidth="9.109375" defaultRowHeight="14.4" x14ac:dyDescent="0.3"/>
  <cols>
    <col min="1" max="1" width="2.6640625" style="110" customWidth="1"/>
    <col min="2" max="2" width="41.33203125" style="110" bestFit="1" customWidth="1"/>
    <col min="3" max="3" width="32.88671875" style="110" bestFit="1" customWidth="1"/>
    <col min="4" max="4" width="11.5546875" style="110" bestFit="1" customWidth="1"/>
    <col min="5" max="5" width="7.5546875" style="110" bestFit="1" customWidth="1"/>
    <col min="6" max="6" width="19.88671875" style="110" bestFit="1" customWidth="1"/>
    <col min="7" max="16384" width="9.109375" style="110"/>
  </cols>
  <sheetData>
    <row r="1" spans="2:6" ht="15" thickBot="1" x14ac:dyDescent="0.35"/>
    <row r="2" spans="2:6" x14ac:dyDescent="0.3">
      <c r="B2" s="111"/>
      <c r="C2" s="112"/>
      <c r="D2" s="112"/>
      <c r="E2" s="112"/>
      <c r="F2" s="113" t="s">
        <v>54</v>
      </c>
    </row>
    <row r="3" spans="2:6" x14ac:dyDescent="0.3">
      <c r="B3" s="114"/>
      <c r="C3" s="115"/>
      <c r="D3" s="115"/>
      <c r="E3" s="115"/>
      <c r="F3" s="116"/>
    </row>
    <row r="4" spans="2:6" x14ac:dyDescent="0.3">
      <c r="B4" s="117"/>
      <c r="C4" s="115"/>
      <c r="D4" s="115"/>
      <c r="E4" s="115"/>
      <c r="F4" s="116" t="s">
        <v>55</v>
      </c>
    </row>
    <row r="5" spans="2:6" x14ac:dyDescent="0.3">
      <c r="B5" s="118" t="s">
        <v>56</v>
      </c>
      <c r="C5" s="115"/>
      <c r="D5" s="115"/>
      <c r="E5" s="115"/>
      <c r="F5" s="119"/>
    </row>
    <row r="6" spans="2:6" x14ac:dyDescent="0.3">
      <c r="B6" s="247" t="s">
        <v>57</v>
      </c>
      <c r="C6" s="248"/>
      <c r="D6" s="248"/>
      <c r="E6" s="248"/>
      <c r="F6" s="249"/>
    </row>
    <row r="7" spans="2:6" x14ac:dyDescent="0.3">
      <c r="B7" s="247" t="s">
        <v>58</v>
      </c>
      <c r="C7" s="248"/>
      <c r="D7" s="248"/>
      <c r="E7" s="248"/>
      <c r="F7" s="249"/>
    </row>
    <row r="8" spans="2:6" x14ac:dyDescent="0.3">
      <c r="B8" s="118" t="s">
        <v>59</v>
      </c>
      <c r="C8" s="115"/>
      <c r="D8" s="115"/>
      <c r="E8" s="115"/>
      <c r="F8" s="119"/>
    </row>
    <row r="9" spans="2:6" x14ac:dyDescent="0.3">
      <c r="B9" s="118" t="s">
        <v>60</v>
      </c>
      <c r="C9" s="115"/>
      <c r="D9" s="115"/>
      <c r="E9" s="115"/>
      <c r="F9" s="119"/>
    </row>
    <row r="10" spans="2:6" x14ac:dyDescent="0.3">
      <c r="B10" s="117"/>
      <c r="C10" s="115"/>
      <c r="D10" s="115"/>
      <c r="E10" s="115"/>
      <c r="F10" s="120"/>
    </row>
    <row r="11" spans="2:6" x14ac:dyDescent="0.3">
      <c r="B11" s="118" t="s">
        <v>61</v>
      </c>
      <c r="C11" s="115"/>
      <c r="D11" s="121" t="s">
        <v>62</v>
      </c>
      <c r="E11" s="115"/>
      <c r="F11" s="122" t="s">
        <v>63</v>
      </c>
    </row>
    <row r="12" spans="2:6" ht="15" thickBot="1" x14ac:dyDescent="0.35">
      <c r="B12" s="123" t="s">
        <v>64</v>
      </c>
      <c r="C12" s="124" t="s">
        <v>65</v>
      </c>
      <c r="D12" s="125" t="s">
        <v>66</v>
      </c>
      <c r="E12" s="125" t="s">
        <v>67</v>
      </c>
      <c r="F12" s="126" t="s">
        <v>68</v>
      </c>
    </row>
    <row r="13" spans="2:6" x14ac:dyDescent="0.3">
      <c r="B13" s="117"/>
      <c r="C13" s="115"/>
      <c r="D13" s="115"/>
      <c r="E13" s="115"/>
      <c r="F13" s="120"/>
    </row>
    <row r="14" spans="2:6" x14ac:dyDescent="0.3">
      <c r="B14" s="127">
        <v>1</v>
      </c>
      <c r="C14" s="128" t="s">
        <v>69</v>
      </c>
      <c r="D14" s="216">
        <v>0.51500000000000001</v>
      </c>
      <c r="E14" s="216">
        <v>5.8099999999999999E-2</v>
      </c>
      <c r="F14" s="217">
        <f>ROUND(D14*E14,4)</f>
        <v>2.9899999999999999E-2</v>
      </c>
    </row>
    <row r="15" spans="2:6" ht="15" thickBot="1" x14ac:dyDescent="0.35">
      <c r="B15" s="127">
        <v>2</v>
      </c>
      <c r="C15" s="128" t="s">
        <v>70</v>
      </c>
      <c r="D15" s="216">
        <v>0.48499999999999999</v>
      </c>
      <c r="E15" s="218">
        <v>9.5000000000000001E-2</v>
      </c>
      <c r="F15" s="217">
        <f>ROUND(D15*E15,4)</f>
        <v>4.6100000000000002E-2</v>
      </c>
    </row>
    <row r="16" spans="2:6" x14ac:dyDescent="0.3">
      <c r="B16" s="127">
        <v>3</v>
      </c>
      <c r="C16" s="128" t="s">
        <v>71</v>
      </c>
      <c r="D16" s="219">
        <v>1</v>
      </c>
      <c r="E16" s="220"/>
      <c r="F16" s="221">
        <f>SUM(F14:F15)</f>
        <v>7.5999999999999998E-2</v>
      </c>
    </row>
    <row r="17" spans="2:7" x14ac:dyDescent="0.3">
      <c r="B17" s="127">
        <v>4</v>
      </c>
      <c r="C17" s="115"/>
      <c r="D17" s="115"/>
      <c r="E17" s="115"/>
      <c r="F17" s="120"/>
    </row>
    <row r="18" spans="2:7" x14ac:dyDescent="0.3">
      <c r="B18" s="127">
        <v>5</v>
      </c>
      <c r="C18" s="128" t="s">
        <v>72</v>
      </c>
      <c r="D18" s="129">
        <v>0.51500000000000001</v>
      </c>
      <c r="E18" s="129">
        <f>E14</f>
        <v>5.8099999999999999E-2</v>
      </c>
      <c r="F18" s="130">
        <f>ROUND(D18*E18*0.79,4)</f>
        <v>2.3599999999999999E-2</v>
      </c>
      <c r="G18" s="131"/>
    </row>
    <row r="19" spans="2:7" ht="15" thickBot="1" x14ac:dyDescent="0.35">
      <c r="B19" s="127">
        <v>6</v>
      </c>
      <c r="C19" s="128" t="s">
        <v>70</v>
      </c>
      <c r="D19" s="129">
        <v>0.48499999999999999</v>
      </c>
      <c r="E19" s="132">
        <v>9.5000000000000001E-2</v>
      </c>
      <c r="F19" s="130">
        <f>ROUND(D19*E19,4)</f>
        <v>4.6100000000000002E-2</v>
      </c>
    </row>
    <row r="20" spans="2:7" x14ac:dyDescent="0.3">
      <c r="B20" s="127">
        <v>7</v>
      </c>
      <c r="C20" s="128" t="s">
        <v>73</v>
      </c>
      <c r="D20" s="133">
        <v>1</v>
      </c>
      <c r="E20" s="115"/>
      <c r="F20" s="134">
        <f>SUM(F18:F19)</f>
        <v>6.9699999999999998E-2</v>
      </c>
    </row>
    <row r="21" spans="2:7" ht="15" thickBot="1" x14ac:dyDescent="0.35">
      <c r="B21" s="135"/>
      <c r="C21" s="136"/>
      <c r="D21" s="136"/>
      <c r="E21" s="136"/>
      <c r="F21" s="137"/>
    </row>
  </sheetData>
  <mergeCells count="2">
    <mergeCell ref="B6:F6"/>
    <mergeCell ref="B7:F7"/>
  </mergeCells>
  <pageMargins left="0.75" right="0.5" top="0.76" bottom="0.79" header="0.5" footer="0.26"/>
  <pageSetup orientation="landscape" r:id="rId1"/>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2"/>
  <sheetViews>
    <sheetView workbookViewId="0">
      <selection activeCell="A36" sqref="A35:F36"/>
    </sheetView>
  </sheetViews>
  <sheetFormatPr defaultColWidth="13.88671875" defaultRowHeight="14.4" x14ac:dyDescent="0.3"/>
  <sheetData>
    <row r="1" spans="1:3" ht="40.200000000000003" x14ac:dyDescent="0.3">
      <c r="A1" s="138"/>
      <c r="B1" s="139" t="s">
        <v>74</v>
      </c>
      <c r="C1" s="139" t="s">
        <v>75</v>
      </c>
    </row>
    <row r="2" spans="1:3" x14ac:dyDescent="0.3">
      <c r="A2" s="138"/>
      <c r="B2" s="140"/>
    </row>
    <row r="3" spans="1:3" x14ac:dyDescent="0.3">
      <c r="A3">
        <v>2019</v>
      </c>
      <c r="B3" s="246">
        <f>+'Sch 91 FlatLoadShapeEnerg'!I7</f>
        <v>23.981526466666661</v>
      </c>
    </row>
    <row r="4" spans="1:3" x14ac:dyDescent="0.3">
      <c r="A4">
        <v>2020</v>
      </c>
      <c r="B4" s="246">
        <f>+'Sch 91 FlatLoadShapeEnerg'!I8</f>
        <v>21.580778041666665</v>
      </c>
    </row>
    <row r="5" spans="1:3" x14ac:dyDescent="0.3">
      <c r="A5">
        <v>2021</v>
      </c>
      <c r="B5" s="246">
        <f>+'Sch 91 FlatLoadShapeEnerg'!I9</f>
        <v>20.296439175</v>
      </c>
    </row>
    <row r="6" spans="1:3" x14ac:dyDescent="0.3">
      <c r="A6">
        <v>2022</v>
      </c>
      <c r="B6" s="246">
        <f>+'Sch 91 FlatLoadShapeEnerg'!I10</f>
        <v>19.080015383333336</v>
      </c>
    </row>
    <row r="7" spans="1:3" x14ac:dyDescent="0.3">
      <c r="A7">
        <v>2023</v>
      </c>
      <c r="B7" s="246">
        <f>+'Sch 91 FlatLoadShapeEnerg'!I11</f>
        <v>18.721724966666667</v>
      </c>
    </row>
    <row r="8" spans="1:3" x14ac:dyDescent="0.3">
      <c r="A8">
        <v>2024</v>
      </c>
      <c r="B8" s="246">
        <f>+'Sch 91 FlatLoadShapeEnerg'!I12</f>
        <v>19.571321191666669</v>
      </c>
    </row>
    <row r="9" spans="1:3" x14ac:dyDescent="0.3">
      <c r="A9">
        <v>2025</v>
      </c>
      <c r="B9" s="246">
        <f>+'Sch 91 FlatLoadShapeEnerg'!I13</f>
        <v>20.623178365833336</v>
      </c>
    </row>
    <row r="10" spans="1:3" x14ac:dyDescent="0.3">
      <c r="A10">
        <v>2026</v>
      </c>
      <c r="B10" s="246">
        <f>+'Sch 91 FlatLoadShapeEnerg'!I14</f>
        <v>22.046968616666671</v>
      </c>
    </row>
    <row r="11" spans="1:3" x14ac:dyDescent="0.3">
      <c r="A11">
        <v>2027</v>
      </c>
      <c r="B11" s="246">
        <f>+'Sch 91 FlatLoadShapeEnerg'!I15</f>
        <v>23.17016310833333</v>
      </c>
    </row>
    <row r="12" spans="1:3" x14ac:dyDescent="0.3">
      <c r="A12">
        <v>2028</v>
      </c>
      <c r="B12" s="246">
        <f>+'Sch 91 FlatLoadShapeEnerg'!I16</f>
        <v>23.475946774999997</v>
      </c>
    </row>
    <row r="13" spans="1:3" x14ac:dyDescent="0.3">
      <c r="A13">
        <v>2029</v>
      </c>
      <c r="B13" s="246">
        <f>+'Sch 91 FlatLoadShapeEnerg'!I17</f>
        <v>23.715382383333335</v>
      </c>
    </row>
    <row r="14" spans="1:3" x14ac:dyDescent="0.3">
      <c r="A14">
        <v>2030</v>
      </c>
      <c r="B14" s="246">
        <f>+'Sch 91 FlatLoadShapeEnerg'!I18</f>
        <v>24.138445516666668</v>
      </c>
    </row>
    <row r="15" spans="1:3" x14ac:dyDescent="0.3">
      <c r="A15">
        <v>2031</v>
      </c>
      <c r="B15" s="246">
        <f>+'Sch 91 FlatLoadShapeEnerg'!I19</f>
        <v>24.553153041666665</v>
      </c>
    </row>
    <row r="16" spans="1:3" x14ac:dyDescent="0.3">
      <c r="A16">
        <v>2032</v>
      </c>
      <c r="B16" s="246">
        <f>+'Sch 91 FlatLoadShapeEnerg'!I20</f>
        <v>26.087492999999995</v>
      </c>
    </row>
    <row r="17" spans="1:3" x14ac:dyDescent="0.3">
      <c r="A17">
        <v>2033</v>
      </c>
      <c r="B17" s="246">
        <f>+'Sch 91 FlatLoadShapeEnerg'!I21</f>
        <v>27.645123791666666</v>
      </c>
    </row>
    <row r="18" spans="1:3" x14ac:dyDescent="0.3">
      <c r="A18">
        <v>2034</v>
      </c>
      <c r="B18" s="246">
        <f>+'Sch 91 FlatLoadShapeEnerg'!I22</f>
        <v>29.490653850000001</v>
      </c>
    </row>
    <row r="19" spans="1:3" x14ac:dyDescent="0.3">
      <c r="A19">
        <v>2035</v>
      </c>
      <c r="B19" s="246">
        <f>+'Sch 91 FlatLoadShapeEnerg'!I23</f>
        <v>31.577413983333333</v>
      </c>
    </row>
    <row r="20" spans="1:3" x14ac:dyDescent="0.3">
      <c r="A20">
        <v>2036</v>
      </c>
      <c r="B20" s="246">
        <f>+'Sch 91 FlatLoadShapeEnerg'!I24</f>
        <v>32.394096999999995</v>
      </c>
    </row>
    <row r="21" spans="1:3" x14ac:dyDescent="0.3">
      <c r="A21">
        <v>2037</v>
      </c>
      <c r="B21" s="246">
        <f>+'Sch 91 FlatLoadShapeEnerg'!I25</f>
        <v>33.181295058333333</v>
      </c>
    </row>
    <row r="22" spans="1:3" x14ac:dyDescent="0.3">
      <c r="A22">
        <v>2038</v>
      </c>
      <c r="B22" s="246">
        <f>+'Sch 91 FlatLoadShapeEnerg'!I26</f>
        <v>35.93297093333333</v>
      </c>
      <c r="C22" s="141"/>
    </row>
    <row r="23" spans="1:3" x14ac:dyDescent="0.3">
      <c r="A23">
        <v>2039</v>
      </c>
      <c r="B23" s="246">
        <f>+'Sch 91 FlatLoadShapeEnerg'!I27</f>
        <v>36.909455291666667</v>
      </c>
      <c r="C23" s="141"/>
    </row>
    <row r="24" spans="1:3" x14ac:dyDescent="0.3">
      <c r="A24">
        <v>2040</v>
      </c>
      <c r="B24" s="246">
        <f t="shared" ref="B24:B32" si="0">B23+B23*C24</f>
        <v>37.832191673958334</v>
      </c>
      <c r="C24" s="141">
        <f>+'2019 Res Avoid Energy Cost'!C8</f>
        <v>2.5000000000000001E-2</v>
      </c>
    </row>
    <row r="25" spans="1:3" x14ac:dyDescent="0.3">
      <c r="A25">
        <v>2041</v>
      </c>
      <c r="B25" s="246">
        <f t="shared" si="0"/>
        <v>38.777996465807291</v>
      </c>
      <c r="C25" s="141">
        <f>+C24</f>
        <v>2.5000000000000001E-2</v>
      </c>
    </row>
    <row r="26" spans="1:3" x14ac:dyDescent="0.3">
      <c r="A26">
        <v>2042</v>
      </c>
      <c r="B26" s="246">
        <f t="shared" si="0"/>
        <v>39.747446377452476</v>
      </c>
      <c r="C26" s="141">
        <f t="shared" ref="C26:C32" si="1">+C25</f>
        <v>2.5000000000000001E-2</v>
      </c>
    </row>
    <row r="27" spans="1:3" x14ac:dyDescent="0.3">
      <c r="A27">
        <v>2043</v>
      </c>
      <c r="B27" s="246">
        <f t="shared" si="0"/>
        <v>40.741132536888792</v>
      </c>
      <c r="C27" s="141">
        <f t="shared" si="1"/>
        <v>2.5000000000000001E-2</v>
      </c>
    </row>
    <row r="28" spans="1:3" x14ac:dyDescent="0.3">
      <c r="A28">
        <v>2044</v>
      </c>
      <c r="B28" s="246">
        <f t="shared" si="0"/>
        <v>41.759660850311015</v>
      </c>
      <c r="C28" s="141">
        <f t="shared" si="1"/>
        <v>2.5000000000000001E-2</v>
      </c>
    </row>
    <row r="29" spans="1:3" x14ac:dyDescent="0.3">
      <c r="A29">
        <v>2045</v>
      </c>
      <c r="B29" s="246">
        <f t="shared" si="0"/>
        <v>42.803652371568788</v>
      </c>
      <c r="C29" s="141">
        <f t="shared" si="1"/>
        <v>2.5000000000000001E-2</v>
      </c>
    </row>
    <row r="30" spans="1:3" x14ac:dyDescent="0.3">
      <c r="A30">
        <v>2046</v>
      </c>
      <c r="B30" s="246">
        <f t="shared" si="0"/>
        <v>43.873743680858006</v>
      </c>
      <c r="C30" s="141">
        <f t="shared" si="1"/>
        <v>2.5000000000000001E-2</v>
      </c>
    </row>
    <row r="31" spans="1:3" x14ac:dyDescent="0.3">
      <c r="A31">
        <v>2046</v>
      </c>
      <c r="B31" s="246">
        <f t="shared" si="0"/>
        <v>44.970587272879456</v>
      </c>
      <c r="C31" s="141">
        <f t="shared" si="1"/>
        <v>2.5000000000000001E-2</v>
      </c>
    </row>
    <row r="32" spans="1:3" x14ac:dyDescent="0.3">
      <c r="A32">
        <v>2046</v>
      </c>
      <c r="B32" s="246">
        <f t="shared" si="0"/>
        <v>46.09485195470144</v>
      </c>
      <c r="C32" s="141">
        <f t="shared" si="1"/>
        <v>2.5000000000000001E-2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33"/>
  <sheetViews>
    <sheetView zoomScale="80" zoomScaleNormal="80" workbookViewId="0">
      <selection activeCell="K28" sqref="K28"/>
    </sheetView>
  </sheetViews>
  <sheetFormatPr defaultColWidth="14.44140625" defaultRowHeight="15" x14ac:dyDescent="0.25"/>
  <cols>
    <col min="1" max="1" width="2.6640625" style="149" customWidth="1"/>
    <col min="2" max="2" width="4" style="149" bestFit="1" customWidth="1"/>
    <col min="3" max="3" width="30.88671875" style="149" customWidth="1"/>
    <col min="4" max="4" width="2.6640625" style="149" customWidth="1"/>
    <col min="5" max="5" width="10.44140625" style="149" customWidth="1"/>
    <col min="6" max="6" width="2.6640625" style="149" customWidth="1"/>
    <col min="7" max="7" width="9.44140625" style="149" customWidth="1"/>
    <col min="8" max="8" width="12.5546875" style="149" customWidth="1"/>
    <col min="9" max="9" width="17.6640625" style="149" customWidth="1"/>
    <col min="10" max="10" width="14.44140625" style="149" customWidth="1"/>
    <col min="11" max="11" width="17" style="149" customWidth="1"/>
    <col min="12" max="12" width="14.44140625" style="149" customWidth="1"/>
    <col min="13" max="13" width="16.33203125" style="149" bestFit="1" customWidth="1"/>
    <col min="14" max="14" width="15.6640625" style="149" customWidth="1"/>
    <col min="15" max="16" width="16.109375" style="149" customWidth="1"/>
    <col min="17" max="16384" width="14.44140625" style="149"/>
  </cols>
  <sheetData>
    <row r="1" spans="2:21" s="142" customFormat="1" ht="15.6" x14ac:dyDescent="0.3">
      <c r="C1" s="143"/>
      <c r="D1" s="143"/>
      <c r="E1" s="143"/>
      <c r="F1" s="143"/>
      <c r="G1" s="143"/>
      <c r="H1" s="143"/>
      <c r="I1" s="143"/>
      <c r="J1" s="144"/>
      <c r="K1" s="143"/>
      <c r="L1" s="143"/>
      <c r="M1" s="145"/>
      <c r="N1" s="143"/>
      <c r="O1" s="143"/>
    </row>
    <row r="2" spans="2:21" s="142" customFormat="1" ht="15.6" x14ac:dyDescent="0.3">
      <c r="B2" s="143"/>
      <c r="C2" s="143"/>
      <c r="D2" s="143"/>
      <c r="E2" s="143"/>
      <c r="F2" s="143"/>
      <c r="G2" s="143"/>
      <c r="H2" s="143"/>
      <c r="I2" s="143"/>
      <c r="J2" s="144"/>
      <c r="K2" s="143"/>
      <c r="L2" s="143"/>
      <c r="M2" s="145"/>
      <c r="N2" s="143"/>
      <c r="O2" s="143"/>
      <c r="P2" s="143"/>
      <c r="Q2" s="143"/>
      <c r="R2" s="143"/>
      <c r="S2" s="143"/>
      <c r="T2" s="143"/>
      <c r="U2" s="143"/>
    </row>
    <row r="3" spans="2:21" ht="15.6" x14ac:dyDescent="0.3">
      <c r="B3" s="146"/>
      <c r="C3" s="146"/>
      <c r="D3" s="146"/>
      <c r="E3" s="146"/>
      <c r="F3" s="146"/>
      <c r="G3" s="146"/>
      <c r="H3" s="146"/>
      <c r="I3" s="146"/>
      <c r="J3" s="147"/>
      <c r="K3" s="143"/>
      <c r="L3" s="143"/>
      <c r="M3" s="148"/>
      <c r="N3" s="146"/>
      <c r="O3" s="146"/>
      <c r="P3" s="146"/>
      <c r="Q3" s="146"/>
      <c r="R3" s="146"/>
      <c r="S3" s="146"/>
      <c r="T3" s="146"/>
      <c r="U3" s="146"/>
    </row>
    <row r="4" spans="2:21" ht="66" customHeight="1" x14ac:dyDescent="0.3">
      <c r="B4" s="146"/>
      <c r="C4" s="146"/>
      <c r="D4" s="146"/>
      <c r="E4" s="146"/>
      <c r="F4" s="146"/>
      <c r="G4" s="150" t="s">
        <v>14</v>
      </c>
      <c r="H4" s="151" t="s">
        <v>15</v>
      </c>
      <c r="I4" s="152" t="s">
        <v>16</v>
      </c>
      <c r="J4" s="151" t="s">
        <v>17</v>
      </c>
      <c r="K4" s="152" t="s">
        <v>76</v>
      </c>
      <c r="L4" s="152" t="s">
        <v>53</v>
      </c>
      <c r="M4" s="151" t="s">
        <v>77</v>
      </c>
      <c r="N4" s="151" t="s">
        <v>20</v>
      </c>
      <c r="O4" s="151" t="s">
        <v>21</v>
      </c>
      <c r="P4" s="151" t="s">
        <v>22</v>
      </c>
      <c r="Q4" s="151"/>
      <c r="R4" s="150"/>
      <c r="S4" s="151"/>
      <c r="T4" s="151"/>
      <c r="U4" s="151"/>
    </row>
    <row r="5" spans="2:21" ht="15.6" x14ac:dyDescent="0.3">
      <c r="B5" s="153"/>
      <c r="C5" s="153"/>
      <c r="D5" s="153"/>
      <c r="E5" s="153"/>
      <c r="F5" s="153"/>
      <c r="G5" s="154"/>
      <c r="H5" s="154" t="s">
        <v>23</v>
      </c>
      <c r="I5" s="154" t="s">
        <v>24</v>
      </c>
      <c r="J5" s="154" t="s">
        <v>24</v>
      </c>
      <c r="K5" s="154" t="s">
        <v>24</v>
      </c>
      <c r="L5" s="154" t="s">
        <v>24</v>
      </c>
      <c r="M5" s="154" t="s">
        <v>24</v>
      </c>
      <c r="N5" s="154" t="s">
        <v>24</v>
      </c>
      <c r="O5" s="154" t="s">
        <v>24</v>
      </c>
      <c r="P5" s="154" t="s">
        <v>24</v>
      </c>
      <c r="Q5" s="150"/>
      <c r="R5" s="150"/>
      <c r="S5" s="150"/>
      <c r="T5" s="150"/>
      <c r="U5" s="150"/>
    </row>
    <row r="6" spans="2:21" ht="15.6" x14ac:dyDescent="0.3">
      <c r="B6" s="153"/>
      <c r="C6" s="155" t="s">
        <v>78</v>
      </c>
      <c r="D6" s="155"/>
      <c r="E6" s="156">
        <v>2.7E-2</v>
      </c>
      <c r="F6" s="157"/>
      <c r="G6" s="158" t="s">
        <v>27</v>
      </c>
      <c r="H6" s="158" t="s">
        <v>28</v>
      </c>
      <c r="I6" s="158" t="s">
        <v>29</v>
      </c>
      <c r="J6" s="158" t="s">
        <v>30</v>
      </c>
      <c r="K6" s="158" t="s">
        <v>31</v>
      </c>
      <c r="L6" s="158" t="s">
        <v>32</v>
      </c>
      <c r="M6" s="158" t="s">
        <v>33</v>
      </c>
      <c r="N6" s="158" t="s">
        <v>34</v>
      </c>
      <c r="O6" s="158" t="s">
        <v>35</v>
      </c>
      <c r="P6" s="158" t="s">
        <v>79</v>
      </c>
      <c r="Q6" s="159"/>
      <c r="R6" s="150"/>
      <c r="S6" s="146"/>
      <c r="T6" s="159"/>
      <c r="U6" s="150"/>
    </row>
    <row r="7" spans="2:21" ht="15.6" x14ac:dyDescent="0.3">
      <c r="B7" s="160"/>
      <c r="C7" s="155" t="s">
        <v>80</v>
      </c>
      <c r="D7" s="155"/>
      <c r="E7" s="161">
        <v>7.5999999999999998E-2</v>
      </c>
      <c r="F7" s="162"/>
      <c r="G7" s="163">
        <v>2019</v>
      </c>
      <c r="H7" s="164">
        <v>1</v>
      </c>
      <c r="I7" s="165">
        <v>23.981526466666661</v>
      </c>
      <c r="J7" s="165">
        <f>I7*$E$6</f>
        <v>0.64750121459999987</v>
      </c>
      <c r="K7" s="165">
        <v>0</v>
      </c>
      <c r="L7" s="165">
        <v>0</v>
      </c>
      <c r="M7" s="165">
        <v>0</v>
      </c>
      <c r="N7" s="165">
        <f>(I7+J7+K7+L7+M7)/((1+$E$7)^H7)</f>
        <v>22.88943093054522</v>
      </c>
      <c r="O7" s="165">
        <f>N7</f>
        <v>22.88943093054522</v>
      </c>
      <c r="P7" s="165">
        <f>(-PMT($E$7,H7,(O7)))</f>
        <v>24.62902768126666</v>
      </c>
      <c r="Q7" s="166"/>
      <c r="R7" s="167"/>
      <c r="S7" s="168"/>
      <c r="T7" s="169"/>
      <c r="U7" s="169"/>
    </row>
    <row r="8" spans="2:21" ht="15.6" x14ac:dyDescent="0.3">
      <c r="B8" s="153"/>
      <c r="C8" s="155" t="s">
        <v>81</v>
      </c>
      <c r="D8" s="155"/>
      <c r="E8" s="161">
        <v>2.5000000000000001E-2</v>
      </c>
      <c r="F8" s="162"/>
      <c r="G8" s="170">
        <f>G7+1</f>
        <v>2020</v>
      </c>
      <c r="H8" s="171">
        <v>2</v>
      </c>
      <c r="I8" s="172">
        <v>21.580778041666665</v>
      </c>
      <c r="J8" s="172">
        <f t="shared" ref="J8:J26" si="0">I8*$E$6</f>
        <v>0.58268100712499993</v>
      </c>
      <c r="K8" s="172">
        <f>+$K$7</f>
        <v>0</v>
      </c>
      <c r="L8" s="172">
        <v>0</v>
      </c>
      <c r="M8" s="172">
        <v>0</v>
      </c>
      <c r="N8" s="172">
        <f t="shared" ref="N8:N26" si="1">(I8+J8+K8+L8+M8)/((1+$E$7)^H8)</f>
        <v>19.143132219696785</v>
      </c>
      <c r="O8" s="172">
        <f t="shared" ref="O8:O26" si="2">N8+O7</f>
        <v>42.032563150242005</v>
      </c>
      <c r="P8" s="172">
        <f t="shared" ref="P8:P26" si="3">(-PMT($E$7,H8,(O8)))</f>
        <v>23.441374197415506</v>
      </c>
      <c r="Q8" s="166"/>
      <c r="R8" s="167"/>
      <c r="S8" s="168"/>
      <c r="T8" s="169"/>
      <c r="U8" s="169"/>
    </row>
    <row r="9" spans="2:21" ht="15.6" x14ac:dyDescent="0.3">
      <c r="B9" s="153"/>
      <c r="C9" s="155"/>
      <c r="D9" s="155"/>
      <c r="E9" s="162"/>
      <c r="F9" s="173"/>
      <c r="G9" s="170">
        <f t="shared" ref="G9:G27" si="4">G8+1</f>
        <v>2021</v>
      </c>
      <c r="H9" s="171">
        <v>3</v>
      </c>
      <c r="I9" s="172">
        <v>20.296439175</v>
      </c>
      <c r="J9" s="172">
        <f t="shared" si="0"/>
        <v>0.54800385772499993</v>
      </c>
      <c r="K9" s="172">
        <f t="shared" ref="K9:K27" si="5">+$K$7</f>
        <v>0</v>
      </c>
      <c r="L9" s="172">
        <v>0</v>
      </c>
      <c r="M9" s="172">
        <v>0</v>
      </c>
      <c r="N9" s="172">
        <f t="shared" si="1"/>
        <v>16.732216726160026</v>
      </c>
      <c r="O9" s="172">
        <f t="shared" si="2"/>
        <v>58.764779876402031</v>
      </c>
      <c r="P9" s="172">
        <f t="shared" si="3"/>
        <v>22.638309555742577</v>
      </c>
      <c r="Q9" s="166"/>
      <c r="R9" s="167"/>
      <c r="S9" s="168"/>
      <c r="T9" s="169"/>
      <c r="U9" s="169"/>
    </row>
    <row r="10" spans="2:21" x14ac:dyDescent="0.25">
      <c r="B10" s="153"/>
      <c r="C10" s="153"/>
      <c r="D10" s="153"/>
      <c r="E10" s="153"/>
      <c r="F10" s="162"/>
      <c r="G10" s="170">
        <f t="shared" si="4"/>
        <v>2022</v>
      </c>
      <c r="H10" s="171">
        <v>4</v>
      </c>
      <c r="I10" s="172">
        <v>19.080015383333336</v>
      </c>
      <c r="J10" s="172">
        <f t="shared" si="0"/>
        <v>0.51516041535000012</v>
      </c>
      <c r="K10" s="172">
        <f t="shared" si="5"/>
        <v>0</v>
      </c>
      <c r="L10" s="172">
        <v>0</v>
      </c>
      <c r="M10" s="172">
        <v>0</v>
      </c>
      <c r="N10" s="172">
        <f t="shared" si="1"/>
        <v>14.618407997056176</v>
      </c>
      <c r="O10" s="172">
        <f t="shared" si="2"/>
        <v>73.383187873458212</v>
      </c>
      <c r="P10" s="172">
        <f t="shared" si="3"/>
        <v>21.958969325419218</v>
      </c>
      <c r="Q10" s="166"/>
      <c r="R10" s="167"/>
      <c r="S10" s="168"/>
      <c r="T10" s="169"/>
      <c r="U10" s="169"/>
    </row>
    <row r="11" spans="2:21" x14ac:dyDescent="0.25">
      <c r="B11" s="153"/>
      <c r="C11" s="153"/>
      <c r="D11" s="153"/>
      <c r="E11" s="153"/>
      <c r="F11" s="162"/>
      <c r="G11" s="170">
        <f t="shared" si="4"/>
        <v>2023</v>
      </c>
      <c r="H11" s="171">
        <v>5</v>
      </c>
      <c r="I11" s="172">
        <v>18.721724966666667</v>
      </c>
      <c r="J11" s="172">
        <f t="shared" si="0"/>
        <v>0.50548657409999997</v>
      </c>
      <c r="K11" s="172">
        <f t="shared" si="5"/>
        <v>0</v>
      </c>
      <c r="L11" s="172">
        <v>0</v>
      </c>
      <c r="M11" s="172">
        <v>0</v>
      </c>
      <c r="N11" s="172">
        <f t="shared" si="1"/>
        <v>13.330761171628472</v>
      </c>
      <c r="O11" s="172">
        <f t="shared" si="2"/>
        <v>86.713949045086679</v>
      </c>
      <c r="P11" s="172">
        <f t="shared" si="3"/>
        <v>21.48959418736375</v>
      </c>
      <c r="Q11" s="166"/>
      <c r="R11" s="167"/>
      <c r="S11" s="168"/>
      <c r="T11" s="169"/>
      <c r="U11" s="169"/>
    </row>
    <row r="12" spans="2:21" x14ac:dyDescent="0.25">
      <c r="B12" s="146"/>
      <c r="C12" s="146"/>
      <c r="D12" s="146"/>
      <c r="E12" s="146"/>
      <c r="F12" s="153"/>
      <c r="G12" s="170">
        <f t="shared" si="4"/>
        <v>2024</v>
      </c>
      <c r="H12" s="171">
        <v>6</v>
      </c>
      <c r="I12" s="172">
        <v>19.571321191666669</v>
      </c>
      <c r="J12" s="172">
        <f t="shared" si="0"/>
        <v>0.52842567217500003</v>
      </c>
      <c r="K12" s="172">
        <f t="shared" si="5"/>
        <v>0</v>
      </c>
      <c r="L12" s="172">
        <v>0</v>
      </c>
      <c r="M12" s="172">
        <v>0</v>
      </c>
      <c r="N12" s="172">
        <f>(I12+J12+K12+L12+M12)/((1+$E$7)^H12)</f>
        <v>12.951407256659191</v>
      </c>
      <c r="O12" s="172">
        <f t="shared" si="2"/>
        <v>99.665356301745874</v>
      </c>
      <c r="P12" s="172">
        <f>(-PMT($E$7,H12,(O12)))</f>
        <v>21.298215985256455</v>
      </c>
      <c r="Q12" s="166"/>
      <c r="R12" s="167"/>
      <c r="S12" s="168"/>
      <c r="T12" s="169"/>
      <c r="U12" s="169"/>
    </row>
    <row r="13" spans="2:21" x14ac:dyDescent="0.25">
      <c r="B13" s="146"/>
      <c r="C13" s="146"/>
      <c r="D13" s="146"/>
      <c r="E13" s="146"/>
      <c r="F13" s="153"/>
      <c r="G13" s="170">
        <f t="shared" si="4"/>
        <v>2025</v>
      </c>
      <c r="H13" s="171">
        <v>7</v>
      </c>
      <c r="I13" s="172">
        <v>20.623178365833336</v>
      </c>
      <c r="J13" s="172">
        <f t="shared" si="0"/>
        <v>0.55682581587750002</v>
      </c>
      <c r="K13" s="172">
        <f t="shared" si="5"/>
        <v>0</v>
      </c>
      <c r="L13" s="172">
        <v>0</v>
      </c>
      <c r="M13" s="172">
        <v>0</v>
      </c>
      <c r="N13" s="172">
        <f t="shared" si="1"/>
        <v>12.683530050736939</v>
      </c>
      <c r="O13" s="172">
        <f t="shared" si="2"/>
        <v>112.34888635248281</v>
      </c>
      <c r="P13" s="172">
        <f>(-PMT($E$7,H13,(O13)))</f>
        <v>21.284804532058018</v>
      </c>
      <c r="Q13" s="166"/>
      <c r="R13" s="167"/>
      <c r="S13" s="168"/>
      <c r="T13" s="169"/>
      <c r="U13" s="169"/>
    </row>
    <row r="14" spans="2:21" x14ac:dyDescent="0.25">
      <c r="B14" s="146"/>
      <c r="C14" s="146"/>
      <c r="D14" s="146"/>
      <c r="E14" s="146"/>
      <c r="F14" s="162"/>
      <c r="G14" s="170">
        <f t="shared" si="4"/>
        <v>2026</v>
      </c>
      <c r="H14" s="171">
        <v>8</v>
      </c>
      <c r="I14" s="172">
        <v>22.046968616666671</v>
      </c>
      <c r="J14" s="172">
        <f t="shared" si="0"/>
        <v>0.5952681526500001</v>
      </c>
      <c r="K14" s="172">
        <f t="shared" si="5"/>
        <v>0</v>
      </c>
      <c r="L14" s="172">
        <v>0</v>
      </c>
      <c r="M14" s="172">
        <v>0</v>
      </c>
      <c r="N14" s="172">
        <f>(I14+J14+K14+L14+M14)/((1+$E$7)^H14)</f>
        <v>12.601468461995021</v>
      </c>
      <c r="O14" s="172">
        <f t="shared" si="2"/>
        <v>124.95035481447783</v>
      </c>
      <c r="P14" s="172">
        <f t="shared" si="3"/>
        <v>21.414279544753249</v>
      </c>
      <c r="Q14" s="166"/>
      <c r="R14" s="167"/>
      <c r="S14" s="168"/>
      <c r="T14" s="169"/>
      <c r="U14" s="169"/>
    </row>
    <row r="15" spans="2:21" x14ac:dyDescent="0.25">
      <c r="B15" s="146"/>
      <c r="C15" s="146"/>
      <c r="D15" s="146"/>
      <c r="E15" s="146"/>
      <c r="F15" s="153"/>
      <c r="G15" s="170">
        <f t="shared" si="4"/>
        <v>2027</v>
      </c>
      <c r="H15" s="171">
        <v>9</v>
      </c>
      <c r="I15" s="172">
        <v>23.17016310833333</v>
      </c>
      <c r="J15" s="172">
        <f t="shared" si="0"/>
        <v>0.62559440392499988</v>
      </c>
      <c r="K15" s="172">
        <f t="shared" si="5"/>
        <v>0</v>
      </c>
      <c r="L15" s="172">
        <v>0</v>
      </c>
      <c r="M15" s="172">
        <v>0</v>
      </c>
      <c r="N15" s="172">
        <f t="shared" si="1"/>
        <v>12.308045489029045</v>
      </c>
      <c r="O15" s="172">
        <f t="shared" si="2"/>
        <v>137.25840030350687</v>
      </c>
      <c r="P15" s="172">
        <f t="shared" si="3"/>
        <v>21.608196468444284</v>
      </c>
      <c r="Q15" s="166"/>
      <c r="R15" s="167"/>
      <c r="S15" s="168"/>
      <c r="T15" s="169"/>
      <c r="U15" s="169"/>
    </row>
    <row r="16" spans="2:21" x14ac:dyDescent="0.25">
      <c r="B16" s="146"/>
      <c r="C16" s="146"/>
      <c r="D16" s="146"/>
      <c r="E16" s="146"/>
      <c r="F16" s="174"/>
      <c r="G16" s="170">
        <f t="shared" si="4"/>
        <v>2028</v>
      </c>
      <c r="H16" s="171">
        <v>10</v>
      </c>
      <c r="I16" s="172">
        <v>23.475946774999997</v>
      </c>
      <c r="J16" s="172">
        <f t="shared" si="0"/>
        <v>0.63385056292499986</v>
      </c>
      <c r="K16" s="172">
        <f t="shared" si="5"/>
        <v>0</v>
      </c>
      <c r="L16" s="172">
        <v>0</v>
      </c>
      <c r="M16" s="172">
        <v>0</v>
      </c>
      <c r="N16" s="172">
        <f t="shared" si="1"/>
        <v>11.589664030278918</v>
      </c>
      <c r="O16" s="172">
        <f t="shared" si="2"/>
        <v>148.8480643337858</v>
      </c>
      <c r="P16" s="172">
        <f t="shared" si="3"/>
        <v>21.784188702760567</v>
      </c>
      <c r="Q16" s="166"/>
      <c r="R16" s="167"/>
      <c r="S16" s="168"/>
      <c r="T16" s="169"/>
      <c r="U16" s="169"/>
    </row>
    <row r="17" spans="2:21" x14ac:dyDescent="0.25">
      <c r="B17" s="146"/>
      <c r="C17" s="146"/>
      <c r="D17" s="146"/>
      <c r="E17" s="146"/>
      <c r="F17" s="175"/>
      <c r="G17" s="170">
        <f t="shared" si="4"/>
        <v>2029</v>
      </c>
      <c r="H17" s="171">
        <v>11</v>
      </c>
      <c r="I17" s="172">
        <v>23.715382383333335</v>
      </c>
      <c r="J17" s="172">
        <f t="shared" si="0"/>
        <v>0.64031532435000005</v>
      </c>
      <c r="K17" s="172">
        <f t="shared" si="5"/>
        <v>0</v>
      </c>
      <c r="L17" s="172">
        <v>0</v>
      </c>
      <c r="M17" s="172">
        <v>0</v>
      </c>
      <c r="N17" s="172">
        <f t="shared" si="1"/>
        <v>10.880919330244046</v>
      </c>
      <c r="O17" s="172">
        <f t="shared" si="2"/>
        <v>159.72898366402984</v>
      </c>
      <c r="P17" s="172">
        <f t="shared" si="3"/>
        <v>21.94200272948823</v>
      </c>
      <c r="Q17" s="166"/>
      <c r="R17" s="167"/>
      <c r="S17" s="168"/>
      <c r="T17" s="169"/>
      <c r="U17" s="169"/>
    </row>
    <row r="18" spans="2:21" x14ac:dyDescent="0.25">
      <c r="B18" s="146"/>
      <c r="C18" s="146"/>
      <c r="D18" s="146"/>
      <c r="E18" s="146"/>
      <c r="F18" s="175"/>
      <c r="G18" s="170">
        <f t="shared" si="4"/>
        <v>2030</v>
      </c>
      <c r="H18" s="171">
        <v>12</v>
      </c>
      <c r="I18" s="172">
        <v>24.138445516666668</v>
      </c>
      <c r="J18" s="172">
        <f t="shared" si="0"/>
        <v>0.65173802894999999</v>
      </c>
      <c r="K18" s="172">
        <f t="shared" si="5"/>
        <v>0</v>
      </c>
      <c r="L18" s="172">
        <v>0</v>
      </c>
      <c r="M18" s="172">
        <v>0</v>
      </c>
      <c r="N18" s="172">
        <f t="shared" si="1"/>
        <v>10.29277516853055</v>
      </c>
      <c r="O18" s="172">
        <f t="shared" si="2"/>
        <v>170.02175883256038</v>
      </c>
      <c r="P18" s="172">
        <f t="shared" si="3"/>
        <v>22.095684821163388</v>
      </c>
      <c r="Q18" s="166"/>
      <c r="R18" s="167"/>
      <c r="S18" s="168"/>
      <c r="T18" s="169"/>
      <c r="U18" s="169"/>
    </row>
    <row r="19" spans="2:21" x14ac:dyDescent="0.25">
      <c r="B19" s="146"/>
      <c r="C19" s="146"/>
      <c r="D19" s="146"/>
      <c r="E19" s="146"/>
      <c r="F19" s="175"/>
      <c r="G19" s="170">
        <f t="shared" si="4"/>
        <v>2031</v>
      </c>
      <c r="H19" s="171">
        <v>13</v>
      </c>
      <c r="I19" s="172">
        <v>24.553153041666665</v>
      </c>
      <c r="J19" s="172">
        <f>I19*$E$6</f>
        <v>0.66293513212499999</v>
      </c>
      <c r="K19" s="172">
        <f t="shared" si="5"/>
        <v>0</v>
      </c>
      <c r="L19" s="172">
        <v>0</v>
      </c>
      <c r="M19" s="172">
        <v>0</v>
      </c>
      <c r="N19" s="172">
        <f t="shared" si="1"/>
        <v>9.7301197925720473</v>
      </c>
      <c r="O19" s="172">
        <f t="shared" si="2"/>
        <v>179.75187862513243</v>
      </c>
      <c r="P19" s="172">
        <f t="shared" si="3"/>
        <v>22.244690955186421</v>
      </c>
      <c r="Q19" s="166"/>
      <c r="R19" s="167"/>
      <c r="S19" s="168"/>
      <c r="T19" s="169"/>
      <c r="U19" s="169"/>
    </row>
    <row r="20" spans="2:21" x14ac:dyDescent="0.25">
      <c r="B20" s="146"/>
      <c r="C20" s="146"/>
      <c r="D20" s="146"/>
      <c r="E20" s="146"/>
      <c r="F20" s="175"/>
      <c r="G20" s="170">
        <f t="shared" si="4"/>
        <v>2032</v>
      </c>
      <c r="H20" s="171">
        <v>14</v>
      </c>
      <c r="I20" s="172">
        <v>26.087492999999995</v>
      </c>
      <c r="J20" s="172">
        <f t="shared" si="0"/>
        <v>0.70436231099999991</v>
      </c>
      <c r="K20" s="172">
        <f t="shared" si="5"/>
        <v>0</v>
      </c>
      <c r="L20" s="172">
        <v>0</v>
      </c>
      <c r="M20" s="172">
        <v>0</v>
      </c>
      <c r="N20" s="172">
        <f t="shared" si="1"/>
        <v>9.6079556677332079</v>
      </c>
      <c r="O20" s="172">
        <f t="shared" si="2"/>
        <v>189.35983429286563</v>
      </c>
      <c r="P20" s="172">
        <f t="shared" si="3"/>
        <v>22.437916040197152</v>
      </c>
      <c r="Q20" s="166"/>
      <c r="R20" s="167"/>
      <c r="S20" s="168"/>
      <c r="T20" s="169"/>
      <c r="U20" s="169"/>
    </row>
    <row r="21" spans="2:21" x14ac:dyDescent="0.25">
      <c r="B21" s="146"/>
      <c r="C21" s="146"/>
      <c r="D21" s="146"/>
      <c r="E21" s="146"/>
      <c r="F21" s="175"/>
      <c r="G21" s="177">
        <f t="shared" si="4"/>
        <v>2033</v>
      </c>
      <c r="H21" s="177">
        <v>15</v>
      </c>
      <c r="I21" s="172">
        <v>27.645123791666666</v>
      </c>
      <c r="J21" s="172">
        <f t="shared" si="0"/>
        <v>0.74641834237499993</v>
      </c>
      <c r="K21" s="172">
        <f t="shared" si="5"/>
        <v>0</v>
      </c>
      <c r="L21" s="172">
        <v>0</v>
      </c>
      <c r="M21" s="172">
        <v>0</v>
      </c>
      <c r="N21" s="172">
        <f>(I21+J21+K21+L21+M21)/((1+$E$7)^H21)</f>
        <v>9.4624786504781451</v>
      </c>
      <c r="O21" s="172">
        <f>N21+O20</f>
        <v>198.82231294334377</v>
      </c>
      <c r="P21" s="172">
        <f>(-PMT($E$7,H21,(O21)))</f>
        <v>22.664104755183956</v>
      </c>
      <c r="Q21" s="166"/>
      <c r="R21" s="167"/>
      <c r="S21" s="168"/>
      <c r="T21" s="169"/>
      <c r="U21" s="169"/>
    </row>
    <row r="22" spans="2:21" x14ac:dyDescent="0.25">
      <c r="B22" s="146"/>
      <c r="C22" s="146"/>
      <c r="D22" s="146"/>
      <c r="E22" s="146"/>
      <c r="F22" s="175"/>
      <c r="G22" s="170">
        <f t="shared" si="4"/>
        <v>2034</v>
      </c>
      <c r="H22" s="171">
        <v>16</v>
      </c>
      <c r="I22" s="172">
        <v>29.490653850000001</v>
      </c>
      <c r="J22" s="172">
        <f t="shared" si="0"/>
        <v>0.79624765394999997</v>
      </c>
      <c r="K22" s="172">
        <f t="shared" si="5"/>
        <v>0</v>
      </c>
      <c r="L22" s="172">
        <v>0</v>
      </c>
      <c r="M22" s="172">
        <v>0</v>
      </c>
      <c r="N22" s="172">
        <f t="shared" si="1"/>
        <v>9.3812023547915331</v>
      </c>
      <c r="O22" s="172">
        <f t="shared" si="2"/>
        <v>208.2035152981353</v>
      </c>
      <c r="P22" s="172">
        <f t="shared" si="3"/>
        <v>22.924073860773518</v>
      </c>
      <c r="Q22" s="166"/>
      <c r="R22" s="167"/>
      <c r="S22" s="168"/>
      <c r="T22" s="169"/>
      <c r="U22" s="169"/>
    </row>
    <row r="23" spans="2:21" x14ac:dyDescent="0.25">
      <c r="B23" s="146"/>
      <c r="C23" s="146"/>
      <c r="D23" s="146"/>
      <c r="E23" s="146"/>
      <c r="F23" s="175"/>
      <c r="G23" s="170">
        <f t="shared" si="4"/>
        <v>2035</v>
      </c>
      <c r="H23" s="171">
        <v>17</v>
      </c>
      <c r="I23" s="172">
        <v>31.577413983333333</v>
      </c>
      <c r="J23" s="172">
        <f t="shared" si="0"/>
        <v>0.85259017754999999</v>
      </c>
      <c r="K23" s="172">
        <f t="shared" si="5"/>
        <v>0</v>
      </c>
      <c r="L23" s="172">
        <v>0</v>
      </c>
      <c r="M23" s="172">
        <v>0</v>
      </c>
      <c r="N23" s="172">
        <f t="shared" si="1"/>
        <v>9.335517379229568</v>
      </c>
      <c r="O23" s="172">
        <f t="shared" si="2"/>
        <v>217.53903267736487</v>
      </c>
      <c r="P23" s="172">
        <f t="shared" si="3"/>
        <v>23.216111140296942</v>
      </c>
      <c r="Q23" s="166"/>
      <c r="R23" s="167"/>
      <c r="S23" s="168"/>
      <c r="T23" s="169"/>
      <c r="U23" s="169"/>
    </row>
    <row r="24" spans="2:21" x14ac:dyDescent="0.25">
      <c r="B24" s="146"/>
      <c r="C24" s="146"/>
      <c r="D24" s="146"/>
      <c r="E24" s="146"/>
      <c r="F24" s="175"/>
      <c r="G24" s="170">
        <f t="shared" si="4"/>
        <v>2036</v>
      </c>
      <c r="H24" s="171">
        <v>18</v>
      </c>
      <c r="I24" s="172">
        <v>32.394096999999995</v>
      </c>
      <c r="J24" s="172">
        <f t="shared" si="0"/>
        <v>0.8746406189999999</v>
      </c>
      <c r="K24" s="172">
        <f t="shared" si="5"/>
        <v>0</v>
      </c>
      <c r="L24" s="172">
        <v>0</v>
      </c>
      <c r="M24" s="172">
        <v>0</v>
      </c>
      <c r="N24" s="172">
        <f t="shared" si="1"/>
        <v>8.9005211791191776</v>
      </c>
      <c r="O24" s="172">
        <f t="shared" si="2"/>
        <v>226.43955385648405</v>
      </c>
      <c r="P24" s="172">
        <f t="shared" si="3"/>
        <v>23.495162943190117</v>
      </c>
      <c r="Q24" s="166"/>
      <c r="R24" s="167"/>
      <c r="S24" s="168"/>
      <c r="T24" s="169"/>
      <c r="U24" s="169"/>
    </row>
    <row r="25" spans="2:21" x14ac:dyDescent="0.25">
      <c r="B25" s="146"/>
      <c r="C25" s="146"/>
      <c r="D25" s="146"/>
      <c r="E25" s="146"/>
      <c r="F25" s="175"/>
      <c r="G25" s="170">
        <f t="shared" si="4"/>
        <v>2037</v>
      </c>
      <c r="H25" s="171">
        <v>19</v>
      </c>
      <c r="I25" s="172">
        <v>33.181295058333333</v>
      </c>
      <c r="J25" s="172">
        <f t="shared" si="0"/>
        <v>0.89589496657500001</v>
      </c>
      <c r="K25" s="172">
        <f t="shared" si="5"/>
        <v>0</v>
      </c>
      <c r="L25" s="172">
        <v>0</v>
      </c>
      <c r="M25" s="172">
        <v>0</v>
      </c>
      <c r="N25" s="172">
        <f t="shared" si="1"/>
        <v>8.4728715161681603</v>
      </c>
      <c r="O25" s="172">
        <f t="shared" si="2"/>
        <v>234.91242537265222</v>
      </c>
      <c r="P25" s="172">
        <f t="shared" si="3"/>
        <v>23.761296636294222</v>
      </c>
      <c r="Q25" s="166"/>
      <c r="R25" s="167"/>
      <c r="S25" s="168"/>
      <c r="T25" s="169"/>
      <c r="U25" s="169"/>
    </row>
    <row r="26" spans="2:21" x14ac:dyDescent="0.25">
      <c r="B26" s="146"/>
      <c r="C26" s="146"/>
      <c r="D26" s="146"/>
      <c r="E26" s="146"/>
      <c r="F26" s="175"/>
      <c r="G26" s="170">
        <f t="shared" si="4"/>
        <v>2038</v>
      </c>
      <c r="H26" s="171">
        <v>20</v>
      </c>
      <c r="I26" s="172">
        <v>35.93297093333333</v>
      </c>
      <c r="J26" s="172">
        <f t="shared" si="0"/>
        <v>0.97019021519999993</v>
      </c>
      <c r="K26" s="172">
        <f t="shared" si="5"/>
        <v>0</v>
      </c>
      <c r="L26" s="172">
        <v>0</v>
      </c>
      <c r="M26" s="172">
        <v>0</v>
      </c>
      <c r="N26" s="172">
        <f t="shared" si="1"/>
        <v>8.5274296079662282</v>
      </c>
      <c r="O26" s="172">
        <f t="shared" si="2"/>
        <v>243.43985498061846</v>
      </c>
      <c r="P26" s="172">
        <f t="shared" si="3"/>
        <v>24.06144892147092</v>
      </c>
      <c r="Q26" s="166"/>
      <c r="R26" s="167"/>
      <c r="S26" s="168"/>
      <c r="T26" s="169"/>
      <c r="U26" s="169"/>
    </row>
    <row r="27" spans="2:21" x14ac:dyDescent="0.25">
      <c r="C27" s="146"/>
      <c r="D27" s="146"/>
      <c r="E27" s="176"/>
      <c r="F27" s="146"/>
      <c r="G27" s="170">
        <f t="shared" si="4"/>
        <v>2039</v>
      </c>
      <c r="H27" s="177">
        <v>21</v>
      </c>
      <c r="I27" s="172">
        <v>36.909455291666667</v>
      </c>
      <c r="J27" s="172">
        <f>I27*$E$6</f>
        <v>0.996555292875</v>
      </c>
      <c r="K27" s="172">
        <f t="shared" si="5"/>
        <v>0</v>
      </c>
      <c r="L27" s="172">
        <v>0</v>
      </c>
      <c r="M27" s="172">
        <v>0</v>
      </c>
      <c r="N27" s="172">
        <f>(I27+J27+K27+L27+M27)/((1+$E$7)^H27)</f>
        <v>8.140486897179704</v>
      </c>
      <c r="O27" s="172">
        <f>N27+O26</f>
        <v>251.58034187779816</v>
      </c>
      <c r="P27" s="172">
        <f>(-PMT($E$7,H27,(O27)))</f>
        <v>24.349208412079477</v>
      </c>
      <c r="Q27" s="166"/>
      <c r="R27" s="167"/>
      <c r="S27" s="168"/>
      <c r="T27" s="169"/>
      <c r="U27" s="169"/>
    </row>
    <row r="28" spans="2:21" x14ac:dyDescent="0.25">
      <c r="C28" s="146"/>
      <c r="D28" s="146"/>
      <c r="E28" s="176"/>
      <c r="F28" s="146"/>
      <c r="G28" s="170"/>
      <c r="H28" s="177"/>
      <c r="I28" s="146"/>
      <c r="J28" s="146"/>
      <c r="K28" s="146"/>
      <c r="L28" s="146"/>
      <c r="M28" s="146"/>
      <c r="N28" s="146"/>
      <c r="O28" s="146"/>
      <c r="P28" s="146"/>
      <c r="Q28" s="166"/>
      <c r="R28" s="167"/>
      <c r="S28" s="168"/>
      <c r="T28" s="169"/>
      <c r="U28" s="169"/>
    </row>
    <row r="29" spans="2:21" ht="15.6" x14ac:dyDescent="0.3">
      <c r="B29" s="155" t="s">
        <v>30</v>
      </c>
      <c r="C29" s="178" t="s">
        <v>82</v>
      </c>
      <c r="D29" s="146"/>
      <c r="E29" s="176"/>
      <c r="F29" s="146"/>
      <c r="H29" s="146"/>
      <c r="I29" s="146"/>
      <c r="J29" s="146"/>
      <c r="K29" s="146"/>
      <c r="L29" s="146"/>
      <c r="M29" s="146"/>
      <c r="N29" s="146"/>
      <c r="O29" s="146"/>
      <c r="P29" s="146"/>
      <c r="Q29" s="166"/>
      <c r="R29" s="167"/>
      <c r="S29" s="168"/>
      <c r="T29" s="169"/>
      <c r="U29" s="169"/>
    </row>
    <row r="30" spans="2:21" ht="15.6" x14ac:dyDescent="0.3">
      <c r="B30" s="155"/>
      <c r="C30" s="179" t="s">
        <v>83</v>
      </c>
      <c r="D30" s="146"/>
      <c r="E30" s="176"/>
      <c r="F30" s="146"/>
      <c r="H30" s="146"/>
      <c r="I30" s="146"/>
      <c r="J30" s="146"/>
      <c r="K30" s="146"/>
      <c r="L30" s="146"/>
      <c r="M30" s="146"/>
      <c r="N30" s="146"/>
      <c r="O30" s="146"/>
      <c r="P30" s="146"/>
      <c r="Q30" s="166"/>
      <c r="R30" s="167"/>
      <c r="S30" s="168"/>
      <c r="T30" s="169"/>
      <c r="U30" s="169"/>
    </row>
    <row r="31" spans="2:21" ht="15.6" x14ac:dyDescent="0.3">
      <c r="B31" s="155" t="s">
        <v>31</v>
      </c>
      <c r="C31" s="178" t="s">
        <v>84</v>
      </c>
      <c r="D31" s="178"/>
      <c r="F31" s="146"/>
      <c r="Q31" s="146"/>
      <c r="R31" s="146"/>
      <c r="S31" s="146"/>
      <c r="T31" s="146"/>
      <c r="U31" s="146"/>
    </row>
    <row r="32" spans="2:21" ht="15.6" x14ac:dyDescent="0.3">
      <c r="B32" s="147" t="s">
        <v>32</v>
      </c>
      <c r="C32" s="149" t="s">
        <v>85</v>
      </c>
    </row>
    <row r="33" spans="2:3" ht="15.6" x14ac:dyDescent="0.3">
      <c r="B33" s="155" t="s">
        <v>33</v>
      </c>
      <c r="C33" s="149" t="s">
        <v>86</v>
      </c>
    </row>
  </sheetData>
  <hyperlinks>
    <hyperlink ref="C30" r:id="rId1" xr:uid="{00000000-0004-0000-0500-000000000000}"/>
  </hyperlinks>
  <pageMargins left="0.75" right="0.5" top="0.76" bottom="0.79" header="0.5" footer="0.26"/>
  <pageSetup scale="63" orientation="landscape" r:id="rId2"/>
  <headerFooter alignWithMargins="0">
    <oddFooter>&amp;L&amp;F&amp;C&amp;A&amp;RPSE Advice No. 2018-48 &amp;D
Page &amp;P of &amp;N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X30"/>
  <sheetViews>
    <sheetView zoomScale="75" zoomScaleNormal="75" workbookViewId="0"/>
  </sheetViews>
  <sheetFormatPr defaultColWidth="9.109375" defaultRowHeight="15" x14ac:dyDescent="0.25"/>
  <cols>
    <col min="1" max="1" width="2.6640625" style="180" customWidth="1"/>
    <col min="2" max="2" width="25.6640625" style="180" customWidth="1"/>
    <col min="3" max="3" width="17.44140625" style="180" customWidth="1"/>
    <col min="4" max="4" width="15.5546875" style="180" customWidth="1"/>
    <col min="5" max="5" width="2.6640625" style="180" customWidth="1"/>
    <col min="6" max="6" width="9.6640625" style="180" customWidth="1"/>
    <col min="7" max="7" width="16.6640625" style="180" customWidth="1"/>
    <col min="8" max="8" width="16.44140625" style="180" customWidth="1"/>
    <col min="9" max="9" width="18.5546875" style="180" customWidth="1"/>
    <col min="10" max="10" width="19" style="180" customWidth="1"/>
    <col min="11" max="13" width="22.33203125" style="180" customWidth="1"/>
    <col min="14" max="14" width="2.6640625" style="180" customWidth="1"/>
    <col min="15" max="15" width="16.44140625" style="180" customWidth="1"/>
    <col min="16" max="16" width="16.6640625" style="181" customWidth="1"/>
    <col min="17" max="17" width="18.5546875" style="180" customWidth="1"/>
    <col min="18" max="18" width="19" style="180" customWidth="1"/>
    <col min="19" max="21" width="22.33203125" style="180" customWidth="1"/>
    <col min="22" max="22" width="2.6640625" style="180" customWidth="1"/>
    <col min="23" max="24" width="22.33203125" style="180" customWidth="1"/>
    <col min="25" max="16384" width="9.109375" style="180"/>
  </cols>
  <sheetData>
    <row r="1" spans="1:24" x14ac:dyDescent="0.25">
      <c r="B1" s="142"/>
    </row>
    <row r="3" spans="1:24" ht="16.2" thickBot="1" x14ac:dyDescent="0.35">
      <c r="H3" s="182" t="s">
        <v>87</v>
      </c>
    </row>
    <row r="4" spans="1:24" ht="62.4" x14ac:dyDescent="0.3">
      <c r="F4" s="223" t="s">
        <v>14</v>
      </c>
      <c r="G4" s="183" t="s">
        <v>15</v>
      </c>
      <c r="H4" s="183" t="s">
        <v>42</v>
      </c>
      <c r="I4" s="183" t="s">
        <v>45</v>
      </c>
      <c r="J4" s="183" t="s">
        <v>46</v>
      </c>
      <c r="K4" s="224" t="s">
        <v>47</v>
      </c>
      <c r="L4" s="224" t="s">
        <v>47</v>
      </c>
      <c r="M4" s="224" t="s">
        <v>47</v>
      </c>
      <c r="O4" s="183" t="s">
        <v>88</v>
      </c>
      <c r="P4" s="183" t="s">
        <v>77</v>
      </c>
      <c r="Q4" s="183" t="s">
        <v>45</v>
      </c>
      <c r="R4" s="183" t="s">
        <v>46</v>
      </c>
      <c r="S4" s="224" t="s">
        <v>47</v>
      </c>
      <c r="T4" s="224" t="s">
        <v>47</v>
      </c>
      <c r="U4" s="224" t="s">
        <v>47</v>
      </c>
      <c r="W4" s="225" t="s">
        <v>47</v>
      </c>
      <c r="X4" s="226" t="s">
        <v>47</v>
      </c>
    </row>
    <row r="5" spans="1:24" ht="15.6" x14ac:dyDescent="0.3">
      <c r="B5" s="185"/>
      <c r="C5" s="185"/>
      <c r="F5" s="184"/>
      <c r="G5" s="184" t="s">
        <v>23</v>
      </c>
      <c r="H5" s="184" t="s">
        <v>89</v>
      </c>
      <c r="I5" s="184" t="s">
        <v>89</v>
      </c>
      <c r="J5" s="184" t="s">
        <v>89</v>
      </c>
      <c r="K5" s="227" t="s">
        <v>89</v>
      </c>
      <c r="L5" s="227" t="s">
        <v>96</v>
      </c>
      <c r="M5" s="227" t="s">
        <v>97</v>
      </c>
      <c r="O5" s="184" t="s">
        <v>89</v>
      </c>
      <c r="P5" s="184" t="s">
        <v>89</v>
      </c>
      <c r="Q5" s="184" t="s">
        <v>89</v>
      </c>
      <c r="R5" s="184" t="s">
        <v>89</v>
      </c>
      <c r="S5" s="227" t="s">
        <v>89</v>
      </c>
      <c r="T5" s="227" t="s">
        <v>96</v>
      </c>
      <c r="U5" s="227" t="s">
        <v>97</v>
      </c>
      <c r="W5" s="228" t="s">
        <v>96</v>
      </c>
      <c r="X5" s="229" t="s">
        <v>97</v>
      </c>
    </row>
    <row r="6" spans="1:24" ht="15.6" x14ac:dyDescent="0.3">
      <c r="A6" s="185"/>
      <c r="B6" s="185"/>
      <c r="C6" s="186" t="s">
        <v>90</v>
      </c>
      <c r="D6" s="187">
        <v>27.33</v>
      </c>
      <c r="E6" s="188"/>
      <c r="F6" s="189" t="s">
        <v>27</v>
      </c>
      <c r="G6" s="189" t="s">
        <v>28</v>
      </c>
      <c r="H6" s="189" t="s">
        <v>29</v>
      </c>
      <c r="I6" s="189" t="s">
        <v>32</v>
      </c>
      <c r="J6" s="189" t="s">
        <v>33</v>
      </c>
      <c r="K6" s="189" t="s">
        <v>34</v>
      </c>
      <c r="L6" s="189" t="s">
        <v>35</v>
      </c>
      <c r="M6" s="189" t="s">
        <v>79</v>
      </c>
      <c r="O6" s="189" t="s">
        <v>30</v>
      </c>
      <c r="P6" s="189" t="s">
        <v>31</v>
      </c>
      <c r="Q6" s="189" t="s">
        <v>32</v>
      </c>
      <c r="R6" s="189" t="s">
        <v>33</v>
      </c>
      <c r="S6" s="189" t="s">
        <v>34</v>
      </c>
      <c r="T6" s="189" t="s">
        <v>35</v>
      </c>
      <c r="U6" s="189" t="s">
        <v>79</v>
      </c>
      <c r="W6" s="205" t="s">
        <v>35</v>
      </c>
      <c r="X6" s="206" t="s">
        <v>79</v>
      </c>
    </row>
    <row r="7" spans="1:24" ht="15.6" x14ac:dyDescent="0.3">
      <c r="A7" s="185"/>
      <c r="B7" s="185"/>
      <c r="C7" s="186" t="s">
        <v>91</v>
      </c>
      <c r="D7" s="190">
        <v>0</v>
      </c>
      <c r="E7" s="230"/>
      <c r="F7" s="207">
        <v>2019</v>
      </c>
      <c r="G7" s="231">
        <v>1</v>
      </c>
      <c r="H7" s="191">
        <v>72.400000000000006</v>
      </c>
      <c r="I7" s="193">
        <f t="shared" ref="I7:I27" si="0">SUM(H7)/((1+$D$8)^G7)</f>
        <v>67.286245353159856</v>
      </c>
      <c r="J7" s="232">
        <f>I7</f>
        <v>67.286245353159856</v>
      </c>
      <c r="K7" s="232">
        <f t="shared" ref="K7:K27" si="1">(-PMT($D$8,G7,(J7)))</f>
        <v>72.400000000000006</v>
      </c>
      <c r="L7" s="232">
        <v>8.2648401826484026</v>
      </c>
      <c r="M7" s="233">
        <f t="shared" ref="M7:M27" si="2">L7/1000</f>
        <v>8.2648401826484023E-3</v>
      </c>
      <c r="O7" s="192">
        <f>D13</f>
        <v>32.486781647752245</v>
      </c>
      <c r="P7" s="192">
        <f t="shared" ref="P7:P27" si="3">(H7+O7)*$D$7</f>
        <v>0</v>
      </c>
      <c r="Q7" s="192">
        <f t="shared" ref="Q7:Q27" si="4">SUM(O7:P7)/((1+$D$8)^G7)</f>
        <v>30.192176252557847</v>
      </c>
      <c r="R7" s="192">
        <f>Q7</f>
        <v>30.192176252557847</v>
      </c>
      <c r="S7" s="192">
        <f t="shared" ref="S7:S27" si="5">(-PMT($D$8,G7,(R7)))</f>
        <v>32.486781647752245</v>
      </c>
      <c r="T7" s="232">
        <v>3.7085367177799369</v>
      </c>
      <c r="U7" s="233">
        <f t="shared" ref="U7:U20" si="6">T7/1000</f>
        <v>3.7085367177799367E-3</v>
      </c>
      <c r="W7" s="234">
        <f>L7+T7</f>
        <v>11.97337690042834</v>
      </c>
      <c r="X7" s="235">
        <f t="shared" ref="X7:X20" si="7">W7/1000</f>
        <v>1.197337690042834E-2</v>
      </c>
    </row>
    <row r="8" spans="1:24" ht="15.6" x14ac:dyDescent="0.3">
      <c r="A8" s="185"/>
      <c r="B8" s="185"/>
      <c r="C8" s="186" t="s">
        <v>92</v>
      </c>
      <c r="D8" s="190">
        <v>7.5999999999999998E-2</v>
      </c>
      <c r="E8" s="230"/>
      <c r="F8" s="208">
        <f>F7+1</f>
        <v>2020</v>
      </c>
      <c r="G8" s="177">
        <v>2</v>
      </c>
      <c r="H8" s="191">
        <v>72.400000000000006</v>
      </c>
      <c r="I8" s="167">
        <f t="shared" si="0"/>
        <v>62.53368527245339</v>
      </c>
      <c r="J8" s="169">
        <f t="shared" ref="J8:J27" si="8">J7+I8</f>
        <v>129.81993062561324</v>
      </c>
      <c r="K8" s="169">
        <f t="shared" si="1"/>
        <v>72.400000000000006</v>
      </c>
      <c r="L8" s="169">
        <v>8.2422586520947192</v>
      </c>
      <c r="M8" s="236">
        <f t="shared" si="2"/>
        <v>8.2422586520947191E-3</v>
      </c>
      <c r="O8" s="191">
        <f t="shared" ref="O8:O27" si="9">O7+(O7*$D$9)</f>
        <v>33.298951188946049</v>
      </c>
      <c r="P8" s="191">
        <f t="shared" si="3"/>
        <v>0</v>
      </c>
      <c r="Q8" s="191">
        <f t="shared" si="4"/>
        <v>28.761134441330658</v>
      </c>
      <c r="R8" s="191">
        <f t="shared" ref="R8:R12" si="10">R7+Q8</f>
        <v>58.953310693888504</v>
      </c>
      <c r="S8" s="191">
        <f t="shared" si="5"/>
        <v>32.878000116535382</v>
      </c>
      <c r="T8" s="169">
        <v>3.7531963603350893</v>
      </c>
      <c r="U8" s="236">
        <f t="shared" si="6"/>
        <v>3.7531963603350893E-3</v>
      </c>
      <c r="W8" s="234">
        <f t="shared" ref="W8:W27" si="11">L8+T8</f>
        <v>11.995455012429808</v>
      </c>
      <c r="X8" s="235">
        <f t="shared" si="7"/>
        <v>1.1995455012429808E-2</v>
      </c>
    </row>
    <row r="9" spans="1:24" ht="15.6" x14ac:dyDescent="0.3">
      <c r="A9" s="185"/>
      <c r="B9" s="185"/>
      <c r="C9" s="186" t="s">
        <v>93</v>
      </c>
      <c r="D9" s="190">
        <v>2.5000000000000001E-2</v>
      </c>
      <c r="E9" s="237"/>
      <c r="F9" s="208">
        <f t="shared" ref="F9:F27" si="12">F8+1</f>
        <v>2021</v>
      </c>
      <c r="G9" s="177">
        <v>3</v>
      </c>
      <c r="H9" s="191">
        <v>72.400000000000006</v>
      </c>
      <c r="I9" s="167">
        <f t="shared" si="0"/>
        <v>58.116807874027309</v>
      </c>
      <c r="J9" s="169">
        <f t="shared" si="8"/>
        <v>187.93673849964054</v>
      </c>
      <c r="K9" s="169">
        <f t="shared" si="1"/>
        <v>72.399999999999977</v>
      </c>
      <c r="L9" s="169">
        <v>8.264840182648399</v>
      </c>
      <c r="M9" s="236">
        <f t="shared" si="2"/>
        <v>8.2648401826483989E-3</v>
      </c>
      <c r="O9" s="191">
        <f t="shared" si="9"/>
        <v>34.131424968669698</v>
      </c>
      <c r="P9" s="191">
        <f t="shared" si="3"/>
        <v>0</v>
      </c>
      <c r="Q9" s="191">
        <f t="shared" si="4"/>
        <v>27.397920820040817</v>
      </c>
      <c r="R9" s="191">
        <f t="shared" si="10"/>
        <v>86.351231513929321</v>
      </c>
      <c r="S9" s="191">
        <f t="shared" si="5"/>
        <v>33.265604221499459</v>
      </c>
      <c r="T9" s="169">
        <v>3.7870678758537637</v>
      </c>
      <c r="U9" s="236">
        <f t="shared" si="6"/>
        <v>3.7870678758537635E-3</v>
      </c>
      <c r="W9" s="234">
        <f t="shared" si="11"/>
        <v>12.051908058502162</v>
      </c>
      <c r="X9" s="235">
        <f t="shared" si="7"/>
        <v>1.2051908058502162E-2</v>
      </c>
    </row>
    <row r="10" spans="1:24" ht="15.6" x14ac:dyDescent="0.3">
      <c r="B10" s="185"/>
      <c r="C10" s="186"/>
      <c r="D10" s="157"/>
      <c r="E10" s="230"/>
      <c r="F10" s="208">
        <f t="shared" si="12"/>
        <v>2022</v>
      </c>
      <c r="G10" s="177">
        <v>4</v>
      </c>
      <c r="H10" s="191">
        <v>72.400000000000006</v>
      </c>
      <c r="I10" s="167">
        <f t="shared" si="0"/>
        <v>54.011903228649921</v>
      </c>
      <c r="J10" s="169">
        <f t="shared" si="8"/>
        <v>241.94864172829045</v>
      </c>
      <c r="K10" s="169">
        <f t="shared" si="1"/>
        <v>72.399999999999991</v>
      </c>
      <c r="L10" s="169">
        <v>8.2648401826484008</v>
      </c>
      <c r="M10" s="236">
        <f t="shared" si="2"/>
        <v>8.2648401826484006E-3</v>
      </c>
      <c r="O10" s="191">
        <f t="shared" si="9"/>
        <v>34.984710592886444</v>
      </c>
      <c r="P10" s="191">
        <f t="shared" si="3"/>
        <v>0</v>
      </c>
      <c r="Q10" s="191">
        <f t="shared" si="4"/>
        <v>26.099320483774946</v>
      </c>
      <c r="R10" s="191">
        <f t="shared" si="10"/>
        <v>112.45055199770427</v>
      </c>
      <c r="S10" s="191">
        <f t="shared" si="5"/>
        <v>33.649372472099451</v>
      </c>
      <c r="T10" s="169">
        <v>3.8412525653081566</v>
      </c>
      <c r="U10" s="236">
        <f t="shared" si="6"/>
        <v>3.8412525653081565E-3</v>
      </c>
      <c r="W10" s="234">
        <f t="shared" si="11"/>
        <v>12.106092747956557</v>
      </c>
      <c r="X10" s="235">
        <f t="shared" si="7"/>
        <v>1.2106092747956557E-2</v>
      </c>
    </row>
    <row r="11" spans="1:24" ht="15.6" x14ac:dyDescent="0.3">
      <c r="B11" s="185"/>
      <c r="C11" s="186" t="str">
        <f>C6</f>
        <v>Deferred T&amp;D Cost Credit ($/kw-yr) (4):</v>
      </c>
      <c r="D11" s="194" t="s">
        <v>94</v>
      </c>
      <c r="E11" s="230"/>
      <c r="F11" s="177">
        <f t="shared" si="12"/>
        <v>2023</v>
      </c>
      <c r="G11" s="177">
        <v>5</v>
      </c>
      <c r="H11" s="191">
        <v>93</v>
      </c>
      <c r="I11" s="167">
        <f t="shared" si="0"/>
        <v>64.479489723865271</v>
      </c>
      <c r="J11" s="169">
        <f t="shared" si="8"/>
        <v>306.42813145215575</v>
      </c>
      <c r="K11" s="169">
        <f t="shared" si="1"/>
        <v>75.939526051052283</v>
      </c>
      <c r="L11" s="169">
        <v>8.6688956679283429</v>
      </c>
      <c r="M11" s="236">
        <f t="shared" si="2"/>
        <v>8.6688956679283422E-3</v>
      </c>
      <c r="N11" s="238"/>
      <c r="O11" s="191">
        <f t="shared" si="9"/>
        <v>35.859328357708605</v>
      </c>
      <c r="P11" s="191">
        <f t="shared" si="3"/>
        <v>0</v>
      </c>
      <c r="Q11" s="191">
        <f t="shared" si="4"/>
        <v>24.862270906941745</v>
      </c>
      <c r="R11" s="191">
        <f t="shared" si="10"/>
        <v>137.312822904646</v>
      </c>
      <c r="S11" s="191">
        <f t="shared" si="5"/>
        <v>34.029090745341669</v>
      </c>
      <c r="T11" s="169">
        <v>3.8845994001531587</v>
      </c>
      <c r="U11" s="236">
        <f t="shared" si="6"/>
        <v>3.8845994001531587E-3</v>
      </c>
      <c r="V11" s="238"/>
      <c r="W11" s="234">
        <f t="shared" si="11"/>
        <v>12.553495068081501</v>
      </c>
      <c r="X11" s="235">
        <f t="shared" si="7"/>
        <v>1.2553495068081502E-2</v>
      </c>
    </row>
    <row r="12" spans="1:24" ht="15.6" x14ac:dyDescent="0.3">
      <c r="B12" s="239"/>
      <c r="C12" s="195">
        <v>2012</v>
      </c>
      <c r="D12" s="193">
        <f>D6</f>
        <v>27.33</v>
      </c>
      <c r="E12" s="230"/>
      <c r="F12" s="208">
        <f t="shared" si="12"/>
        <v>2024</v>
      </c>
      <c r="G12" s="177">
        <v>6</v>
      </c>
      <c r="H12" s="191">
        <v>93</v>
      </c>
      <c r="I12" s="167">
        <f t="shared" si="0"/>
        <v>59.925176323294849</v>
      </c>
      <c r="J12" s="169">
        <f t="shared" si="8"/>
        <v>366.35330777545062</v>
      </c>
      <c r="K12" s="169">
        <f t="shared" si="1"/>
        <v>78.288706983511759</v>
      </c>
      <c r="L12" s="169">
        <v>8.9126487913833969</v>
      </c>
      <c r="M12" s="236">
        <f t="shared" si="2"/>
        <v>8.9126487913833968E-3</v>
      </c>
      <c r="O12" s="191">
        <f t="shared" si="9"/>
        <v>36.755811566651317</v>
      </c>
      <c r="P12" s="191">
        <f t="shared" si="3"/>
        <v>0</v>
      </c>
      <c r="Q12" s="191">
        <f t="shared" si="4"/>
        <v>23.683854720832048</v>
      </c>
      <c r="R12" s="191">
        <f t="shared" si="10"/>
        <v>160.99667762547804</v>
      </c>
      <c r="S12" s="191">
        <f t="shared" si="5"/>
        <v>34.404552797611082</v>
      </c>
      <c r="T12" s="169">
        <v>3.9274603650240958</v>
      </c>
      <c r="U12" s="236">
        <f t="shared" si="6"/>
        <v>3.9274603650240958E-3</v>
      </c>
      <c r="W12" s="234">
        <f t="shared" si="11"/>
        <v>12.840109156407493</v>
      </c>
      <c r="X12" s="235">
        <f t="shared" si="7"/>
        <v>1.2840109156407493E-2</v>
      </c>
    </row>
    <row r="13" spans="1:24" ht="15.6" x14ac:dyDescent="0.3">
      <c r="B13" s="239"/>
      <c r="C13" s="196">
        <f>F7</f>
        <v>2019</v>
      </c>
      <c r="D13" s="197">
        <f>D12*((1+$D$9)^($C$13-$C$12))</f>
        <v>32.486781647752245</v>
      </c>
      <c r="E13" s="230"/>
      <c r="F13" s="208">
        <f t="shared" si="12"/>
        <v>2025</v>
      </c>
      <c r="G13" s="177">
        <v>7</v>
      </c>
      <c r="H13" s="191">
        <v>80</v>
      </c>
      <c r="I13" s="167">
        <f t="shared" si="0"/>
        <v>47.907563915173561</v>
      </c>
      <c r="J13" s="169">
        <f>J12+I13</f>
        <v>414.26087169062419</v>
      </c>
      <c r="K13" s="169">
        <f t="shared" si="1"/>
        <v>78.482857867865675</v>
      </c>
      <c r="L13" s="169">
        <v>8.9592303502129766</v>
      </c>
      <c r="M13" s="236">
        <f t="shared" si="2"/>
        <v>8.959230350212977E-3</v>
      </c>
      <c r="O13" s="191">
        <f>O12+(O12*$D$9)</f>
        <v>37.674706855817604</v>
      </c>
      <c r="P13" s="191">
        <f t="shared" si="3"/>
        <v>0</v>
      </c>
      <c r="Q13" s="191">
        <f t="shared" si="4"/>
        <v>22.561292833506368</v>
      </c>
      <c r="R13" s="191">
        <f>R12+Q13</f>
        <v>183.55797045898441</v>
      </c>
      <c r="S13" s="191">
        <f t="shared" si="5"/>
        <v>34.775560740877978</v>
      </c>
      <c r="T13" s="169">
        <v>3.9589663867119738</v>
      </c>
      <c r="U13" s="236">
        <f t="shared" si="6"/>
        <v>3.9589663867119736E-3</v>
      </c>
      <c r="W13" s="234">
        <f t="shared" si="11"/>
        <v>12.918196736924951</v>
      </c>
      <c r="X13" s="235">
        <f t="shared" si="7"/>
        <v>1.2918196736924951E-2</v>
      </c>
    </row>
    <row r="14" spans="1:24" x14ac:dyDescent="0.25">
      <c r="B14" s="239"/>
      <c r="C14" s="240"/>
      <c r="D14" s="240"/>
      <c r="E14" s="230"/>
      <c r="F14" s="208">
        <f t="shared" si="12"/>
        <v>2026</v>
      </c>
      <c r="G14" s="177">
        <v>8</v>
      </c>
      <c r="H14" s="191">
        <v>80</v>
      </c>
      <c r="I14" s="167">
        <f t="shared" si="0"/>
        <v>44.523758285477285</v>
      </c>
      <c r="J14" s="169">
        <f t="shared" si="8"/>
        <v>458.78462997610148</v>
      </c>
      <c r="K14" s="169">
        <f t="shared" si="1"/>
        <v>78.627566378115333</v>
      </c>
      <c r="L14" s="169">
        <v>8.9757495865428449</v>
      </c>
      <c r="M14" s="236">
        <f t="shared" si="2"/>
        <v>8.9757495865428454E-3</v>
      </c>
      <c r="O14" s="191">
        <f t="shared" si="9"/>
        <v>38.616574527213047</v>
      </c>
      <c r="P14" s="191">
        <f t="shared" si="3"/>
        <v>0</v>
      </c>
      <c r="Q14" s="191">
        <f t="shared" si="4"/>
        <v>21.491937875784412</v>
      </c>
      <c r="R14" s="191">
        <f t="shared" ref="R14:R20" si="13">R13+Q14</f>
        <v>205.04990833476882</v>
      </c>
      <c r="S14" s="191">
        <f t="shared" si="5"/>
        <v>35.141925480935008</v>
      </c>
      <c r="T14" s="169">
        <v>4.0116353288738589</v>
      </c>
      <c r="U14" s="236">
        <f t="shared" si="6"/>
        <v>4.0116353288738591E-3</v>
      </c>
      <c r="W14" s="234">
        <f t="shared" si="11"/>
        <v>12.987384915416705</v>
      </c>
      <c r="X14" s="235">
        <f t="shared" si="7"/>
        <v>1.2987384915416705E-2</v>
      </c>
    </row>
    <row r="15" spans="1:24" x14ac:dyDescent="0.25">
      <c r="B15" s="240"/>
      <c r="C15" s="241"/>
      <c r="D15" s="241"/>
      <c r="E15" s="230"/>
      <c r="F15" s="208">
        <f t="shared" si="12"/>
        <v>2027</v>
      </c>
      <c r="G15" s="177">
        <v>9</v>
      </c>
      <c r="H15" s="191">
        <v>80.477938899565444</v>
      </c>
      <c r="I15" s="167">
        <f t="shared" si="0"/>
        <v>41.626165182128965</v>
      </c>
      <c r="J15" s="169">
        <f t="shared" si="8"/>
        <v>500.41079515823043</v>
      </c>
      <c r="K15" s="169">
        <f t="shared" si="1"/>
        <v>78.778236907903135</v>
      </c>
      <c r="L15" s="169">
        <v>8.9929494187104027</v>
      </c>
      <c r="M15" s="236">
        <f t="shared" si="2"/>
        <v>8.9929494187104032E-3</v>
      </c>
      <c r="O15" s="191">
        <f t="shared" si="9"/>
        <v>39.581988890393376</v>
      </c>
      <c r="P15" s="191">
        <f t="shared" si="3"/>
        <v>0</v>
      </c>
      <c r="Q15" s="191">
        <f t="shared" si="4"/>
        <v>20.473267957880132</v>
      </c>
      <c r="R15" s="191">
        <f t="shared" si="13"/>
        <v>225.52317629264894</v>
      </c>
      <c r="S15" s="191">
        <f t="shared" si="5"/>
        <v>35.503467115627224</v>
      </c>
      <c r="T15" s="169">
        <v>4.0529072049802766</v>
      </c>
      <c r="U15" s="236">
        <f t="shared" si="6"/>
        <v>4.0529072049802764E-3</v>
      </c>
      <c r="W15" s="234">
        <f t="shared" si="11"/>
        <v>13.045856623690678</v>
      </c>
      <c r="X15" s="235">
        <f t="shared" si="7"/>
        <v>1.3045856623690679E-2</v>
      </c>
    </row>
    <row r="16" spans="1:24" x14ac:dyDescent="0.25">
      <c r="B16" s="240"/>
      <c r="C16" s="241"/>
      <c r="D16" s="241"/>
      <c r="E16" s="230"/>
      <c r="F16" s="177">
        <f t="shared" si="12"/>
        <v>2028</v>
      </c>
      <c r="G16" s="177">
        <v>10</v>
      </c>
      <c r="H16" s="191">
        <v>80.477938899565444</v>
      </c>
      <c r="I16" s="167">
        <f t="shared" si="0"/>
        <v>38.686027120937702</v>
      </c>
      <c r="J16" s="169">
        <f t="shared" si="8"/>
        <v>539.09682227916812</v>
      </c>
      <c r="K16" s="169">
        <f t="shared" si="1"/>
        <v>78.897814077400454</v>
      </c>
      <c r="L16" s="169">
        <v>8.981991584403513</v>
      </c>
      <c r="M16" s="236">
        <f t="shared" si="2"/>
        <v>8.9819915844035134E-3</v>
      </c>
      <c r="N16" s="238"/>
      <c r="O16" s="191">
        <f t="shared" si="9"/>
        <v>40.571538612653214</v>
      </c>
      <c r="P16" s="191">
        <f t="shared" si="3"/>
        <v>0</v>
      </c>
      <c r="Q16" s="191">
        <f t="shared" si="4"/>
        <v>19.502880721958309</v>
      </c>
      <c r="R16" s="191">
        <f t="shared" si="13"/>
        <v>245.02605701460726</v>
      </c>
      <c r="S16" s="191">
        <f t="shared" si="5"/>
        <v>35.860015291364554</v>
      </c>
      <c r="T16" s="169">
        <v>4.0936090515256343</v>
      </c>
      <c r="U16" s="236">
        <f t="shared" si="6"/>
        <v>4.0936090515256342E-3</v>
      </c>
      <c r="V16" s="238"/>
      <c r="W16" s="234">
        <f t="shared" si="11"/>
        <v>13.075600635929147</v>
      </c>
      <c r="X16" s="235">
        <f t="shared" si="7"/>
        <v>1.3075600635929148E-2</v>
      </c>
    </row>
    <row r="17" spans="2:24" x14ac:dyDescent="0.25">
      <c r="B17" s="240"/>
      <c r="C17" s="241"/>
      <c r="D17" s="241"/>
      <c r="E17" s="230"/>
      <c r="F17" s="208">
        <f t="shared" si="12"/>
        <v>2029</v>
      </c>
      <c r="G17" s="177">
        <v>11</v>
      </c>
      <c r="H17" s="191">
        <v>80.477938899565444</v>
      </c>
      <c r="I17" s="167">
        <f t="shared" si="0"/>
        <v>35.953556803845437</v>
      </c>
      <c r="J17" s="169">
        <f t="shared" si="8"/>
        <v>575.05037908301358</v>
      </c>
      <c r="K17" s="169">
        <f t="shared" si="1"/>
        <v>78.994786656707319</v>
      </c>
      <c r="L17" s="169">
        <v>9.0176697096697858</v>
      </c>
      <c r="M17" s="236">
        <f t="shared" si="2"/>
        <v>9.0176697096697855E-3</v>
      </c>
      <c r="O17" s="191">
        <f t="shared" si="9"/>
        <v>41.585827077969547</v>
      </c>
      <c r="P17" s="191">
        <f t="shared" si="3"/>
        <v>0</v>
      </c>
      <c r="Q17" s="191">
        <f t="shared" si="4"/>
        <v>18.578487676586676</v>
      </c>
      <c r="R17" s="191">
        <f t="shared" si="13"/>
        <v>263.60454469119395</v>
      </c>
      <c r="S17" s="191">
        <f t="shared" si="5"/>
        <v>36.211409516544805</v>
      </c>
      <c r="T17" s="169">
        <v>4.1224282236503651</v>
      </c>
      <c r="U17" s="236">
        <f t="shared" si="6"/>
        <v>4.1224282236503648E-3</v>
      </c>
      <c r="W17" s="234">
        <f t="shared" si="11"/>
        <v>13.140097933320151</v>
      </c>
      <c r="X17" s="235">
        <f t="shared" si="7"/>
        <v>1.314009793332015E-2</v>
      </c>
    </row>
    <row r="18" spans="2:24" x14ac:dyDescent="0.25">
      <c r="B18" s="241"/>
      <c r="C18" s="241"/>
      <c r="D18" s="241"/>
      <c r="E18" s="230"/>
      <c r="F18" s="208">
        <f t="shared" si="12"/>
        <v>2030</v>
      </c>
      <c r="G18" s="177">
        <v>12</v>
      </c>
      <c r="H18" s="191">
        <v>80.477938899565444</v>
      </c>
      <c r="I18" s="167">
        <f t="shared" si="0"/>
        <v>33.414086248926992</v>
      </c>
      <c r="J18" s="169">
        <f t="shared" si="8"/>
        <v>608.46446533194057</v>
      </c>
      <c r="K18" s="169">
        <f t="shared" si="1"/>
        <v>79.074814560014715</v>
      </c>
      <c r="L18" s="169">
        <v>9.0268053150701739</v>
      </c>
      <c r="M18" s="236">
        <f t="shared" si="2"/>
        <v>9.0268053150701737E-3</v>
      </c>
      <c r="O18" s="191">
        <f t="shared" si="9"/>
        <v>42.625472754918789</v>
      </c>
      <c r="P18" s="191">
        <f t="shared" si="3"/>
        <v>0</v>
      </c>
      <c r="Q18" s="191">
        <f t="shared" si="4"/>
        <v>17.697908799722438</v>
      </c>
      <c r="R18" s="191">
        <f t="shared" si="13"/>
        <v>281.30245349091638</v>
      </c>
      <c r="S18" s="191">
        <f t="shared" si="5"/>
        <v>36.557499430860695</v>
      </c>
      <c r="T18" s="169">
        <v>4.1732305286370659</v>
      </c>
      <c r="U18" s="236">
        <f t="shared" si="6"/>
        <v>4.1732305286370655E-3</v>
      </c>
      <c r="W18" s="234">
        <f t="shared" si="11"/>
        <v>13.200035843707241</v>
      </c>
      <c r="X18" s="235">
        <f t="shared" si="7"/>
        <v>1.320003584370724E-2</v>
      </c>
    </row>
    <row r="19" spans="2:24" x14ac:dyDescent="0.25">
      <c r="B19" s="241"/>
      <c r="C19" s="241"/>
      <c r="D19" s="241"/>
      <c r="E19" s="175"/>
      <c r="F19" s="208">
        <f t="shared" si="12"/>
        <v>2031</v>
      </c>
      <c r="G19" s="177">
        <v>13</v>
      </c>
      <c r="H19" s="191">
        <v>84.157096346974001</v>
      </c>
      <c r="I19" s="167">
        <f t="shared" si="0"/>
        <v>32.473658214051021</v>
      </c>
      <c r="J19" s="169">
        <f t="shared" si="8"/>
        <v>640.93812354599163</v>
      </c>
      <c r="K19" s="169">
        <f t="shared" si="1"/>
        <v>79.31750471109811</v>
      </c>
      <c r="L19" s="169">
        <v>9.0545096702166799</v>
      </c>
      <c r="M19" s="236">
        <f t="shared" si="2"/>
        <v>9.0545096702166795E-3</v>
      </c>
      <c r="O19" s="191">
        <f t="shared" si="9"/>
        <v>43.691109573791756</v>
      </c>
      <c r="P19" s="191">
        <f t="shared" si="3"/>
        <v>0</v>
      </c>
      <c r="Q19" s="191">
        <f t="shared" si="4"/>
        <v>16.859067397505111</v>
      </c>
      <c r="R19" s="191">
        <f t="shared" si="13"/>
        <v>298.16152088842148</v>
      </c>
      <c r="S19" s="191">
        <f t="shared" si="5"/>
        <v>36.898145029811978</v>
      </c>
      <c r="T19" s="169">
        <v>4.2121170125356135</v>
      </c>
      <c r="U19" s="236">
        <f t="shared" si="6"/>
        <v>4.2121170125356136E-3</v>
      </c>
      <c r="W19" s="234">
        <f t="shared" si="11"/>
        <v>13.266626682752293</v>
      </c>
      <c r="X19" s="235">
        <f t="shared" si="7"/>
        <v>1.3266626682752292E-2</v>
      </c>
    </row>
    <row r="20" spans="2:24" x14ac:dyDescent="0.25">
      <c r="B20" s="241"/>
      <c r="C20" s="241"/>
      <c r="D20" s="241"/>
      <c r="E20" s="175"/>
      <c r="F20" s="208">
        <f t="shared" si="12"/>
        <v>2032</v>
      </c>
      <c r="G20" s="177">
        <v>14</v>
      </c>
      <c r="H20" s="191">
        <v>84.157096346974001</v>
      </c>
      <c r="I20" s="167">
        <f t="shared" si="0"/>
        <v>30.179979752835514</v>
      </c>
      <c r="J20" s="169">
        <f t="shared" si="8"/>
        <v>671.11810329882712</v>
      </c>
      <c r="K20" s="169">
        <f t="shared" si="1"/>
        <v>79.523156064795884</v>
      </c>
      <c r="L20" s="169">
        <v>9.0531826121124652</v>
      </c>
      <c r="M20" s="236">
        <f t="shared" si="2"/>
        <v>9.0531826121124648E-3</v>
      </c>
      <c r="O20" s="191">
        <f t="shared" si="9"/>
        <v>44.783387313136551</v>
      </c>
      <c r="P20" s="191">
        <f t="shared" si="3"/>
        <v>0</v>
      </c>
      <c r="Q20" s="191">
        <f t="shared" si="4"/>
        <v>16.059985206731167</v>
      </c>
      <c r="R20" s="191">
        <f t="shared" si="13"/>
        <v>314.22150609515262</v>
      </c>
      <c r="S20" s="191">
        <f t="shared" si="5"/>
        <v>37.233216844090613</v>
      </c>
      <c r="T20" s="169">
        <v>4.2503672196450477</v>
      </c>
      <c r="U20" s="236">
        <f t="shared" si="6"/>
        <v>4.2503672196450475E-3</v>
      </c>
      <c r="W20" s="234">
        <f t="shared" si="11"/>
        <v>13.303549831757513</v>
      </c>
      <c r="X20" s="235">
        <f t="shared" si="7"/>
        <v>1.3303549831757513E-2</v>
      </c>
    </row>
    <row r="21" spans="2:24" s="238" customFormat="1" x14ac:dyDescent="0.25">
      <c r="B21" s="241"/>
      <c r="C21" s="241"/>
      <c r="D21" s="241"/>
      <c r="E21" s="175"/>
      <c r="F21" s="177">
        <f t="shared" si="12"/>
        <v>2033</v>
      </c>
      <c r="G21" s="177">
        <v>15</v>
      </c>
      <c r="H21" s="191">
        <v>84.157096346974001</v>
      </c>
      <c r="I21" s="167">
        <f t="shared" si="0"/>
        <v>28.048308320479101</v>
      </c>
      <c r="J21" s="169">
        <f>J20+I21</f>
        <v>699.16641161930625</v>
      </c>
      <c r="K21" s="169">
        <f t="shared" si="1"/>
        <v>79.699207597295555</v>
      </c>
      <c r="L21" s="169">
        <v>9.098083059052005</v>
      </c>
      <c r="M21" s="236">
        <f>L21/1000</f>
        <v>9.0980830590520045E-3</v>
      </c>
      <c r="O21" s="191">
        <f t="shared" si="9"/>
        <v>45.902971995964961</v>
      </c>
      <c r="P21" s="191">
        <f t="shared" si="3"/>
        <v>0</v>
      </c>
      <c r="Q21" s="191">
        <f t="shared" si="4"/>
        <v>15.298777729460449</v>
      </c>
      <c r="R21" s="191">
        <f>R20+Q21</f>
        <v>329.52028382461305</v>
      </c>
      <c r="S21" s="191">
        <f t="shared" si="5"/>
        <v>37.562596073847779</v>
      </c>
      <c r="T21" s="169">
        <v>4.276251829900704</v>
      </c>
      <c r="U21" s="236">
        <f>T21/1000</f>
        <v>4.2762518299007037E-3</v>
      </c>
      <c r="W21" s="234">
        <f t="shared" si="11"/>
        <v>13.37433488895271</v>
      </c>
      <c r="X21" s="235">
        <f>W21/1000</f>
        <v>1.337433488895271E-2</v>
      </c>
    </row>
    <row r="22" spans="2:24" x14ac:dyDescent="0.25">
      <c r="B22" s="241"/>
      <c r="C22" s="241"/>
      <c r="D22" s="241"/>
      <c r="E22" s="175"/>
      <c r="F22" s="208">
        <f t="shared" si="12"/>
        <v>2034</v>
      </c>
      <c r="G22" s="177">
        <v>16</v>
      </c>
      <c r="H22" s="191">
        <v>88.306829270347322</v>
      </c>
      <c r="I22" s="167">
        <f t="shared" si="0"/>
        <v>27.352558154128563</v>
      </c>
      <c r="J22" s="169">
        <f t="shared" si="8"/>
        <v>726.51896977343483</v>
      </c>
      <c r="K22" s="169">
        <f t="shared" si="1"/>
        <v>79.992763332985206</v>
      </c>
      <c r="L22" s="169">
        <v>9.1315939877836989</v>
      </c>
      <c r="M22" s="236">
        <f t="shared" si="2"/>
        <v>9.1315939877836989E-3</v>
      </c>
      <c r="O22" s="191">
        <f t="shared" si="9"/>
        <v>47.050546295864088</v>
      </c>
      <c r="P22" s="191">
        <f t="shared" si="3"/>
        <v>0</v>
      </c>
      <c r="Q22" s="191">
        <f t="shared" si="4"/>
        <v>14.573649788751824</v>
      </c>
      <c r="R22" s="191">
        <f t="shared" ref="R22:R27" si="14">R21+Q22</f>
        <v>344.09393361336487</v>
      </c>
      <c r="S22" s="191">
        <f t="shared" si="5"/>
        <v>37.886174678182883</v>
      </c>
      <c r="T22" s="169">
        <v>4.324905785180694</v>
      </c>
      <c r="U22" s="236">
        <f t="shared" ref="U22:U27" si="15">T22/1000</f>
        <v>4.3249057851806943E-3</v>
      </c>
      <c r="W22" s="234">
        <f t="shared" si="11"/>
        <v>13.456499772964392</v>
      </c>
      <c r="X22" s="235">
        <f t="shared" ref="X22:X27" si="16">W22/1000</f>
        <v>1.3456499772964392E-2</v>
      </c>
    </row>
    <row r="23" spans="2:24" x14ac:dyDescent="0.25">
      <c r="B23" s="241"/>
      <c r="C23" s="241"/>
      <c r="D23" s="241"/>
      <c r="E23" s="175"/>
      <c r="F23" s="208">
        <f t="shared" si="12"/>
        <v>2035</v>
      </c>
      <c r="G23" s="177">
        <v>17</v>
      </c>
      <c r="H23" s="191">
        <v>88.306829270347322</v>
      </c>
      <c r="I23" s="167">
        <f t="shared" si="0"/>
        <v>25.42059308004513</v>
      </c>
      <c r="J23" s="169">
        <f t="shared" si="8"/>
        <v>751.93956285347997</v>
      </c>
      <c r="K23" s="169">
        <f t="shared" si="1"/>
        <v>80.248184645941549</v>
      </c>
      <c r="L23" s="169">
        <v>9.1607516719111359</v>
      </c>
      <c r="M23" s="236">
        <f t="shared" si="2"/>
        <v>9.1607516719111361E-3</v>
      </c>
      <c r="O23" s="191">
        <f t="shared" si="9"/>
        <v>48.226809953260691</v>
      </c>
      <c r="P23" s="191">
        <f t="shared" si="3"/>
        <v>0</v>
      </c>
      <c r="Q23" s="191">
        <f t="shared" si="4"/>
        <v>13.882891295047045</v>
      </c>
      <c r="R23" s="191">
        <f t="shared" si="14"/>
        <v>357.97682490841191</v>
      </c>
      <c r="S23" s="191">
        <f t="shared" si="5"/>
        <v>38.203855420513044</v>
      </c>
      <c r="T23" s="169">
        <v>4.3611707101042292</v>
      </c>
      <c r="U23" s="236">
        <f t="shared" si="15"/>
        <v>4.361170710104229E-3</v>
      </c>
      <c r="W23" s="234">
        <f t="shared" si="11"/>
        <v>13.521922382015365</v>
      </c>
      <c r="X23" s="235">
        <f t="shared" si="16"/>
        <v>1.3521922382015366E-2</v>
      </c>
    </row>
    <row r="24" spans="2:24" x14ac:dyDescent="0.25">
      <c r="B24" s="241"/>
      <c r="C24" s="241"/>
      <c r="D24" s="241"/>
      <c r="E24" s="175"/>
      <c r="F24" s="208">
        <f t="shared" si="12"/>
        <v>2036</v>
      </c>
      <c r="G24" s="177">
        <v>18</v>
      </c>
      <c r="H24" s="191">
        <v>91.089450907608253</v>
      </c>
      <c r="I24" s="167">
        <f t="shared" si="0"/>
        <v>24.369532630973136</v>
      </c>
      <c r="J24" s="169">
        <f t="shared" si="8"/>
        <v>776.30909548445311</v>
      </c>
      <c r="K24" s="169">
        <f t="shared" si="1"/>
        <v>80.549128374664804</v>
      </c>
      <c r="L24" s="169">
        <v>9.1699827384636627</v>
      </c>
      <c r="M24" s="236">
        <f t="shared" si="2"/>
        <v>9.1699827384636619E-3</v>
      </c>
      <c r="O24" s="191">
        <f t="shared" si="9"/>
        <v>49.432480202092208</v>
      </c>
      <c r="P24" s="191">
        <f t="shared" si="3"/>
        <v>0</v>
      </c>
      <c r="Q24" s="191">
        <f t="shared" si="4"/>
        <v>13.224873213218606</v>
      </c>
      <c r="R24" s="191">
        <f t="shared" si="14"/>
        <v>371.2016981216305</v>
      </c>
      <c r="S24" s="191">
        <f t="shared" si="5"/>
        <v>38.515551870783902</v>
      </c>
      <c r="T24" s="169">
        <v>4.3967524966648295</v>
      </c>
      <c r="U24" s="236">
        <f t="shared" si="15"/>
        <v>4.3967524966648294E-3</v>
      </c>
      <c r="W24" s="234">
        <f t="shared" si="11"/>
        <v>13.566735235128492</v>
      </c>
      <c r="X24" s="235">
        <f t="shared" si="16"/>
        <v>1.3566735235128493E-2</v>
      </c>
    </row>
    <row r="25" spans="2:24" x14ac:dyDescent="0.25">
      <c r="B25" s="241"/>
      <c r="C25" s="241"/>
      <c r="D25" s="241"/>
      <c r="E25" s="175"/>
      <c r="F25" s="208">
        <f t="shared" si="12"/>
        <v>2037</v>
      </c>
      <c r="G25" s="177">
        <v>19</v>
      </c>
      <c r="H25" s="191">
        <v>91.089450907608253</v>
      </c>
      <c r="I25" s="167">
        <f t="shared" si="0"/>
        <v>22.648264526926706</v>
      </c>
      <c r="J25" s="169">
        <f t="shared" si="8"/>
        <v>798.95736001137982</v>
      </c>
      <c r="K25" s="169">
        <f t="shared" si="1"/>
        <v>80.814213215266548</v>
      </c>
      <c r="L25" s="169">
        <v>9.2253668053957245</v>
      </c>
      <c r="M25" s="236">
        <f t="shared" si="2"/>
        <v>9.2253668053957245E-3</v>
      </c>
      <c r="O25" s="191">
        <f t="shared" si="9"/>
        <v>50.668292207144511</v>
      </c>
      <c r="P25" s="191">
        <f t="shared" si="3"/>
        <v>0</v>
      </c>
      <c r="Q25" s="191">
        <f t="shared" si="4"/>
        <v>12.59804372077051</v>
      </c>
      <c r="R25" s="191">
        <f t="shared" si="14"/>
        <v>383.79974184240103</v>
      </c>
      <c r="S25" s="191">
        <f t="shared" si="5"/>
        <v>38.821188365764954</v>
      </c>
      <c r="T25" s="169">
        <v>4.4195341946453732</v>
      </c>
      <c r="U25" s="236">
        <f t="shared" si="15"/>
        <v>4.4195341946453729E-3</v>
      </c>
      <c r="W25" s="234">
        <f t="shared" si="11"/>
        <v>13.644901000041099</v>
      </c>
      <c r="X25" s="235">
        <f t="shared" si="16"/>
        <v>1.3644901000041098E-2</v>
      </c>
    </row>
    <row r="26" spans="2:24" x14ac:dyDescent="0.25">
      <c r="B26" s="241"/>
      <c r="C26" s="241"/>
      <c r="D26" s="241"/>
      <c r="E26" s="175"/>
      <c r="F26" s="208">
        <f t="shared" si="12"/>
        <v>2038</v>
      </c>
      <c r="G26" s="177">
        <v>20</v>
      </c>
      <c r="H26" s="191">
        <v>91.089450907608253</v>
      </c>
      <c r="I26" s="167">
        <f t="shared" si="0"/>
        <v>21.048572980415155</v>
      </c>
      <c r="J26" s="169">
        <f t="shared" si="8"/>
        <v>820.00593299179502</v>
      </c>
      <c r="K26" s="169">
        <f t="shared" si="1"/>
        <v>81.048893467160639</v>
      </c>
      <c r="L26" s="169">
        <v>9.2521567884886569</v>
      </c>
      <c r="M26" s="236">
        <f t="shared" si="2"/>
        <v>9.2521567884886573E-3</v>
      </c>
      <c r="O26" s="191">
        <f t="shared" si="9"/>
        <v>51.934999512323124</v>
      </c>
      <c r="P26" s="191">
        <f t="shared" si="3"/>
        <v>0</v>
      </c>
      <c r="Q26" s="191">
        <f t="shared" si="4"/>
        <v>12.00092454813176</v>
      </c>
      <c r="R26" s="191">
        <f t="shared" si="14"/>
        <v>395.8006663905328</v>
      </c>
      <c r="S26" s="191">
        <f t="shared" si="5"/>
        <v>39.120699928933888</v>
      </c>
      <c r="T26" s="169">
        <v>4.4658333252207632</v>
      </c>
      <c r="U26" s="236">
        <f t="shared" si="15"/>
        <v>4.4658333252207633E-3</v>
      </c>
      <c r="W26" s="234">
        <f t="shared" si="11"/>
        <v>13.717990113709419</v>
      </c>
      <c r="X26" s="235">
        <f t="shared" si="16"/>
        <v>1.371799011370942E-2</v>
      </c>
    </row>
    <row r="27" spans="2:24" ht="15.6" thickBot="1" x14ac:dyDescent="0.3">
      <c r="F27" s="208">
        <f t="shared" si="12"/>
        <v>2039</v>
      </c>
      <c r="G27" s="177">
        <v>21</v>
      </c>
      <c r="H27" s="191">
        <v>91.089450907608253</v>
      </c>
      <c r="I27" s="167">
        <f t="shared" si="0"/>
        <v>19.561870799642332</v>
      </c>
      <c r="J27" s="169">
        <f t="shared" si="8"/>
        <v>839.56780379143731</v>
      </c>
      <c r="K27" s="169">
        <f t="shared" si="1"/>
        <v>81.257586654045426</v>
      </c>
      <c r="L27" s="169">
        <v>9.2759802116490206</v>
      </c>
      <c r="M27" s="236">
        <f t="shared" si="2"/>
        <v>9.2759802116490209E-3</v>
      </c>
      <c r="O27" s="191">
        <f t="shared" si="9"/>
        <v>53.233374500131205</v>
      </c>
      <c r="P27" s="191">
        <f t="shared" si="3"/>
        <v>0</v>
      </c>
      <c r="Q27" s="191">
        <f t="shared" si="4"/>
        <v>11.43210749241176</v>
      </c>
      <c r="R27" s="191">
        <f t="shared" si="14"/>
        <v>407.23277388294457</v>
      </c>
      <c r="S27" s="191">
        <f t="shared" si="5"/>
        <v>39.414032151691401</v>
      </c>
      <c r="T27" s="169">
        <v>4.4993187387775571</v>
      </c>
      <c r="U27" s="236">
        <f t="shared" si="15"/>
        <v>4.4993187387775569E-3</v>
      </c>
      <c r="W27" s="242">
        <f t="shared" si="11"/>
        <v>13.775298950426578</v>
      </c>
      <c r="X27" s="243">
        <f t="shared" si="16"/>
        <v>1.3775298950426578E-2</v>
      </c>
    </row>
    <row r="28" spans="2:24" x14ac:dyDescent="0.25">
      <c r="C28" s="198"/>
      <c r="F28" s="208"/>
      <c r="G28" s="177"/>
      <c r="H28" s="199"/>
      <c r="I28" s="202"/>
      <c r="J28" s="203"/>
      <c r="K28" s="244"/>
      <c r="L28" s="244"/>
      <c r="M28" s="244"/>
      <c r="O28" s="200"/>
      <c r="P28" s="201"/>
      <c r="Q28" s="202"/>
      <c r="R28" s="203"/>
      <c r="S28" s="244"/>
      <c r="T28" s="244"/>
      <c r="U28" s="244"/>
      <c r="W28" s="244"/>
      <c r="X28" s="244"/>
    </row>
    <row r="29" spans="2:24" x14ac:dyDescent="0.25">
      <c r="B29" s="204" t="s">
        <v>98</v>
      </c>
      <c r="C29" s="198"/>
      <c r="F29" s="204"/>
      <c r="G29" s="177"/>
      <c r="H29" s="199"/>
      <c r="I29" s="204"/>
      <c r="J29" s="204"/>
      <c r="K29" s="204"/>
      <c r="L29" s="204"/>
      <c r="M29" s="204"/>
      <c r="O29" s="200"/>
      <c r="P29" s="201"/>
      <c r="Q29" s="204"/>
      <c r="R29" s="204"/>
      <c r="S29" s="204"/>
      <c r="T29" s="204"/>
      <c r="U29" s="204"/>
      <c r="W29" s="204"/>
      <c r="X29" s="204"/>
    </row>
    <row r="30" spans="2:24" ht="51.75" customHeight="1" x14ac:dyDescent="0.25">
      <c r="B30" s="250" t="s">
        <v>95</v>
      </c>
      <c r="C30" s="250"/>
      <c r="D30" s="250"/>
      <c r="E30" s="250"/>
      <c r="F30" s="250"/>
      <c r="G30" s="250"/>
      <c r="H30" s="250"/>
      <c r="I30" s="250"/>
      <c r="J30" s="250"/>
      <c r="K30" s="250"/>
      <c r="L30" s="250"/>
      <c r="M30" s="250"/>
      <c r="P30" s="180"/>
      <c r="Q30" s="245"/>
      <c r="R30" s="245"/>
    </row>
  </sheetData>
  <mergeCells count="1">
    <mergeCell ref="B30:M30"/>
  </mergeCells>
  <pageMargins left="0.75" right="0.5" top="0.76" bottom="0.79" header="0.5" footer="0.26"/>
  <pageSetup scale="64" orientation="landscape" r:id="rId1"/>
  <headerFooter alignWithMargins="0">
    <oddFooter>&amp;L&amp;F&amp;C&amp;A&amp;RPSE Advice No. 2018-48 &amp;D
Page &amp;P of &amp;N</oddFooter>
  </headerFooter>
  <drawing r:id="rId2"/>
  <legacyDrawing r:id="rId3"/>
  <controls>
    <mc:AlternateContent xmlns:mc="http://schemas.openxmlformats.org/markup-compatibility/2006">
      <mc:Choice Requires="x14">
        <control shapeId="10241" r:id="rId4" name="Control 1">
          <controlPr defaultSize="0" r:id="rId5">
            <anchor moveWithCells="1">
              <from>
                <xdr:col>6</xdr:col>
                <xdr:colOff>571500</xdr:colOff>
                <xdr:row>2</xdr:row>
                <xdr:rowOff>91440</xdr:rowOff>
              </from>
              <to>
                <xdr:col>6</xdr:col>
                <xdr:colOff>739140</xdr:colOff>
                <xdr:row>3</xdr:row>
                <xdr:rowOff>68580</xdr:rowOff>
              </to>
            </anchor>
          </controlPr>
        </control>
      </mc:Choice>
      <mc:Fallback>
        <control shapeId="10241" r:id="rId4" name="Control 1"/>
      </mc:Fallback>
    </mc:AlternateContent>
    <mc:AlternateContent xmlns:mc="http://schemas.openxmlformats.org/markup-compatibility/2006">
      <mc:Choice Requires="x14">
        <control shapeId="10242" r:id="rId6" name="Control 2">
          <controlPr defaultSize="0" r:id="rId7">
            <anchor moveWithCells="1">
              <from>
                <xdr:col>6</xdr:col>
                <xdr:colOff>571500</xdr:colOff>
                <xdr:row>2</xdr:row>
                <xdr:rowOff>91440</xdr:rowOff>
              </from>
              <to>
                <xdr:col>6</xdr:col>
                <xdr:colOff>1127760</xdr:colOff>
                <xdr:row>3</xdr:row>
                <xdr:rowOff>68580</xdr:rowOff>
              </to>
            </anchor>
          </controlPr>
        </control>
      </mc:Choice>
      <mc:Fallback>
        <control shapeId="10242" r:id="rId6" name="Control 2"/>
      </mc:Fallback>
    </mc:AlternateContent>
    <mc:AlternateContent xmlns:mc="http://schemas.openxmlformats.org/markup-compatibility/2006">
      <mc:Choice Requires="x14">
        <control shapeId="10243" r:id="rId8" name="Control 3">
          <controlPr defaultSize="0" r:id="rId9">
            <anchor moveWithCells="1">
              <from>
                <xdr:col>6</xdr:col>
                <xdr:colOff>571500</xdr:colOff>
                <xdr:row>2</xdr:row>
                <xdr:rowOff>91440</xdr:rowOff>
              </from>
              <to>
                <xdr:col>6</xdr:col>
                <xdr:colOff>1127760</xdr:colOff>
                <xdr:row>3</xdr:row>
                <xdr:rowOff>68580</xdr:rowOff>
              </to>
            </anchor>
          </controlPr>
        </control>
      </mc:Choice>
      <mc:Fallback>
        <control shapeId="10243" r:id="rId8" name="Control 3"/>
      </mc:Fallback>
    </mc:AlternateContent>
    <mc:AlternateContent xmlns:mc="http://schemas.openxmlformats.org/markup-compatibility/2006">
      <mc:Choice Requires="x14">
        <control shapeId="10244" r:id="rId10" name="Control 4">
          <controlPr defaultSize="0" r:id="rId11">
            <anchor moveWithCells="1">
              <from>
                <xdr:col>6</xdr:col>
                <xdr:colOff>571500</xdr:colOff>
                <xdr:row>2</xdr:row>
                <xdr:rowOff>91440</xdr:rowOff>
              </from>
              <to>
                <xdr:col>7</xdr:col>
                <xdr:colOff>0</xdr:colOff>
                <xdr:row>3</xdr:row>
                <xdr:rowOff>129540</xdr:rowOff>
              </to>
            </anchor>
          </controlPr>
        </control>
      </mc:Choice>
      <mc:Fallback>
        <control shapeId="10244" r:id="rId10" name="Control 4"/>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2020-02-05T08:00:00+00:00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Props1.xml><?xml version="1.0" encoding="utf-8"?>
<ds:datastoreItem xmlns:ds="http://schemas.openxmlformats.org/officeDocument/2006/customXml" ds:itemID="{83022521-8997-4D85-AB99-AD36FA0BAB24}"/>
</file>

<file path=customXml/itemProps2.xml><?xml version="1.0" encoding="utf-8"?>
<ds:datastoreItem xmlns:ds="http://schemas.openxmlformats.org/officeDocument/2006/customXml" ds:itemID="{D8FEC2A1-653E-4860-B3E6-276796AA82BD}"/>
</file>

<file path=customXml/itemProps3.xml><?xml version="1.0" encoding="utf-8"?>
<ds:datastoreItem xmlns:ds="http://schemas.openxmlformats.org/officeDocument/2006/customXml" ds:itemID="{B5F36587-4981-4E06-AD39-E952B32FBB17}"/>
</file>

<file path=customXml/itemProps4.xml><?xml version="1.0" encoding="utf-8"?>
<ds:datastoreItem xmlns:ds="http://schemas.openxmlformats.org/officeDocument/2006/customXml" ds:itemID="{E440B5BA-D811-4F29-919F-2C64ADA4DE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2019 Summary - Residential</vt:lpstr>
      <vt:lpstr>2019 Res Avoid Energy Cost</vt:lpstr>
      <vt:lpstr>2019 Res Avoided Capacity Cost</vt:lpstr>
      <vt:lpstr>2019 Cost of Capital</vt:lpstr>
      <vt:lpstr>2019 Yearly Prices</vt:lpstr>
      <vt:lpstr>Sch 91 FlatLoadShapeEnerg</vt:lpstr>
      <vt:lpstr>Baseload Avoided Capacity Calcs</vt:lpstr>
      <vt:lpstr>'Baseload Avoided Capacity Calcs'!Print_Area</vt:lpstr>
      <vt:lpstr>'Sch 91 FlatLoadShapeEnerg'!Print_Area</vt:lpstr>
      <vt:lpstr>Rate_of_Return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