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lain\Documents\Moment\projects\GridLab_PSE_CEIP\"/>
    </mc:Choice>
  </mc:AlternateContent>
  <xr:revisionPtr revIDLastSave="0" documentId="13_ncr:1_{3A0CD357-EB2A-4D24-BD31-3E1740D47E3E}" xr6:coauthVersionLast="47" xr6:coauthVersionMax="47" xr10:uidLastSave="{00000000-0000-0000-0000-000000000000}"/>
  <bookViews>
    <workbookView xWindow="-120" yWindow="-120" windowWidth="29040" windowHeight="15840" xr2:uid="{EF5EB407-6939-4B73-AF33-1AD7B6023B55}"/>
  </bookViews>
  <sheets>
    <sheet name="Sheet1" sheetId="1" r:id="rId1"/>
  </sheets>
  <definedNames>
    <definedName name="solver_adj" localSheetId="0" hidden="1">Sheet1!$C$22:$C$23,Sheet1!$S$17:$U$40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Sheet1!$C$22</definedName>
    <definedName name="solver_lhs2" localSheetId="0" hidden="1">Sheet1!$C$22</definedName>
    <definedName name="solver_lhs3" localSheetId="0" hidden="1">Sheet1!$C$23</definedName>
    <definedName name="solver_lhs4" localSheetId="0" hidden="1">Sheet1!$C$23</definedName>
    <definedName name="solver_lhs5" localSheetId="0" hidden="1">Sheet1!$S$17:$S$40</definedName>
    <definedName name="solver_lhs6" localSheetId="0" hidden="1">Sheet1!$S$50</definedName>
    <definedName name="solver_lhs7" localSheetId="0" hidden="1">Sheet1!$T$17:$T$40</definedName>
    <definedName name="solver_lhs8" localSheetId="0" hidden="1">Sheet1!$V$17:$V$40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8</definedName>
    <definedName name="solver_nwt" localSheetId="0" hidden="1">1</definedName>
    <definedName name="solver_opt" localSheetId="0" hidden="1">Sheet1!$C$12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hs1" localSheetId="0" hidden="1">Sheet1!$C$9</definedName>
    <definedName name="solver_rhs2" localSheetId="0" hidden="1">Sheet1!$C$8</definedName>
    <definedName name="solver_rhs3" localSheetId="0" hidden="1">Sheet1!$C$11</definedName>
    <definedName name="solver_rhs4" localSheetId="0" hidden="1">Sheet1!$C$10</definedName>
    <definedName name="solver_rhs5" localSheetId="0" hidden="1">Sheet1!$S$11</definedName>
    <definedName name="solver_rhs6" localSheetId="0" hidden="1">Sheet1!$S$51</definedName>
    <definedName name="solver_rhs7" localSheetId="0" hidden="1">Sheet1!$C$23</definedName>
    <definedName name="solver_rhs8" localSheetId="0" hidden="1">Sheet1!$W$17:$W$40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1" l="1"/>
  <c r="C84" i="1"/>
  <c r="D81" i="1"/>
  <c r="C81" i="1"/>
  <c r="C82" i="1"/>
  <c r="C83" i="1"/>
  <c r="D75" i="1"/>
  <c r="D72" i="1"/>
  <c r="F72" i="1"/>
  <c r="E72" i="1"/>
  <c r="D74" i="1"/>
  <c r="C72" i="1"/>
  <c r="F73" i="1"/>
  <c r="E73" i="1"/>
  <c r="F71" i="1"/>
  <c r="F70" i="1"/>
  <c r="F69" i="1"/>
  <c r="E71" i="1"/>
  <c r="E70" i="1"/>
  <c r="E69" i="1"/>
  <c r="D73" i="1"/>
  <c r="D71" i="1"/>
  <c r="D70" i="1"/>
  <c r="D69" i="1"/>
  <c r="C71" i="1"/>
  <c r="C73" i="1" s="1"/>
  <c r="C74" i="1" s="1"/>
  <c r="C70" i="1"/>
  <c r="C69" i="1"/>
  <c r="C13" i="1"/>
  <c r="C24" i="1" s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17" i="1"/>
  <c r="AZ18" i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T41" i="1"/>
  <c r="C30" i="1" s="1"/>
  <c r="S41" i="1"/>
  <c r="C29" i="1" s="1"/>
  <c r="F74" i="1" l="1"/>
  <c r="E74" i="1"/>
  <c r="C31" i="1"/>
  <c r="S49" i="1"/>
  <c r="S48" i="1"/>
  <c r="S47" i="1"/>
  <c r="S51" i="1"/>
  <c r="AG17" i="1"/>
  <c r="AF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17" i="1"/>
  <c r="AA17" i="1"/>
  <c r="AS24" i="1"/>
  <c r="BB18" i="1" s="1"/>
  <c r="AS18" i="1"/>
  <c r="BC28" i="1" s="1"/>
  <c r="AS23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E18" i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Y18" i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17" i="1"/>
  <c r="M18" i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AU18" i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Q18" i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BC23" i="1" l="1"/>
  <c r="BC18" i="1"/>
  <c r="BC38" i="1"/>
  <c r="BC39" i="1"/>
  <c r="BC17" i="1"/>
  <c r="BB30" i="1"/>
  <c r="BB27" i="1"/>
  <c r="BC20" i="1"/>
  <c r="BC21" i="1"/>
  <c r="BB28" i="1"/>
  <c r="BC24" i="1"/>
  <c r="BB19" i="1"/>
  <c r="BB39" i="1"/>
  <c r="BB40" i="1"/>
  <c r="BB21" i="1"/>
  <c r="BB24" i="1"/>
  <c r="BC30" i="1"/>
  <c r="BB32" i="1"/>
  <c r="BC33" i="1"/>
  <c r="BB34" i="1"/>
  <c r="BB20" i="1"/>
  <c r="BC22" i="1"/>
  <c r="BB17" i="1"/>
  <c r="BC26" i="1"/>
  <c r="BC35" i="1"/>
  <c r="BB36" i="1"/>
  <c r="BB22" i="1"/>
  <c r="BC25" i="1"/>
  <c r="BC32" i="1"/>
  <c r="BC40" i="1"/>
  <c r="BB23" i="1"/>
  <c r="BC19" i="1"/>
  <c r="BB25" i="1"/>
  <c r="BB29" i="1"/>
  <c r="BC36" i="1"/>
  <c r="BB26" i="1"/>
  <c r="BB35" i="1"/>
  <c r="BC37" i="1"/>
  <c r="AX17" i="1"/>
  <c r="BB31" i="1"/>
  <c r="BC31" i="1"/>
  <c r="AW31" i="1"/>
  <c r="BB33" i="1"/>
  <c r="BB38" i="1"/>
  <c r="BC27" i="1"/>
  <c r="BB37" i="1"/>
  <c r="BC34" i="1"/>
  <c r="BC29" i="1"/>
  <c r="S50" i="1"/>
  <c r="AW40" i="1"/>
  <c r="AW32" i="1"/>
  <c r="AW30" i="1"/>
  <c r="AW29" i="1"/>
  <c r="AW26" i="1"/>
  <c r="AW28" i="1"/>
  <c r="AW27" i="1"/>
  <c r="AW25" i="1"/>
  <c r="AW24" i="1"/>
  <c r="AW23" i="1"/>
  <c r="AW22" i="1"/>
  <c r="AW17" i="1"/>
  <c r="AW21" i="1"/>
  <c r="AW20" i="1"/>
  <c r="AW39" i="1"/>
  <c r="AW19" i="1"/>
  <c r="AW38" i="1"/>
  <c r="AW18" i="1"/>
  <c r="AW37" i="1"/>
  <c r="AW36" i="1"/>
  <c r="AW35" i="1"/>
  <c r="AW34" i="1"/>
  <c r="AW33" i="1"/>
  <c r="AH17" i="1"/>
  <c r="AI17" i="1" s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40" i="1"/>
  <c r="AX20" i="1"/>
  <c r="AX39" i="1"/>
  <c r="AX19" i="1"/>
  <c r="AX38" i="1"/>
  <c r="AX18" i="1"/>
  <c r="AX37" i="1"/>
  <c r="D83" i="1" l="1"/>
  <c r="AW41" i="1"/>
  <c r="D82" i="1"/>
  <c r="BB41" i="1"/>
  <c r="AX41" i="1"/>
  <c r="BC41" i="1"/>
  <c r="AS19" i="1"/>
  <c r="AS20" i="1" s="1"/>
  <c r="AS25" i="1"/>
  <c r="AS26" i="1" s="1"/>
  <c r="AF41" i="1"/>
  <c r="C16" i="1" s="1"/>
  <c r="C17" i="1" l="1"/>
  <c r="AA41" i="1"/>
  <c r="AG19" i="1"/>
  <c r="AG34" i="1"/>
  <c r="AG39" i="1"/>
  <c r="AG26" i="1"/>
  <c r="AG29" i="1"/>
  <c r="AG22" i="1"/>
  <c r="AG28" i="1"/>
  <c r="AG21" i="1"/>
  <c r="AG36" i="1"/>
  <c r="AG32" i="1"/>
  <c r="AH32" i="1" s="1"/>
  <c r="AI32" i="1" s="1"/>
  <c r="AG37" i="1"/>
  <c r="AG30" i="1"/>
  <c r="AH30" i="1" s="1"/>
  <c r="AI30" i="1" s="1"/>
  <c r="AG23" i="1"/>
  <c r="AH23" i="1" s="1"/>
  <c r="AI23" i="1" s="1"/>
  <c r="AG40" i="1"/>
  <c r="AG18" i="1"/>
  <c r="AG24" i="1"/>
  <c r="AG31" i="1"/>
  <c r="AG33" i="1"/>
  <c r="AG20" i="1"/>
  <c r="AG35" i="1"/>
  <c r="AG27" i="1"/>
  <c r="AG25" i="1"/>
  <c r="AH25" i="1" s="1"/>
  <c r="AI25" i="1" s="1"/>
  <c r="AG38" i="1"/>
  <c r="AG41" i="1" l="1"/>
  <c r="C15" i="1" s="1"/>
  <c r="C27" i="1" s="1"/>
  <c r="AB41" i="1"/>
  <c r="AH31" i="1"/>
  <c r="AI31" i="1" s="1"/>
  <c r="AH40" i="1"/>
  <c r="AI40" i="1" s="1"/>
  <c r="AH28" i="1"/>
  <c r="AI28" i="1" s="1"/>
  <c r="AH18" i="1"/>
  <c r="AI18" i="1" s="1"/>
  <c r="AH29" i="1"/>
  <c r="AI29" i="1" s="1"/>
  <c r="AH39" i="1"/>
  <c r="AI39" i="1" s="1"/>
  <c r="AH20" i="1"/>
  <c r="AI20" i="1" s="1"/>
  <c r="AH21" i="1"/>
  <c r="AI21" i="1" s="1"/>
  <c r="AH22" i="1"/>
  <c r="AI22" i="1" s="1"/>
  <c r="AH26" i="1"/>
  <c r="AI26" i="1" s="1"/>
  <c r="AH19" i="1"/>
  <c r="AI19" i="1" s="1"/>
  <c r="AH36" i="1"/>
  <c r="AI36" i="1" s="1"/>
  <c r="AH33" i="1"/>
  <c r="AI33" i="1" s="1"/>
  <c r="AH24" i="1"/>
  <c r="AI24" i="1" s="1"/>
  <c r="AH38" i="1"/>
  <c r="AI38" i="1" s="1"/>
  <c r="AH27" i="1"/>
  <c r="AI27" i="1" s="1"/>
  <c r="AH37" i="1"/>
  <c r="AI37" i="1" s="1"/>
  <c r="AH34" i="1"/>
  <c r="AI34" i="1" s="1"/>
  <c r="AH35" i="1"/>
  <c r="AI35" i="1" s="1"/>
  <c r="AI41" i="1" l="1"/>
  <c r="AH41" i="1"/>
  <c r="C26" i="1" s="1"/>
  <c r="R27" i="1" l="1"/>
  <c r="V27" i="1" s="1"/>
  <c r="R34" i="1"/>
  <c r="V34" i="1" s="1"/>
  <c r="R40" i="1"/>
  <c r="Z40" i="1" s="1"/>
  <c r="AC40" i="1" s="1"/>
  <c r="R20" i="1"/>
  <c r="V20" i="1" s="1"/>
  <c r="R36" i="1"/>
  <c r="V36" i="1" s="1"/>
  <c r="R28" i="1"/>
  <c r="V28" i="1" s="1"/>
  <c r="R26" i="1"/>
  <c r="Z26" i="1" s="1"/>
  <c r="AC26" i="1" s="1"/>
  <c r="R33" i="1"/>
  <c r="V33" i="1" s="1"/>
  <c r="R22" i="1"/>
  <c r="V22" i="1" s="1"/>
  <c r="R24" i="1"/>
  <c r="V24" i="1" s="1"/>
  <c r="R35" i="1"/>
  <c r="V35" i="1" s="1"/>
  <c r="R32" i="1"/>
  <c r="V32" i="1" s="1"/>
  <c r="R29" i="1"/>
  <c r="V29" i="1" s="1"/>
  <c r="R25" i="1"/>
  <c r="V25" i="1" s="1"/>
  <c r="R23" i="1"/>
  <c r="V23" i="1" s="1"/>
  <c r="R19" i="1"/>
  <c r="V19" i="1" s="1"/>
  <c r="R37" i="1"/>
  <c r="V37" i="1" s="1"/>
  <c r="R31" i="1"/>
  <c r="V31" i="1" s="1"/>
  <c r="R39" i="1"/>
  <c r="V39" i="1" s="1"/>
  <c r="R21" i="1"/>
  <c r="Z21" i="1" s="1"/>
  <c r="AC21" i="1" s="1"/>
  <c r="R38" i="1"/>
  <c r="V38" i="1" s="1"/>
  <c r="R18" i="1"/>
  <c r="V18" i="1" s="1"/>
  <c r="R30" i="1"/>
  <c r="V30" i="1" s="1"/>
  <c r="R17" i="1"/>
  <c r="R41" i="1" l="1"/>
  <c r="V17" i="1"/>
  <c r="Z25" i="1"/>
  <c r="AC25" i="1" s="1"/>
  <c r="Z30" i="1"/>
  <c r="AC30" i="1" s="1"/>
  <c r="Z17" i="1"/>
  <c r="AC17" i="1" s="1"/>
  <c r="Z23" i="1"/>
  <c r="AC23" i="1" s="1"/>
  <c r="Z24" i="1"/>
  <c r="AC24" i="1" s="1"/>
  <c r="Z22" i="1"/>
  <c r="AC22" i="1" s="1"/>
  <c r="Z37" i="1"/>
  <c r="AC37" i="1" s="1"/>
  <c r="Z35" i="1"/>
  <c r="AC35" i="1" s="1"/>
  <c r="Z20" i="1"/>
  <c r="AC20" i="1" s="1"/>
  <c r="Z39" i="1"/>
  <c r="AC39" i="1" s="1"/>
  <c r="Z19" i="1"/>
  <c r="AC19" i="1" s="1"/>
  <c r="Z29" i="1"/>
  <c r="AC29" i="1" s="1"/>
  <c r="Z18" i="1"/>
  <c r="AC18" i="1" s="1"/>
  <c r="Z36" i="1"/>
  <c r="AC36" i="1" s="1"/>
  <c r="V21" i="1"/>
  <c r="V26" i="1"/>
  <c r="Z38" i="1"/>
  <c r="AC38" i="1" s="1"/>
  <c r="Z33" i="1"/>
  <c r="AC33" i="1" s="1"/>
  <c r="Z32" i="1"/>
  <c r="AC32" i="1" s="1"/>
  <c r="Z34" i="1"/>
  <c r="AC34" i="1" s="1"/>
  <c r="Z28" i="1"/>
  <c r="AC28" i="1" s="1"/>
  <c r="V40" i="1"/>
  <c r="Z31" i="1"/>
  <c r="AC31" i="1" s="1"/>
  <c r="Z27" i="1"/>
  <c r="AC27" i="1" s="1"/>
  <c r="AC41" i="1" l="1"/>
  <c r="C14" i="1" s="1"/>
  <c r="Z41" i="1"/>
  <c r="C25" i="1" l="1"/>
  <c r="C28" i="1" s="1"/>
  <c r="C18" i="1"/>
  <c r="C19" i="1"/>
  <c r="C12" i="1" s="1"/>
</calcChain>
</file>

<file path=xl/sharedStrings.xml><?xml version="1.0" encoding="utf-8"?>
<sst xmlns="http://schemas.openxmlformats.org/spreadsheetml/2006/main" count="179" uniqueCount="104">
  <si>
    <t>Load (MW)</t>
  </si>
  <si>
    <t>Market Prices ($/MWh)</t>
  </si>
  <si>
    <t>Heat Rate (MMBtu/MWh)</t>
  </si>
  <si>
    <t>Emissions Rate (metric tonnes per MMBtu)</t>
  </si>
  <si>
    <t>SCGHG ($/metric tonne)</t>
  </si>
  <si>
    <t>Capacity</t>
  </si>
  <si>
    <t>Natural Gas Price ($/MMBtu)</t>
  </si>
  <si>
    <t>Market Purchases</t>
  </si>
  <si>
    <t>Renewable Capacity Factor</t>
  </si>
  <si>
    <t>HE</t>
  </si>
  <si>
    <t>Renewable Generation</t>
  </si>
  <si>
    <t>Renewable Costs</t>
  </si>
  <si>
    <t>Fuel Costs</t>
  </si>
  <si>
    <t>Market Purchase Costs</t>
  </si>
  <si>
    <t>Emissions</t>
  </si>
  <si>
    <t>SCGHG ($)</t>
  </si>
  <si>
    <t>Operating Cost</t>
  </si>
  <si>
    <t>Total</t>
  </si>
  <si>
    <t>Renewable Cost ($/MWh)</t>
  </si>
  <si>
    <t>Total Generation</t>
  </si>
  <si>
    <t>Market Emissions Rate (tonnes/MWh)</t>
  </si>
  <si>
    <t>Gas Plant Fixed SCGHG ($/MW)</t>
  </si>
  <si>
    <t>Fixed Cost ($/MW-day)</t>
  </si>
  <si>
    <t>Total GHG Emissions (metric tonnes)</t>
  </si>
  <si>
    <t>Optimal renewable addition (MW)</t>
  </si>
  <si>
    <t>Optimal natural gas addition (MW)</t>
  </si>
  <si>
    <t>Objective Function</t>
  </si>
  <si>
    <t>Approach 1 (Fixed SCGHG Cost Adder)</t>
  </si>
  <si>
    <t>Fixed Cost ($)</t>
  </si>
  <si>
    <t>Operating Cost ($)</t>
  </si>
  <si>
    <t>Gas Plant Actual SCGHG ($)</t>
  </si>
  <si>
    <t>Market Purchase SCGHG ($)</t>
  </si>
  <si>
    <t>Fixed Cost + Operating Cost + Market + Fixed SCGHG ($)</t>
  </si>
  <si>
    <t>Fixed Cost + Operating Cost + Total SCGHG ($)</t>
  </si>
  <si>
    <t>Dispatch</t>
  </si>
  <si>
    <t>Gas Plant Outboard Dispatch Emissions (tonnes/MW)</t>
  </si>
  <si>
    <t>Capacity (MW)</t>
  </si>
  <si>
    <t>Assumptions</t>
  </si>
  <si>
    <t>Hourly Assumptions</t>
  </si>
  <si>
    <t>Gas Plant Fixed SCGHG based on adder ($)</t>
  </si>
  <si>
    <t>Total SCGHG ($1000)</t>
  </si>
  <si>
    <t>Total Fixed + Operational Cost + SCGHG ($1000)</t>
  </si>
  <si>
    <t>Optimization Approach</t>
  </si>
  <si>
    <t>Fixed SCGHG Adder</t>
  </si>
  <si>
    <t>Approach 2 (SCGHG Dynamic with Dispatch)</t>
  </si>
  <si>
    <t>Existing Natural Gas Plant Dispatch</t>
  </si>
  <si>
    <t>New Natural Gas Plant Dispatch</t>
  </si>
  <si>
    <t>&lt; Selected by user</t>
  </si>
  <si>
    <t>Solved for by model</t>
  </si>
  <si>
    <t>New Natural Gas Plant Assumptions</t>
  </si>
  <si>
    <t>Existing Natural Gas Plant Assumptions</t>
  </si>
  <si>
    <t>Natural Gas Plants</t>
  </si>
  <si>
    <t>Outboard gas dispatch simulation to derive fixed GHG cost adders</t>
  </si>
  <si>
    <t>New Gas Plant Outboard Economic Dispatch</t>
  </si>
  <si>
    <t>Existing Gas Plant Outboard Economic Dispatch</t>
  </si>
  <si>
    <t>New Gas Plant</t>
  </si>
  <si>
    <t>Existing Gas Plant</t>
  </si>
  <si>
    <t>Dispatch Cost w/o SCGHG ($/MWh)</t>
  </si>
  <si>
    <t>SCGHG Dynamic with Dispatch</t>
  </si>
  <si>
    <t>Peak + 15%</t>
  </si>
  <si>
    <t>Existing Gas</t>
  </si>
  <si>
    <t>New Gas</t>
  </si>
  <si>
    <t>New Renewable</t>
  </si>
  <si>
    <t>ELCC</t>
  </si>
  <si>
    <t>Resource</t>
  </si>
  <si>
    <t>Total Capacity</t>
  </si>
  <si>
    <t>Capacity Factor</t>
  </si>
  <si>
    <t>Existing Gas Capacity Factor</t>
  </si>
  <si>
    <t>New Gas Capacity Factor</t>
  </si>
  <si>
    <t>Without SCGHG</t>
  </si>
  <si>
    <t>With SCGHG</t>
  </si>
  <si>
    <t>Market Prices + SCGHG ($/MWh)</t>
  </si>
  <si>
    <t>Expected Operation</t>
  </si>
  <si>
    <t>SCGHG in Dispatch Cost</t>
  </si>
  <si>
    <t>Outboard Cost Comparison for New Gas Addition</t>
  </si>
  <si>
    <t>Minimum renewable addition (MW)</t>
  </si>
  <si>
    <t>Maximum renewable addition (MW)</t>
  </si>
  <si>
    <t>Minimum gas addition (MW)</t>
  </si>
  <si>
    <t>Maximum gas addition (MW)</t>
  </si>
  <si>
    <t>Portfolio Optimization Approach</t>
  </si>
  <si>
    <t>Total Fixed Costs ($1000)</t>
  </si>
  <si>
    <t>Total Operational Cost ($1000)</t>
  </si>
  <si>
    <t>Optimization Results</t>
  </si>
  <si>
    <t>Optimization type</t>
  </si>
  <si>
    <t>Portfolio</t>
  </si>
  <si>
    <t>&lt; Set to 9999 0 if Portfolio Optimization, set value if Dispatch Optimization</t>
  </si>
  <si>
    <t>&lt; Set to 0 if Portfolio Optimization, set value if Dispatch Optimization</t>
  </si>
  <si>
    <t>&lt; Solved for</t>
  </si>
  <si>
    <t>None</t>
  </si>
  <si>
    <t>Average Gas Capacity Factor</t>
  </si>
  <si>
    <t>Optimation Settings and Results (Active)</t>
  </si>
  <si>
    <t>Optimation results from running the model with different settings</t>
  </si>
  <si>
    <t>&lt; Set to 100 for Portfolio Optimiztion, 0 for Dispatch Optimization</t>
  </si>
  <si>
    <t>Minimum natural gas addition (MW)</t>
  </si>
  <si>
    <t>Maximum natural gas addition (MW)</t>
  </si>
  <si>
    <t>Portfolio Summaries</t>
  </si>
  <si>
    <t>SCGHG Applied to Dispatch</t>
  </si>
  <si>
    <t>Total Fixed Costs + Operational Costs + SCGHG ($1000)</t>
  </si>
  <si>
    <t>Total GHG Emissions (metric tonnes, from dispatch model)</t>
  </si>
  <si>
    <t>Total SCGHG ($1000, based dispatch model GHGs)</t>
  </si>
  <si>
    <t>(Assuming $50/MWh renewable option)</t>
  </si>
  <si>
    <t>(Assuming $100/MWh renewable option)</t>
  </si>
  <si>
    <t>Total Fixed + Operational Costs ($1000)</t>
  </si>
  <si>
    <t>Total Costs, including SCGHG ($1000)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</si>
</sst>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6" fontId="0" fillId="0" borderId="0" xfId="0" applyNumberFormat="1"/>
    <xf numFmtId="165" fontId="0" fillId="0" borderId="0" xfId="2" applyNumberFormat="1" applyFont="1"/>
    <xf numFmtId="1" fontId="0" fillId="0" borderId="0" xfId="0" applyNumberFormat="1"/>
    <xf numFmtId="0" fontId="2" fillId="0" borderId="0" xfId="0" applyFont="1"/>
    <xf numFmtId="2" fontId="0" fillId="0" borderId="0" xfId="0" applyNumberFormat="1"/>
    <xf numFmtId="0" fontId="0" fillId="0" borderId="0" xfId="0" applyBorder="1"/>
    <xf numFmtId="0" fontId="0" fillId="0" borderId="0" xfId="0" applyFont="1"/>
    <xf numFmtId="0" fontId="0" fillId="0" borderId="0" xfId="0" applyFill="1"/>
    <xf numFmtId="3" fontId="0" fillId="0" borderId="0" xfId="0" applyNumberFormat="1" applyFill="1"/>
    <xf numFmtId="3" fontId="0" fillId="0" borderId="0" xfId="1" applyNumberFormat="1" applyFont="1"/>
    <xf numFmtId="3" fontId="0" fillId="0" borderId="0" xfId="3" applyNumberFormat="1" applyFont="1" applyFill="1"/>
    <xf numFmtId="3" fontId="0" fillId="0" borderId="0" xfId="1" applyNumberFormat="1" applyFont="1" applyFill="1"/>
    <xf numFmtId="3" fontId="0" fillId="2" borderId="0" xfId="0" applyNumberFormat="1" applyFill="1"/>
    <xf numFmtId="1" fontId="0" fillId="2" borderId="0" xfId="0" applyNumberFormat="1" applyFill="1"/>
    <xf numFmtId="3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164" fontId="0" fillId="3" borderId="0" xfId="0" applyNumberFormat="1" applyFill="1"/>
    <xf numFmtId="164" fontId="0" fillId="3" borderId="0" xfId="1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164" fontId="0" fillId="0" borderId="3" xfId="0" applyNumberFormat="1" applyFill="1" applyBorder="1"/>
    <xf numFmtId="164" fontId="0" fillId="0" borderId="4" xfId="0" applyNumberFormat="1" applyFill="1" applyBorder="1"/>
    <xf numFmtId="164" fontId="0" fillId="0" borderId="3" xfId="1" applyNumberFormat="1" applyFont="1" applyFill="1" applyBorder="1"/>
    <xf numFmtId="164" fontId="0" fillId="0" borderId="4" xfId="1" applyNumberFormat="1" applyFon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3" xfId="3" applyNumberFormat="1" applyFont="1" applyFill="1" applyBorder="1"/>
    <xf numFmtId="3" fontId="0" fillId="0" borderId="4" xfId="3" applyNumberFormat="1" applyFont="1" applyFill="1" applyBorder="1"/>
    <xf numFmtId="3" fontId="0" fillId="0" borderId="3" xfId="1" applyNumberFormat="1" applyFont="1" applyFill="1" applyBorder="1"/>
    <xf numFmtId="3" fontId="0" fillId="0" borderId="4" xfId="1" applyNumberFormat="1" applyFont="1" applyFill="1" applyBorder="1"/>
    <xf numFmtId="9" fontId="0" fillId="0" borderId="5" xfId="2" applyFont="1" applyFill="1" applyBorder="1"/>
    <xf numFmtId="3" fontId="0" fillId="0" borderId="0" xfId="2" applyNumberFormat="1" applyFont="1"/>
    <xf numFmtId="9" fontId="0" fillId="0" borderId="3" xfId="0" applyNumberFormat="1" applyFill="1" applyBorder="1"/>
    <xf numFmtId="9" fontId="0" fillId="0" borderId="4" xfId="0" applyNumberFormat="1" applyFill="1" applyBorder="1"/>
    <xf numFmtId="9" fontId="0" fillId="0" borderId="6" xfId="2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Dispatch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Sheet1!$R$16</c:f>
              <c:strCache>
                <c:ptCount val="1"/>
                <c:pt idx="0">
                  <c:v>Renewable Generation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Sheet1!$R$17:$R$40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D-4994-951D-EE647C7E0E8A}"/>
            </c:ext>
          </c:extLst>
        </c:ser>
        <c:ser>
          <c:idx val="1"/>
          <c:order val="1"/>
          <c:tx>
            <c:strRef>
              <c:f>Sheet1!$T$16</c:f>
              <c:strCache>
                <c:ptCount val="1"/>
                <c:pt idx="0">
                  <c:v>New Natural Gas Plant Dispatch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val>
            <c:numRef>
              <c:f>Sheet1!$T$17:$T$40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24.000000000000544</c:v>
                </c:pt>
                <c:pt idx="8">
                  <c:v>29.000000000001123</c:v>
                </c:pt>
                <c:pt idx="9">
                  <c:v>28.000000000001524</c:v>
                </c:pt>
                <c:pt idx="10">
                  <c:v>25.000000000002117</c:v>
                </c:pt>
                <c:pt idx="11">
                  <c:v>19.000000000001169</c:v>
                </c:pt>
                <c:pt idx="12">
                  <c:v>14.000000000001425</c:v>
                </c:pt>
                <c:pt idx="13">
                  <c:v>7.0000000000017311</c:v>
                </c:pt>
                <c:pt idx="14">
                  <c:v>3.0000000000017493</c:v>
                </c:pt>
                <c:pt idx="15">
                  <c:v>6.0000000000017311</c:v>
                </c:pt>
                <c:pt idx="16">
                  <c:v>24.000000000000913</c:v>
                </c:pt>
                <c:pt idx="17">
                  <c:v>50.000000000001812</c:v>
                </c:pt>
                <c:pt idx="18">
                  <c:v>49.99999999999973</c:v>
                </c:pt>
                <c:pt idx="19">
                  <c:v>41.000000000001464</c:v>
                </c:pt>
                <c:pt idx="20">
                  <c:v>27.000000000001741</c:v>
                </c:pt>
                <c:pt idx="21">
                  <c:v>5.0000000000013385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D-4994-951D-EE647C7E0E8A}"/>
            </c:ext>
          </c:extLst>
        </c:ser>
        <c:ser>
          <c:idx val="4"/>
          <c:order val="3"/>
          <c:tx>
            <c:strRef>
              <c:f>Sheet1!$S$16</c:f>
              <c:strCache>
                <c:ptCount val="1"/>
                <c:pt idx="0">
                  <c:v>Existing Natural Gas Plant Dispatch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Sheet1!$S$17:$S$40</c:f>
              <c:numCache>
                <c:formatCode>0</c:formatCode>
                <c:ptCount val="24"/>
                <c:pt idx="0">
                  <c:v>277.0000000000004</c:v>
                </c:pt>
                <c:pt idx="1">
                  <c:v>268.00000000000051</c:v>
                </c:pt>
                <c:pt idx="2">
                  <c:v>265.00000000000091</c:v>
                </c:pt>
                <c:pt idx="3">
                  <c:v>268.00000000000114</c:v>
                </c:pt>
                <c:pt idx="4">
                  <c:v>283.00000000000119</c:v>
                </c:pt>
                <c:pt idx="5">
                  <c:v>311.00000000000057</c:v>
                </c:pt>
                <c:pt idx="6">
                  <c:v>349.00000000000057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350</c:v>
                </c:pt>
                <c:pt idx="22">
                  <c:v>323.00000000000176</c:v>
                </c:pt>
                <c:pt idx="23">
                  <c:v>294.00000000000057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159-BC82-9C34454C70C1}"/>
            </c:ext>
          </c:extLst>
        </c:ser>
        <c:ser>
          <c:idx val="2"/>
          <c:order val="4"/>
          <c:tx>
            <c:strRef>
              <c:f>Sheet1!$U$16</c:f>
              <c:strCache>
                <c:ptCount val="1"/>
                <c:pt idx="0">
                  <c:v>Market Purchases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Sheet1!$U$17:$U$40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D-4994-951D-EE647C7E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770240"/>
        <c:axId val="1108759840"/>
      </c:areaChart>
      <c:lineChart>
        <c:grouping val="standard"/>
        <c:varyColors val="0"/>
        <c:ser>
          <c:idx val="3"/>
          <c:order val="2"/>
          <c:tx>
            <c:strRef>
              <c:f>Sheet1!$W$16</c:f>
              <c:strCache>
                <c:ptCount val="1"/>
                <c:pt idx="0">
                  <c:v>Load (MW)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Sheet1!$W$17:$W$40</c:f>
              <c:numCache>
                <c:formatCode>General</c:formatCode>
                <c:ptCount val="24"/>
                <c:pt idx="0">
                  <c:v>277</c:v>
                </c:pt>
                <c:pt idx="1">
                  <c:v>268</c:v>
                </c:pt>
                <c:pt idx="2">
                  <c:v>265</c:v>
                </c:pt>
                <c:pt idx="3">
                  <c:v>268</c:v>
                </c:pt>
                <c:pt idx="4">
                  <c:v>283</c:v>
                </c:pt>
                <c:pt idx="5">
                  <c:v>311</c:v>
                </c:pt>
                <c:pt idx="6">
                  <c:v>349</c:v>
                </c:pt>
                <c:pt idx="7">
                  <c:v>374</c:v>
                </c:pt>
                <c:pt idx="8">
                  <c:v>379</c:v>
                </c:pt>
                <c:pt idx="9">
                  <c:v>378</c:v>
                </c:pt>
                <c:pt idx="10">
                  <c:v>375</c:v>
                </c:pt>
                <c:pt idx="11">
                  <c:v>369</c:v>
                </c:pt>
                <c:pt idx="12">
                  <c:v>364</c:v>
                </c:pt>
                <c:pt idx="13">
                  <c:v>357</c:v>
                </c:pt>
                <c:pt idx="14">
                  <c:v>353</c:v>
                </c:pt>
                <c:pt idx="15">
                  <c:v>356</c:v>
                </c:pt>
                <c:pt idx="16">
                  <c:v>374</c:v>
                </c:pt>
                <c:pt idx="17">
                  <c:v>400</c:v>
                </c:pt>
                <c:pt idx="18">
                  <c:v>400</c:v>
                </c:pt>
                <c:pt idx="19">
                  <c:v>391</c:v>
                </c:pt>
                <c:pt idx="20">
                  <c:v>377</c:v>
                </c:pt>
                <c:pt idx="21">
                  <c:v>355</c:v>
                </c:pt>
                <c:pt idx="22">
                  <c:v>323</c:v>
                </c:pt>
                <c:pt idx="23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BD-4994-951D-EE647C7E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770240"/>
        <c:axId val="1108759840"/>
      </c:lineChart>
      <c:catAx>
        <c:axId val="11087702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759840"/>
        <c:crosses val="autoZero"/>
        <c:auto val="1"/>
        <c:lblAlgn val="ctr"/>
        <c:lblOffset val="100"/>
        <c:noMultiLvlLbl val="0"/>
      </c:catAx>
      <c:valAx>
        <c:axId val="11087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77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47625</xdr:colOff>
      <xdr:row>20</xdr:row>
      <xdr:rowOff>104775</xdr:rowOff>
    </xdr:from>
    <xdr:to>
      <xdr:col>41</xdr:col>
      <xdr:colOff>238125</xdr:colOff>
      <xdr:row>39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CCD694D-8A81-9DA3-3DEB-63F011D2C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oment_v2">
      <a:dk1>
        <a:sysClr val="windowText" lastClr="000000"/>
      </a:dk1>
      <a:lt1>
        <a:sysClr val="window" lastClr="FFFFFF"/>
      </a:lt1>
      <a:dk2>
        <a:srgbClr val="4E5462"/>
      </a:dk2>
      <a:lt2>
        <a:srgbClr val="E7E6E6"/>
      </a:lt2>
      <a:accent1>
        <a:srgbClr val="3D7C93"/>
      </a:accent1>
      <a:accent2>
        <a:srgbClr val="3FACAF"/>
      </a:accent2>
      <a:accent3>
        <a:srgbClr val="A5A5A5"/>
      </a:accent3>
      <a:accent4>
        <a:srgbClr val="D6EA8A"/>
      </a:accent4>
      <a:accent5>
        <a:srgbClr val="FEE9AE"/>
      </a:accent5>
      <a:accent6>
        <a:srgbClr val="E5B495"/>
      </a:accent6>
      <a:hlink>
        <a:srgbClr val="3FACAF"/>
      </a:hlink>
      <a:folHlink>
        <a:srgbClr val="3D7C9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F60A-3390-4D90-B044-9CEEA0D2F85D}">
  <dimension ref="B2:BC84"/>
  <sheetViews>
    <sheetView tabSelected="1" workbookViewId="0">
      <selection activeCell="E15" sqref="E15"/>
    </sheetView>
  </sheetViews>
  <sheetFormatPr defaultRowHeight="15" x14ac:dyDescent="0.25"/>
  <cols>
    <col min="2" max="2" width="50.7109375" bestFit="1" customWidth="1"/>
    <col min="3" max="3" width="28" bestFit="1" customWidth="1"/>
    <col min="4" max="4" width="27.42578125" customWidth="1"/>
    <col min="5" max="5" width="36.7109375" customWidth="1"/>
    <col min="6" max="8" width="20.7109375" customWidth="1"/>
    <col min="9" max="9" width="27.28515625" customWidth="1"/>
    <col min="10" max="10" width="19.28515625" customWidth="1"/>
    <col min="11" max="11" width="38" customWidth="1"/>
    <col min="12" max="12" width="33.5703125" bestFit="1" customWidth="1"/>
    <col min="13" max="13" width="19" bestFit="1" customWidth="1"/>
    <col min="14" max="14" width="31.85546875" bestFit="1" customWidth="1"/>
    <col min="15" max="15" width="25.140625" bestFit="1" customWidth="1"/>
    <col min="16" max="16" width="10.85546875" customWidth="1"/>
    <col min="17" max="17" width="14.140625" customWidth="1"/>
    <col min="18" max="18" width="31.140625" customWidth="1"/>
    <col min="19" max="19" width="32.140625" bestFit="1" customWidth="1"/>
    <col min="20" max="20" width="29.28515625" bestFit="1" customWidth="1"/>
    <col min="21" max="21" width="19" bestFit="1" customWidth="1"/>
    <col min="22" max="22" width="16.7109375" customWidth="1"/>
    <col min="23" max="23" width="22" bestFit="1" customWidth="1"/>
    <col min="24" max="24" width="7.5703125" customWidth="1"/>
    <col min="25" max="25" width="13.85546875" bestFit="1" customWidth="1"/>
    <col min="26" max="26" width="21.140625" bestFit="1" customWidth="1"/>
    <col min="27" max="27" width="10" bestFit="1" customWidth="1"/>
    <col min="28" max="28" width="21.140625" bestFit="1" customWidth="1"/>
    <col min="29" max="29" width="21.140625" customWidth="1"/>
    <col min="30" max="30" width="9.5703125" bestFit="1" customWidth="1"/>
    <col min="31" max="31" width="9.5703125" customWidth="1"/>
    <col min="32" max="32" width="17.28515625" bestFit="1" customWidth="1"/>
    <col min="33" max="33" width="16.7109375" bestFit="1" customWidth="1"/>
    <col min="34" max="34" width="10" bestFit="1" customWidth="1"/>
    <col min="35" max="35" width="9.85546875" bestFit="1" customWidth="1"/>
    <col min="37" max="37" width="34.140625" bestFit="1" customWidth="1"/>
    <col min="38" max="38" width="11.5703125" bestFit="1" customWidth="1"/>
    <col min="44" max="44" width="39.5703125" bestFit="1" customWidth="1"/>
    <col min="45" max="45" width="38" bestFit="1" customWidth="1"/>
    <col min="46" max="46" width="6.7109375" customWidth="1"/>
    <col min="47" max="47" width="9.42578125" customWidth="1"/>
    <col min="48" max="48" width="21.85546875" bestFit="1" customWidth="1"/>
    <col min="49" max="49" width="43.28515625" bestFit="1" customWidth="1"/>
    <col min="50" max="50" width="40.42578125" bestFit="1" customWidth="1"/>
    <col min="53" max="53" width="30" bestFit="1" customWidth="1"/>
    <col min="54" max="54" width="43.28515625" bestFit="1" customWidth="1"/>
    <col min="55" max="55" width="40.42578125" bestFit="1" customWidth="1"/>
  </cols>
  <sheetData>
    <row r="2" spans="2:55" x14ac:dyDescent="0.25">
      <c r="B2" s="6" t="s">
        <v>90</v>
      </c>
      <c r="Q2" s="3"/>
    </row>
    <row r="4" spans="2:55" x14ac:dyDescent="0.25">
      <c r="B4" t="s">
        <v>83</v>
      </c>
      <c r="C4" s="20" t="s">
        <v>84</v>
      </c>
      <c r="D4" t="s">
        <v>47</v>
      </c>
      <c r="M4" s="6" t="s">
        <v>37</v>
      </c>
      <c r="AI4" s="2"/>
    </row>
    <row r="5" spans="2:55" x14ac:dyDescent="0.25">
      <c r="B5" t="s">
        <v>4</v>
      </c>
      <c r="C5" s="8">
        <v>100</v>
      </c>
      <c r="D5" t="s">
        <v>92</v>
      </c>
      <c r="M5" s="48"/>
      <c r="N5" s="48"/>
      <c r="U5" s="4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2"/>
    </row>
    <row r="6" spans="2:55" x14ac:dyDescent="0.25">
      <c r="B6" t="s">
        <v>79</v>
      </c>
      <c r="C6" s="20" t="s">
        <v>43</v>
      </c>
      <c r="D6" t="s">
        <v>47</v>
      </c>
      <c r="M6" s="48" t="s">
        <v>20</v>
      </c>
      <c r="N6" s="48"/>
      <c r="O6" s="8">
        <v>0.437</v>
      </c>
      <c r="R6" s="5"/>
      <c r="S6" s="5"/>
      <c r="T6" s="5"/>
      <c r="U6" s="4"/>
      <c r="V6" s="1"/>
      <c r="W6" s="1"/>
      <c r="X6" s="1"/>
      <c r="Y6" s="1"/>
      <c r="Z6" s="1"/>
      <c r="AA6" s="1"/>
      <c r="AB6" s="2"/>
      <c r="AC6" s="2"/>
      <c r="AD6" s="2"/>
      <c r="AE6" s="2"/>
      <c r="AF6" s="2"/>
      <c r="AG6" s="2"/>
      <c r="AH6" s="2"/>
    </row>
    <row r="7" spans="2:55" x14ac:dyDescent="0.25">
      <c r="B7" t="s">
        <v>18</v>
      </c>
      <c r="C7" s="10">
        <v>50</v>
      </c>
      <c r="D7" t="s">
        <v>47</v>
      </c>
      <c r="M7" s="48" t="s">
        <v>6</v>
      </c>
      <c r="N7" s="48"/>
      <c r="O7" s="8">
        <v>4</v>
      </c>
    </row>
    <row r="8" spans="2:55" x14ac:dyDescent="0.25">
      <c r="B8" t="s">
        <v>75</v>
      </c>
      <c r="C8" s="5">
        <v>0</v>
      </c>
      <c r="D8" t="s">
        <v>86</v>
      </c>
    </row>
    <row r="9" spans="2:55" x14ac:dyDescent="0.25">
      <c r="B9" t="s">
        <v>76</v>
      </c>
      <c r="C9" s="5">
        <v>9999</v>
      </c>
      <c r="D9" t="s">
        <v>85</v>
      </c>
      <c r="M9" s="6" t="s">
        <v>49</v>
      </c>
      <c r="Q9" s="6" t="s">
        <v>50</v>
      </c>
      <c r="U9" s="4"/>
      <c r="V9" s="1"/>
      <c r="W9" s="1"/>
      <c r="X9" s="1"/>
      <c r="Y9" s="1"/>
      <c r="Z9" s="1"/>
      <c r="AA9" s="1"/>
      <c r="AB9" s="2"/>
      <c r="AC9" s="2"/>
      <c r="AD9" s="2"/>
      <c r="AE9" s="2"/>
      <c r="AF9" s="2"/>
      <c r="AG9" s="2"/>
    </row>
    <row r="10" spans="2:55" x14ac:dyDescent="0.25">
      <c r="B10" t="s">
        <v>93</v>
      </c>
      <c r="C10" s="5">
        <v>0</v>
      </c>
      <c r="D10" t="s">
        <v>86</v>
      </c>
      <c r="U10" s="4"/>
      <c r="V10" s="1"/>
      <c r="W10" s="1"/>
      <c r="X10" s="1"/>
      <c r="Y10" s="1"/>
      <c r="Z10" s="1"/>
      <c r="AA10" s="1"/>
      <c r="AB10" s="2"/>
      <c r="AC10" s="2"/>
      <c r="AD10" s="2"/>
      <c r="AE10" s="2"/>
      <c r="AF10" s="2"/>
      <c r="AG10" s="2"/>
    </row>
    <row r="11" spans="2:55" x14ac:dyDescent="0.25">
      <c r="B11" t="s">
        <v>94</v>
      </c>
      <c r="C11" s="5">
        <v>9999</v>
      </c>
      <c r="D11" t="s">
        <v>85</v>
      </c>
      <c r="M11" s="47" t="s">
        <v>22</v>
      </c>
      <c r="N11" s="47"/>
      <c r="O11">
        <v>300</v>
      </c>
      <c r="Q11" t="s">
        <v>36</v>
      </c>
      <c r="S11">
        <v>350</v>
      </c>
    </row>
    <row r="12" spans="2:55" x14ac:dyDescent="0.25">
      <c r="B12" s="9" t="s">
        <v>26</v>
      </c>
      <c r="C12" s="21">
        <f>IF(C4="Portfolio",IF(C6="Fixed SCGHG Adder",C18,IF(C6="SCGHG Dynamic with Dispatch",C19,"Error")),IF(C4="Dispatch",C14,0))</f>
        <v>452935.00000000122</v>
      </c>
      <c r="M12" s="47" t="s">
        <v>2</v>
      </c>
      <c r="N12" s="47"/>
      <c r="O12">
        <v>10</v>
      </c>
      <c r="Q12" s="47" t="s">
        <v>2</v>
      </c>
      <c r="R12" s="47"/>
      <c r="S12">
        <v>8</v>
      </c>
      <c r="V12" s="2"/>
      <c r="W12" s="2"/>
      <c r="X12" s="2"/>
      <c r="Y12" s="2"/>
      <c r="Z12" s="2"/>
    </row>
    <row r="13" spans="2:55" x14ac:dyDescent="0.25">
      <c r="B13" t="s">
        <v>28</v>
      </c>
      <c r="C13" s="22">
        <f>C23*O11</f>
        <v>33000.000000000116</v>
      </c>
      <c r="M13" s="47" t="s">
        <v>3</v>
      </c>
      <c r="N13" s="47"/>
      <c r="O13">
        <v>5.2909999999999999E-2</v>
      </c>
      <c r="Q13" s="47" t="s">
        <v>3</v>
      </c>
      <c r="R13" s="47"/>
      <c r="S13">
        <v>5.2909999999999999E-2</v>
      </c>
    </row>
    <row r="14" spans="2:55" x14ac:dyDescent="0.25">
      <c r="B14" t="s">
        <v>29</v>
      </c>
      <c r="C14" s="22">
        <f>AC41</f>
        <v>266496.00000000099</v>
      </c>
      <c r="AR14" s="6" t="s">
        <v>52</v>
      </c>
    </row>
    <row r="15" spans="2:55" x14ac:dyDescent="0.25">
      <c r="B15" t="s">
        <v>31</v>
      </c>
      <c r="C15" s="22">
        <f>AG41*C5</f>
        <v>0</v>
      </c>
      <c r="M15" s="6" t="s">
        <v>38</v>
      </c>
      <c r="Q15" s="6" t="s">
        <v>34</v>
      </c>
      <c r="S15" t="s">
        <v>48</v>
      </c>
      <c r="T15" t="s">
        <v>48</v>
      </c>
      <c r="U15" t="s">
        <v>48</v>
      </c>
      <c r="Y15" s="6" t="s">
        <v>16</v>
      </c>
      <c r="AE15" s="6" t="s">
        <v>14</v>
      </c>
      <c r="AU15" t="s">
        <v>69</v>
      </c>
      <c r="AZ15" t="s">
        <v>70</v>
      </c>
    </row>
    <row r="16" spans="2:55" x14ac:dyDescent="0.25">
      <c r="B16" t="s">
        <v>30</v>
      </c>
      <c r="C16" s="22">
        <f>AF41*C5</f>
        <v>352507.58400000131</v>
      </c>
      <c r="M16" t="s">
        <v>9</v>
      </c>
      <c r="N16" t="s">
        <v>1</v>
      </c>
      <c r="O16" t="s">
        <v>8</v>
      </c>
      <c r="Q16" t="s">
        <v>9</v>
      </c>
      <c r="R16" t="s">
        <v>10</v>
      </c>
      <c r="S16" t="s">
        <v>45</v>
      </c>
      <c r="T16" t="s">
        <v>46</v>
      </c>
      <c r="U16" t="s">
        <v>7</v>
      </c>
      <c r="V16" t="s">
        <v>19</v>
      </c>
      <c r="W16" t="s">
        <v>0</v>
      </c>
      <c r="Y16" t="s">
        <v>9</v>
      </c>
      <c r="Z16" t="s">
        <v>11</v>
      </c>
      <c r="AA16" t="s">
        <v>12</v>
      </c>
      <c r="AB16" t="s">
        <v>13</v>
      </c>
      <c r="AC16" t="s">
        <v>17</v>
      </c>
      <c r="AE16" t="s">
        <v>9</v>
      </c>
      <c r="AF16" t="s">
        <v>51</v>
      </c>
      <c r="AG16" t="s">
        <v>7</v>
      </c>
      <c r="AH16" t="s">
        <v>17</v>
      </c>
      <c r="AI16" t="s">
        <v>15</v>
      </c>
      <c r="AR16" t="s">
        <v>55</v>
      </c>
      <c r="AU16" t="s">
        <v>9</v>
      </c>
      <c r="AV16" t="s">
        <v>1</v>
      </c>
      <c r="AW16" t="s">
        <v>54</v>
      </c>
      <c r="AX16" t="s">
        <v>53</v>
      </c>
      <c r="AZ16" t="s">
        <v>9</v>
      </c>
      <c r="BA16" t="s">
        <v>71</v>
      </c>
      <c r="BB16" t="s">
        <v>54</v>
      </c>
      <c r="BC16" t="s">
        <v>53</v>
      </c>
    </row>
    <row r="17" spans="2:55" x14ac:dyDescent="0.25">
      <c r="B17" t="s">
        <v>39</v>
      </c>
      <c r="C17" s="22">
        <f>C23*AS20+AS26*AS23</f>
        <v>153439.00000000012</v>
      </c>
      <c r="M17">
        <v>1</v>
      </c>
      <c r="N17">
        <v>23</v>
      </c>
      <c r="O17">
        <v>0.16</v>
      </c>
      <c r="Q17">
        <v>1</v>
      </c>
      <c r="R17">
        <f t="shared" ref="R17:R40" si="0">O17*$C$22</f>
        <v>0</v>
      </c>
      <c r="S17" s="16">
        <v>277.0000000000004</v>
      </c>
      <c r="T17" s="16">
        <v>0</v>
      </c>
      <c r="U17" s="16">
        <v>0</v>
      </c>
      <c r="V17">
        <f>SUM(R17:U17)</f>
        <v>277.0000000000004</v>
      </c>
      <c r="W17">
        <v>277</v>
      </c>
      <c r="Y17">
        <v>1</v>
      </c>
      <c r="Z17">
        <f t="shared" ref="Z17:Z40" si="1">R17*$C$7</f>
        <v>0</v>
      </c>
      <c r="AA17">
        <f>S17*$S$12*$O$7+T17*$O$12*$O$7</f>
        <v>8864.0000000000127</v>
      </c>
      <c r="AB17">
        <f>U17*N17</f>
        <v>0</v>
      </c>
      <c r="AC17">
        <f>SUM(Z17:AB17)</f>
        <v>8864.0000000000127</v>
      </c>
      <c r="AE17">
        <v>1</v>
      </c>
      <c r="AF17">
        <f>S17*$S$12*$S$13+T17*$O$12*$O$13</f>
        <v>117.24856000000017</v>
      </c>
      <c r="AG17">
        <f t="shared" ref="AG17:AG40" si="2">U17*$O$6</f>
        <v>0</v>
      </c>
      <c r="AH17">
        <f t="shared" ref="AH17:AH40" si="3">AF17+AG17</f>
        <v>117.24856000000017</v>
      </c>
      <c r="AI17">
        <f t="shared" ref="AI17:AI40" si="4">AH17*$C$5</f>
        <v>11724.856000000016</v>
      </c>
      <c r="AR17" t="s">
        <v>36</v>
      </c>
      <c r="AS17">
        <v>100</v>
      </c>
      <c r="AU17">
        <v>1</v>
      </c>
      <c r="AV17">
        <f t="shared" ref="AV17:AV40" si="5">N17</f>
        <v>23</v>
      </c>
      <c r="AW17">
        <f>IF(AV17&lt;$AS$24,0,$AS$23)</f>
        <v>0</v>
      </c>
      <c r="AX17">
        <f t="shared" ref="AX17:AX40" si="6">IF(AV17&lt;$AS$18,0,$AS$17)</f>
        <v>0</v>
      </c>
      <c r="AZ17">
        <v>1</v>
      </c>
      <c r="BA17">
        <f t="shared" ref="BA17:BA40" si="7">N17+$C$5*$O$6</f>
        <v>66.7</v>
      </c>
      <c r="BB17">
        <f t="shared" ref="BB17:BB40" si="8">IF(BA17&lt;$AS$24+$S$12*$S$13*$C$5,0,$AS$23)</f>
        <v>0</v>
      </c>
      <c r="BC17">
        <f t="shared" ref="BC17:BC40" si="9">IF(BA17&lt;$AS$18+$O$12*$O$13*$C$5,0,$AS$17)</f>
        <v>0</v>
      </c>
    </row>
    <row r="18" spans="2:55" x14ac:dyDescent="0.25">
      <c r="B18" t="s">
        <v>32</v>
      </c>
      <c r="C18" s="21">
        <f>C13+C14+C15+C17</f>
        <v>452935.00000000122</v>
      </c>
      <c r="D18" t="s">
        <v>27</v>
      </c>
      <c r="M18">
        <f>M17+1</f>
        <v>2</v>
      </c>
      <c r="N18">
        <v>22</v>
      </c>
      <c r="O18">
        <v>0.18</v>
      </c>
      <c r="Q18">
        <f>Q17+1</f>
        <v>2</v>
      </c>
      <c r="R18">
        <f t="shared" si="0"/>
        <v>0</v>
      </c>
      <c r="S18" s="16">
        <v>268.00000000000051</v>
      </c>
      <c r="T18" s="16">
        <v>0</v>
      </c>
      <c r="U18" s="16">
        <v>0</v>
      </c>
      <c r="V18">
        <f t="shared" ref="V18:V40" si="10">SUM(R18:U18)</f>
        <v>268.00000000000051</v>
      </c>
      <c r="W18">
        <v>268</v>
      </c>
      <c r="Y18">
        <f>Y17+1</f>
        <v>2</v>
      </c>
      <c r="Z18">
        <f t="shared" si="1"/>
        <v>0</v>
      </c>
      <c r="AA18">
        <f t="shared" ref="AA18:AA40" si="11">S18*$S$12*$O$7+T18*$O$12*$O$7</f>
        <v>8576.0000000000164</v>
      </c>
      <c r="AB18">
        <f t="shared" ref="AB18:AB40" si="12">U18*N18</f>
        <v>0</v>
      </c>
      <c r="AC18">
        <f t="shared" ref="AC18:AC40" si="13">SUM(Z18:AB18)</f>
        <v>8576.0000000000164</v>
      </c>
      <c r="AE18">
        <f>AE17+1</f>
        <v>2</v>
      </c>
      <c r="AF18">
        <f t="shared" ref="AF18:AF40" si="14">S18*$S$12*$S$13+T18*$O$12*$O$13</f>
        <v>113.43904000000022</v>
      </c>
      <c r="AG18">
        <f t="shared" si="2"/>
        <v>0</v>
      </c>
      <c r="AH18">
        <f t="shared" si="3"/>
        <v>113.43904000000022</v>
      </c>
      <c r="AI18">
        <f t="shared" si="4"/>
        <v>11343.904000000022</v>
      </c>
      <c r="AR18" t="s">
        <v>57</v>
      </c>
      <c r="AS18">
        <f>O12*O7</f>
        <v>40</v>
      </c>
      <c r="AU18">
        <f>AU17+1</f>
        <v>2</v>
      </c>
      <c r="AV18">
        <f t="shared" si="5"/>
        <v>22</v>
      </c>
      <c r="AW18">
        <f t="shared" ref="AW18:AW40" si="15">IF(AV18&lt;$AS$24,0,$AS$23)</f>
        <v>0</v>
      </c>
      <c r="AX18">
        <f t="shared" si="6"/>
        <v>0</v>
      </c>
      <c r="AZ18">
        <f>AZ17+1</f>
        <v>2</v>
      </c>
      <c r="BA18">
        <f t="shared" si="7"/>
        <v>65.7</v>
      </c>
      <c r="BB18">
        <f t="shared" si="8"/>
        <v>0</v>
      </c>
      <c r="BC18">
        <f t="shared" si="9"/>
        <v>0</v>
      </c>
    </row>
    <row r="19" spans="2:55" x14ac:dyDescent="0.25">
      <c r="B19" t="s">
        <v>33</v>
      </c>
      <c r="C19" s="22">
        <f>C13+C14+C15+C16</f>
        <v>652003.58400000236</v>
      </c>
      <c r="D19" t="s">
        <v>44</v>
      </c>
      <c r="M19">
        <f t="shared" ref="M19:M40" si="16">M18+1</f>
        <v>3</v>
      </c>
      <c r="N19">
        <v>21</v>
      </c>
      <c r="O19">
        <v>0.22500000000000001</v>
      </c>
      <c r="Q19">
        <f t="shared" ref="Q19:Q40" si="17">Q18+1</f>
        <v>3</v>
      </c>
      <c r="R19">
        <f t="shared" si="0"/>
        <v>0</v>
      </c>
      <c r="S19" s="16">
        <v>265.00000000000091</v>
      </c>
      <c r="T19" s="16">
        <v>0</v>
      </c>
      <c r="U19" s="16">
        <v>0</v>
      </c>
      <c r="V19">
        <f t="shared" si="10"/>
        <v>265.00000000000091</v>
      </c>
      <c r="W19">
        <v>265</v>
      </c>
      <c r="Y19">
        <f t="shared" ref="Y19:Y40" si="18">Y18+1</f>
        <v>3</v>
      </c>
      <c r="Z19">
        <f t="shared" si="1"/>
        <v>0</v>
      </c>
      <c r="AA19">
        <f t="shared" si="11"/>
        <v>8480.0000000000291</v>
      </c>
      <c r="AB19">
        <f t="shared" si="12"/>
        <v>0</v>
      </c>
      <c r="AC19">
        <f t="shared" si="13"/>
        <v>8480.0000000000291</v>
      </c>
      <c r="AE19">
        <f t="shared" ref="AE19:AE40" si="19">AE18+1</f>
        <v>3</v>
      </c>
      <c r="AF19">
        <f t="shared" si="14"/>
        <v>112.16920000000039</v>
      </c>
      <c r="AG19">
        <f t="shared" si="2"/>
        <v>0</v>
      </c>
      <c r="AH19">
        <f t="shared" si="3"/>
        <v>112.16920000000039</v>
      </c>
      <c r="AI19">
        <f t="shared" si="4"/>
        <v>11216.920000000038</v>
      </c>
      <c r="AR19" t="s">
        <v>35</v>
      </c>
      <c r="AS19" s="7">
        <f>SUM(AX17:AX40)*O12*O13/AS17</f>
        <v>3.1745999999999999</v>
      </c>
      <c r="AU19">
        <f t="shared" ref="AU19:AU40" si="20">AU18+1</f>
        <v>3</v>
      </c>
      <c r="AV19">
        <f t="shared" si="5"/>
        <v>21</v>
      </c>
      <c r="AW19">
        <f t="shared" si="15"/>
        <v>0</v>
      </c>
      <c r="AX19">
        <f t="shared" si="6"/>
        <v>0</v>
      </c>
      <c r="AZ19">
        <f t="shared" ref="AZ19:AZ40" si="21">AZ18+1</f>
        <v>3</v>
      </c>
      <c r="BA19">
        <f t="shared" si="7"/>
        <v>64.7</v>
      </c>
      <c r="BB19">
        <f t="shared" si="8"/>
        <v>0</v>
      </c>
      <c r="BC19">
        <f t="shared" si="9"/>
        <v>0</v>
      </c>
    </row>
    <row r="20" spans="2:55" x14ac:dyDescent="0.25">
      <c r="M20">
        <f t="shared" si="16"/>
        <v>4</v>
      </c>
      <c r="N20">
        <v>22</v>
      </c>
      <c r="O20">
        <v>0.26500000000000001</v>
      </c>
      <c r="Q20">
        <f t="shared" si="17"/>
        <v>4</v>
      </c>
      <c r="R20">
        <f t="shared" si="0"/>
        <v>0</v>
      </c>
      <c r="S20" s="16">
        <v>268.00000000000114</v>
      </c>
      <c r="T20" s="16">
        <v>0</v>
      </c>
      <c r="U20" s="16">
        <v>0</v>
      </c>
      <c r="V20">
        <f t="shared" si="10"/>
        <v>268.00000000000114</v>
      </c>
      <c r="W20">
        <v>268</v>
      </c>
      <c r="Y20">
        <f t="shared" si="18"/>
        <v>4</v>
      </c>
      <c r="Z20">
        <f t="shared" si="1"/>
        <v>0</v>
      </c>
      <c r="AA20">
        <f t="shared" si="11"/>
        <v>8576.0000000000364</v>
      </c>
      <c r="AB20">
        <f t="shared" si="12"/>
        <v>0</v>
      </c>
      <c r="AC20">
        <f t="shared" si="13"/>
        <v>8576.0000000000364</v>
      </c>
      <c r="AE20">
        <f t="shared" si="19"/>
        <v>4</v>
      </c>
      <c r="AF20">
        <f t="shared" si="14"/>
        <v>113.43904000000047</v>
      </c>
      <c r="AG20">
        <f t="shared" si="2"/>
        <v>0</v>
      </c>
      <c r="AH20">
        <f t="shared" si="3"/>
        <v>113.43904000000047</v>
      </c>
      <c r="AI20">
        <f t="shared" si="4"/>
        <v>11343.904000000048</v>
      </c>
      <c r="AR20" t="s">
        <v>21</v>
      </c>
      <c r="AS20" s="5">
        <f>AS19*C5</f>
        <v>317.45999999999998</v>
      </c>
      <c r="AU20">
        <f t="shared" si="20"/>
        <v>4</v>
      </c>
      <c r="AV20">
        <f t="shared" si="5"/>
        <v>22</v>
      </c>
      <c r="AW20">
        <f t="shared" si="15"/>
        <v>0</v>
      </c>
      <c r="AX20">
        <f t="shared" si="6"/>
        <v>0</v>
      </c>
      <c r="AZ20">
        <f t="shared" si="21"/>
        <v>4</v>
      </c>
      <c r="BA20">
        <f t="shared" si="7"/>
        <v>65.7</v>
      </c>
      <c r="BB20">
        <f t="shared" si="8"/>
        <v>0</v>
      </c>
      <c r="BC20">
        <f t="shared" si="9"/>
        <v>0</v>
      </c>
    </row>
    <row r="21" spans="2:55" x14ac:dyDescent="0.25">
      <c r="B21" t="s">
        <v>82</v>
      </c>
      <c r="M21">
        <f t="shared" si="16"/>
        <v>5</v>
      </c>
      <c r="N21">
        <v>24</v>
      </c>
      <c r="O21">
        <v>0.26500000000000001</v>
      </c>
      <c r="Q21">
        <f t="shared" si="17"/>
        <v>5</v>
      </c>
      <c r="R21">
        <f t="shared" si="0"/>
        <v>0</v>
      </c>
      <c r="S21" s="16">
        <v>283.00000000000119</v>
      </c>
      <c r="T21" s="16">
        <v>0</v>
      </c>
      <c r="U21" s="16">
        <v>0</v>
      </c>
      <c r="V21">
        <f t="shared" si="10"/>
        <v>283.00000000000119</v>
      </c>
      <c r="W21">
        <v>283</v>
      </c>
      <c r="Y21">
        <f t="shared" si="18"/>
        <v>5</v>
      </c>
      <c r="Z21">
        <f t="shared" si="1"/>
        <v>0</v>
      </c>
      <c r="AA21">
        <f t="shared" si="11"/>
        <v>9056.0000000000382</v>
      </c>
      <c r="AB21">
        <f t="shared" si="12"/>
        <v>0</v>
      </c>
      <c r="AC21">
        <f t="shared" si="13"/>
        <v>9056.0000000000382</v>
      </c>
      <c r="AE21">
        <f t="shared" si="19"/>
        <v>5</v>
      </c>
      <c r="AF21">
        <f t="shared" si="14"/>
        <v>119.7882400000005</v>
      </c>
      <c r="AG21">
        <f t="shared" si="2"/>
        <v>0</v>
      </c>
      <c r="AH21">
        <f t="shared" si="3"/>
        <v>119.7882400000005</v>
      </c>
      <c r="AI21">
        <f t="shared" si="4"/>
        <v>11978.82400000005</v>
      </c>
      <c r="AU21">
        <f t="shared" si="20"/>
        <v>5</v>
      </c>
      <c r="AV21">
        <f t="shared" si="5"/>
        <v>24</v>
      </c>
      <c r="AW21">
        <f t="shared" si="15"/>
        <v>0</v>
      </c>
      <c r="AX21">
        <f t="shared" si="6"/>
        <v>0</v>
      </c>
      <c r="AZ21">
        <f t="shared" si="21"/>
        <v>5</v>
      </c>
      <c r="BA21">
        <f t="shared" si="7"/>
        <v>67.7</v>
      </c>
      <c r="BB21">
        <f t="shared" si="8"/>
        <v>0</v>
      </c>
      <c r="BC21">
        <f t="shared" si="9"/>
        <v>0</v>
      </c>
    </row>
    <row r="22" spans="2:55" x14ac:dyDescent="0.25">
      <c r="B22" t="s">
        <v>24</v>
      </c>
      <c r="C22" s="15">
        <v>0</v>
      </c>
      <c r="D22" t="s">
        <v>87</v>
      </c>
      <c r="L22" s="3"/>
      <c r="M22">
        <f t="shared" si="16"/>
        <v>6</v>
      </c>
      <c r="N22">
        <v>29</v>
      </c>
      <c r="O22">
        <v>0.255</v>
      </c>
      <c r="Q22">
        <f t="shared" si="17"/>
        <v>6</v>
      </c>
      <c r="R22">
        <f t="shared" si="0"/>
        <v>0</v>
      </c>
      <c r="S22" s="16">
        <v>311.00000000000057</v>
      </c>
      <c r="T22" s="16">
        <v>0</v>
      </c>
      <c r="U22" s="16">
        <v>0</v>
      </c>
      <c r="V22">
        <f t="shared" si="10"/>
        <v>311.00000000000057</v>
      </c>
      <c r="W22">
        <v>311</v>
      </c>
      <c r="Y22">
        <f t="shared" si="18"/>
        <v>6</v>
      </c>
      <c r="Z22">
        <f t="shared" si="1"/>
        <v>0</v>
      </c>
      <c r="AA22">
        <f t="shared" si="11"/>
        <v>9952.0000000000182</v>
      </c>
      <c r="AB22">
        <f t="shared" si="12"/>
        <v>0</v>
      </c>
      <c r="AC22">
        <f t="shared" si="13"/>
        <v>9952.0000000000182</v>
      </c>
      <c r="AE22">
        <f t="shared" si="19"/>
        <v>6</v>
      </c>
      <c r="AF22">
        <f t="shared" si="14"/>
        <v>131.64008000000024</v>
      </c>
      <c r="AG22">
        <f t="shared" si="2"/>
        <v>0</v>
      </c>
      <c r="AH22">
        <f t="shared" si="3"/>
        <v>131.64008000000024</v>
      </c>
      <c r="AI22">
        <f t="shared" si="4"/>
        <v>13164.008000000023</v>
      </c>
      <c r="AR22" t="s">
        <v>56</v>
      </c>
      <c r="AU22">
        <f t="shared" si="20"/>
        <v>6</v>
      </c>
      <c r="AV22">
        <f t="shared" si="5"/>
        <v>29</v>
      </c>
      <c r="AW22">
        <f t="shared" si="15"/>
        <v>0</v>
      </c>
      <c r="AX22">
        <f t="shared" si="6"/>
        <v>0</v>
      </c>
      <c r="AZ22">
        <f t="shared" si="21"/>
        <v>6</v>
      </c>
      <c r="BA22">
        <f t="shared" si="7"/>
        <v>72.7</v>
      </c>
      <c r="BB22">
        <f t="shared" si="8"/>
        <v>0</v>
      </c>
      <c r="BC22">
        <f t="shared" si="9"/>
        <v>0</v>
      </c>
    </row>
    <row r="23" spans="2:55" x14ac:dyDescent="0.25">
      <c r="B23" t="s">
        <v>25</v>
      </c>
      <c r="C23" s="15">
        <v>110.0000000000004</v>
      </c>
      <c r="D23" t="s">
        <v>87</v>
      </c>
      <c r="M23">
        <f t="shared" si="16"/>
        <v>7</v>
      </c>
      <c r="N23">
        <v>40</v>
      </c>
      <c r="O23">
        <v>0.18</v>
      </c>
      <c r="Q23">
        <f t="shared" si="17"/>
        <v>7</v>
      </c>
      <c r="R23">
        <f t="shared" si="0"/>
        <v>0</v>
      </c>
      <c r="S23" s="16">
        <v>349.00000000000057</v>
      </c>
      <c r="T23" s="16">
        <v>0</v>
      </c>
      <c r="U23" s="16">
        <v>0</v>
      </c>
      <c r="V23">
        <f>SUM(R23:U23)</f>
        <v>349.00000000000057</v>
      </c>
      <c r="W23">
        <v>349</v>
      </c>
      <c r="Y23">
        <f t="shared" si="18"/>
        <v>7</v>
      </c>
      <c r="Z23">
        <f t="shared" si="1"/>
        <v>0</v>
      </c>
      <c r="AA23">
        <f t="shared" si="11"/>
        <v>11168.000000000018</v>
      </c>
      <c r="AB23">
        <f t="shared" si="12"/>
        <v>0</v>
      </c>
      <c r="AC23">
        <f t="shared" si="13"/>
        <v>11168.000000000018</v>
      </c>
      <c r="AE23">
        <f t="shared" si="19"/>
        <v>7</v>
      </c>
      <c r="AF23">
        <f t="shared" si="14"/>
        <v>147.72472000000025</v>
      </c>
      <c r="AG23">
        <f t="shared" si="2"/>
        <v>0</v>
      </c>
      <c r="AH23">
        <f t="shared" si="3"/>
        <v>147.72472000000025</v>
      </c>
      <c r="AI23">
        <f t="shared" si="4"/>
        <v>14772.472000000025</v>
      </c>
      <c r="AR23" t="s">
        <v>36</v>
      </c>
      <c r="AS23">
        <f>S11</f>
        <v>350</v>
      </c>
      <c r="AU23">
        <f t="shared" si="20"/>
        <v>7</v>
      </c>
      <c r="AV23">
        <f t="shared" si="5"/>
        <v>40</v>
      </c>
      <c r="AW23">
        <f t="shared" si="15"/>
        <v>350</v>
      </c>
      <c r="AX23">
        <f t="shared" si="6"/>
        <v>100</v>
      </c>
      <c r="AZ23">
        <f t="shared" si="21"/>
        <v>7</v>
      </c>
      <c r="BA23">
        <f t="shared" si="7"/>
        <v>83.7</v>
      </c>
      <c r="BB23">
        <f t="shared" si="8"/>
        <v>350</v>
      </c>
      <c r="BC23">
        <f t="shared" si="9"/>
        <v>0</v>
      </c>
    </row>
    <row r="24" spans="2:55" x14ac:dyDescent="0.25">
      <c r="B24" t="s">
        <v>80</v>
      </c>
      <c r="C24" s="13">
        <f>C13/1000</f>
        <v>33.000000000000114</v>
      </c>
      <c r="M24">
        <f t="shared" si="16"/>
        <v>8</v>
      </c>
      <c r="N24">
        <v>35</v>
      </c>
      <c r="O24">
        <v>0.2</v>
      </c>
      <c r="Q24">
        <f t="shared" si="17"/>
        <v>8</v>
      </c>
      <c r="R24">
        <f t="shared" si="0"/>
        <v>0</v>
      </c>
      <c r="S24" s="16">
        <v>350</v>
      </c>
      <c r="T24" s="16">
        <v>24.000000000000544</v>
      </c>
      <c r="U24" s="16">
        <v>0</v>
      </c>
      <c r="V24">
        <f t="shared" si="10"/>
        <v>374.00000000000057</v>
      </c>
      <c r="W24">
        <v>374</v>
      </c>
      <c r="Y24">
        <f t="shared" si="18"/>
        <v>8</v>
      </c>
      <c r="Z24">
        <f t="shared" si="1"/>
        <v>0</v>
      </c>
      <c r="AA24">
        <f t="shared" si="11"/>
        <v>12160.000000000022</v>
      </c>
      <c r="AB24">
        <f t="shared" si="12"/>
        <v>0</v>
      </c>
      <c r="AC24">
        <f t="shared" si="13"/>
        <v>12160.000000000022</v>
      </c>
      <c r="AE24">
        <f t="shared" si="19"/>
        <v>8</v>
      </c>
      <c r="AF24">
        <f t="shared" si="14"/>
        <v>160.84640000000027</v>
      </c>
      <c r="AG24">
        <f t="shared" si="2"/>
        <v>0</v>
      </c>
      <c r="AH24">
        <f t="shared" si="3"/>
        <v>160.84640000000027</v>
      </c>
      <c r="AI24">
        <f t="shared" si="4"/>
        <v>16084.640000000027</v>
      </c>
      <c r="AR24" t="s">
        <v>57</v>
      </c>
      <c r="AS24">
        <f>S12*O7</f>
        <v>32</v>
      </c>
      <c r="AU24">
        <f t="shared" si="20"/>
        <v>8</v>
      </c>
      <c r="AV24">
        <f t="shared" si="5"/>
        <v>35</v>
      </c>
      <c r="AW24">
        <f t="shared" si="15"/>
        <v>350</v>
      </c>
      <c r="AX24">
        <f t="shared" si="6"/>
        <v>0</v>
      </c>
      <c r="AZ24">
        <f t="shared" si="21"/>
        <v>8</v>
      </c>
      <c r="BA24">
        <f t="shared" si="7"/>
        <v>78.7</v>
      </c>
      <c r="BB24">
        <f t="shared" si="8"/>
        <v>350</v>
      </c>
      <c r="BC24">
        <f t="shared" si="9"/>
        <v>0</v>
      </c>
    </row>
    <row r="25" spans="2:55" x14ac:dyDescent="0.25">
      <c r="B25" t="s">
        <v>81</v>
      </c>
      <c r="C25" s="12">
        <f>C14/1000</f>
        <v>266.496000000001</v>
      </c>
      <c r="M25">
        <f t="shared" si="16"/>
        <v>9</v>
      </c>
      <c r="N25">
        <v>30</v>
      </c>
      <c r="O25">
        <v>0.23</v>
      </c>
      <c r="Q25">
        <f t="shared" si="17"/>
        <v>9</v>
      </c>
      <c r="R25">
        <f t="shared" si="0"/>
        <v>0</v>
      </c>
      <c r="S25" s="16">
        <v>350</v>
      </c>
      <c r="T25" s="16">
        <v>29.000000000001123</v>
      </c>
      <c r="U25" s="16">
        <v>0</v>
      </c>
      <c r="V25">
        <f t="shared" si="10"/>
        <v>379.00000000000114</v>
      </c>
      <c r="W25">
        <v>379</v>
      </c>
      <c r="Y25">
        <f t="shared" si="18"/>
        <v>9</v>
      </c>
      <c r="Z25">
        <f t="shared" si="1"/>
        <v>0</v>
      </c>
      <c r="AA25">
        <f t="shared" si="11"/>
        <v>12360.000000000045</v>
      </c>
      <c r="AB25">
        <f t="shared" si="12"/>
        <v>0</v>
      </c>
      <c r="AC25">
        <f t="shared" si="13"/>
        <v>12360.000000000045</v>
      </c>
      <c r="AE25">
        <f t="shared" si="19"/>
        <v>9</v>
      </c>
      <c r="AF25">
        <f t="shared" si="14"/>
        <v>163.49190000000058</v>
      </c>
      <c r="AG25">
        <f t="shared" si="2"/>
        <v>0</v>
      </c>
      <c r="AH25">
        <f t="shared" si="3"/>
        <v>163.49190000000058</v>
      </c>
      <c r="AI25">
        <f t="shared" si="4"/>
        <v>16349.190000000059</v>
      </c>
      <c r="AR25" t="s">
        <v>35</v>
      </c>
      <c r="AS25" s="7">
        <f>SUM(AW17:AW40)*S12*S13/AS23</f>
        <v>3.3862399999999999</v>
      </c>
      <c r="AU25">
        <f t="shared" si="20"/>
        <v>9</v>
      </c>
      <c r="AV25">
        <f t="shared" si="5"/>
        <v>30</v>
      </c>
      <c r="AW25">
        <f t="shared" si="15"/>
        <v>0</v>
      </c>
      <c r="AX25">
        <f t="shared" si="6"/>
        <v>0</v>
      </c>
      <c r="AZ25">
        <f t="shared" si="21"/>
        <v>9</v>
      </c>
      <c r="BA25">
        <f t="shared" si="7"/>
        <v>73.7</v>
      </c>
      <c r="BB25">
        <f t="shared" si="8"/>
        <v>0</v>
      </c>
      <c r="BC25">
        <f t="shared" si="9"/>
        <v>0</v>
      </c>
    </row>
    <row r="26" spans="2:55" x14ac:dyDescent="0.25">
      <c r="B26" t="s">
        <v>23</v>
      </c>
      <c r="C26" s="12">
        <f>AH41</f>
        <v>3525.0758400000132</v>
      </c>
      <c r="M26">
        <f t="shared" si="16"/>
        <v>10</v>
      </c>
      <c r="N26">
        <v>27</v>
      </c>
      <c r="O26">
        <v>0.32</v>
      </c>
      <c r="Q26">
        <f t="shared" si="17"/>
        <v>10</v>
      </c>
      <c r="R26">
        <f t="shared" si="0"/>
        <v>0</v>
      </c>
      <c r="S26" s="16">
        <v>350</v>
      </c>
      <c r="T26" s="16">
        <v>28.000000000001524</v>
      </c>
      <c r="U26" s="16">
        <v>0</v>
      </c>
      <c r="V26">
        <f t="shared" si="10"/>
        <v>378.00000000000153</v>
      </c>
      <c r="W26">
        <v>378</v>
      </c>
      <c r="Y26">
        <f t="shared" si="18"/>
        <v>10</v>
      </c>
      <c r="Z26">
        <f t="shared" si="1"/>
        <v>0</v>
      </c>
      <c r="AA26">
        <f t="shared" si="11"/>
        <v>12320.000000000062</v>
      </c>
      <c r="AB26">
        <f t="shared" si="12"/>
        <v>0</v>
      </c>
      <c r="AC26">
        <f t="shared" si="13"/>
        <v>12320.000000000062</v>
      </c>
      <c r="AE26">
        <f t="shared" si="19"/>
        <v>10</v>
      </c>
      <c r="AF26">
        <f t="shared" si="14"/>
        <v>162.96280000000081</v>
      </c>
      <c r="AG26">
        <f t="shared" si="2"/>
        <v>0</v>
      </c>
      <c r="AH26">
        <f t="shared" si="3"/>
        <v>162.96280000000081</v>
      </c>
      <c r="AI26">
        <f t="shared" si="4"/>
        <v>16296.280000000081</v>
      </c>
      <c r="AR26" t="s">
        <v>21</v>
      </c>
      <c r="AS26" s="5">
        <f>AS25*C5</f>
        <v>338.62399999999997</v>
      </c>
      <c r="AU26">
        <f t="shared" si="20"/>
        <v>10</v>
      </c>
      <c r="AV26">
        <f t="shared" si="5"/>
        <v>27</v>
      </c>
      <c r="AW26">
        <f t="shared" si="15"/>
        <v>0</v>
      </c>
      <c r="AX26">
        <f t="shared" si="6"/>
        <v>0</v>
      </c>
      <c r="AZ26">
        <f t="shared" si="21"/>
        <v>10</v>
      </c>
      <c r="BA26">
        <f t="shared" si="7"/>
        <v>70.7</v>
      </c>
      <c r="BB26">
        <f t="shared" si="8"/>
        <v>0</v>
      </c>
      <c r="BC26">
        <f t="shared" si="9"/>
        <v>0</v>
      </c>
    </row>
    <row r="27" spans="2:55" x14ac:dyDescent="0.25">
      <c r="B27" t="s">
        <v>40</v>
      </c>
      <c r="C27" s="11">
        <f>(C15+C16)/1000</f>
        <v>352.50758400000132</v>
      </c>
      <c r="M27">
        <f t="shared" si="16"/>
        <v>11</v>
      </c>
      <c r="N27">
        <v>25</v>
      </c>
      <c r="O27">
        <v>0.40500000000000003</v>
      </c>
      <c r="Q27">
        <f t="shared" si="17"/>
        <v>11</v>
      </c>
      <c r="R27">
        <f t="shared" si="0"/>
        <v>0</v>
      </c>
      <c r="S27" s="16">
        <v>350</v>
      </c>
      <c r="T27" s="16">
        <v>25.000000000002117</v>
      </c>
      <c r="U27" s="16">
        <v>0</v>
      </c>
      <c r="V27">
        <f t="shared" si="10"/>
        <v>375.0000000000021</v>
      </c>
      <c r="W27">
        <v>375</v>
      </c>
      <c r="Y27">
        <f t="shared" si="18"/>
        <v>11</v>
      </c>
      <c r="Z27">
        <f t="shared" si="1"/>
        <v>0</v>
      </c>
      <c r="AA27">
        <f t="shared" si="11"/>
        <v>12200.000000000085</v>
      </c>
      <c r="AB27">
        <f t="shared" si="12"/>
        <v>0</v>
      </c>
      <c r="AC27">
        <f t="shared" si="13"/>
        <v>12200.000000000085</v>
      </c>
      <c r="AE27">
        <f t="shared" si="19"/>
        <v>11</v>
      </c>
      <c r="AF27">
        <f t="shared" si="14"/>
        <v>161.37550000000113</v>
      </c>
      <c r="AG27">
        <f t="shared" si="2"/>
        <v>0</v>
      </c>
      <c r="AH27">
        <f t="shared" si="3"/>
        <v>161.37550000000113</v>
      </c>
      <c r="AI27">
        <f t="shared" si="4"/>
        <v>16137.550000000112</v>
      </c>
      <c r="AU27">
        <f t="shared" si="20"/>
        <v>11</v>
      </c>
      <c r="AV27">
        <f t="shared" si="5"/>
        <v>25</v>
      </c>
      <c r="AW27">
        <f t="shared" si="15"/>
        <v>0</v>
      </c>
      <c r="AX27">
        <f t="shared" si="6"/>
        <v>0</v>
      </c>
      <c r="AZ27">
        <f t="shared" si="21"/>
        <v>11</v>
      </c>
      <c r="BA27">
        <f t="shared" si="7"/>
        <v>68.7</v>
      </c>
      <c r="BB27">
        <f t="shared" si="8"/>
        <v>0</v>
      </c>
      <c r="BC27">
        <f t="shared" si="9"/>
        <v>0</v>
      </c>
    </row>
    <row r="28" spans="2:55" x14ac:dyDescent="0.25">
      <c r="B28" t="s">
        <v>41</v>
      </c>
      <c r="C28" s="14">
        <f>C24+C25+C27</f>
        <v>652.00358400000243</v>
      </c>
      <c r="M28">
        <f t="shared" si="16"/>
        <v>12</v>
      </c>
      <c r="N28">
        <v>24</v>
      </c>
      <c r="O28">
        <v>0.31</v>
      </c>
      <c r="Q28">
        <f t="shared" si="17"/>
        <v>12</v>
      </c>
      <c r="R28">
        <f t="shared" si="0"/>
        <v>0</v>
      </c>
      <c r="S28" s="16">
        <v>350</v>
      </c>
      <c r="T28" s="16">
        <v>19.000000000001169</v>
      </c>
      <c r="U28" s="16">
        <v>0</v>
      </c>
      <c r="V28">
        <f t="shared" si="10"/>
        <v>369.00000000000119</v>
      </c>
      <c r="W28">
        <v>369</v>
      </c>
      <c r="Y28">
        <f t="shared" si="18"/>
        <v>12</v>
      </c>
      <c r="Z28">
        <f t="shared" si="1"/>
        <v>0</v>
      </c>
      <c r="AA28">
        <f t="shared" si="11"/>
        <v>11960.000000000047</v>
      </c>
      <c r="AB28">
        <f t="shared" si="12"/>
        <v>0</v>
      </c>
      <c r="AC28">
        <f t="shared" si="13"/>
        <v>11960.000000000047</v>
      </c>
      <c r="AE28">
        <f t="shared" si="19"/>
        <v>12</v>
      </c>
      <c r="AF28">
        <f t="shared" si="14"/>
        <v>158.20090000000062</v>
      </c>
      <c r="AG28">
        <f t="shared" si="2"/>
        <v>0</v>
      </c>
      <c r="AH28">
        <f t="shared" si="3"/>
        <v>158.20090000000062</v>
      </c>
      <c r="AI28">
        <f t="shared" si="4"/>
        <v>15820.090000000062</v>
      </c>
      <c r="AU28">
        <f t="shared" si="20"/>
        <v>12</v>
      </c>
      <c r="AV28">
        <f t="shared" si="5"/>
        <v>24</v>
      </c>
      <c r="AW28">
        <f t="shared" si="15"/>
        <v>0</v>
      </c>
      <c r="AX28">
        <f t="shared" si="6"/>
        <v>0</v>
      </c>
      <c r="AZ28">
        <f t="shared" si="21"/>
        <v>12</v>
      </c>
      <c r="BA28">
        <f t="shared" si="7"/>
        <v>67.7</v>
      </c>
      <c r="BB28">
        <f t="shared" si="8"/>
        <v>0</v>
      </c>
      <c r="BC28">
        <f t="shared" si="9"/>
        <v>0</v>
      </c>
    </row>
    <row r="29" spans="2:55" x14ac:dyDescent="0.25">
      <c r="B29" t="s">
        <v>67</v>
      </c>
      <c r="C29" s="18">
        <f>S41</f>
        <v>0.93904761904762013</v>
      </c>
      <c r="M29">
        <f t="shared" si="16"/>
        <v>13</v>
      </c>
      <c r="N29">
        <v>23</v>
      </c>
      <c r="O29">
        <v>0.45500000000000002</v>
      </c>
      <c r="Q29">
        <f t="shared" si="17"/>
        <v>13</v>
      </c>
      <c r="R29">
        <f t="shared" si="0"/>
        <v>0</v>
      </c>
      <c r="S29" s="16">
        <v>350</v>
      </c>
      <c r="T29" s="16">
        <v>14.000000000001425</v>
      </c>
      <c r="U29" s="16">
        <v>0</v>
      </c>
      <c r="V29">
        <f t="shared" si="10"/>
        <v>364.00000000000142</v>
      </c>
      <c r="W29">
        <v>364</v>
      </c>
      <c r="Y29">
        <f t="shared" si="18"/>
        <v>13</v>
      </c>
      <c r="Z29">
        <f t="shared" si="1"/>
        <v>0</v>
      </c>
      <c r="AA29">
        <f t="shared" si="11"/>
        <v>11760.000000000056</v>
      </c>
      <c r="AB29">
        <f t="shared" si="12"/>
        <v>0</v>
      </c>
      <c r="AC29">
        <f t="shared" si="13"/>
        <v>11760.000000000056</v>
      </c>
      <c r="AE29">
        <f t="shared" si="19"/>
        <v>13</v>
      </c>
      <c r="AF29">
        <f t="shared" si="14"/>
        <v>155.55540000000076</v>
      </c>
      <c r="AG29">
        <f t="shared" si="2"/>
        <v>0</v>
      </c>
      <c r="AH29">
        <f t="shared" si="3"/>
        <v>155.55540000000076</v>
      </c>
      <c r="AI29">
        <f t="shared" si="4"/>
        <v>15555.540000000075</v>
      </c>
      <c r="AU29">
        <f t="shared" si="20"/>
        <v>13</v>
      </c>
      <c r="AV29">
        <f t="shared" si="5"/>
        <v>23</v>
      </c>
      <c r="AW29">
        <f t="shared" si="15"/>
        <v>0</v>
      </c>
      <c r="AX29">
        <f t="shared" si="6"/>
        <v>0</v>
      </c>
      <c r="AZ29">
        <f t="shared" si="21"/>
        <v>13</v>
      </c>
      <c r="BA29">
        <f t="shared" si="7"/>
        <v>66.7</v>
      </c>
      <c r="BB29">
        <f t="shared" si="8"/>
        <v>0</v>
      </c>
      <c r="BC29">
        <f t="shared" si="9"/>
        <v>0</v>
      </c>
    </row>
    <row r="30" spans="2:55" x14ac:dyDescent="0.25">
      <c r="B30" t="s">
        <v>68</v>
      </c>
      <c r="C30" s="18">
        <f>IFERROR(T41,0)</f>
        <v>0.13333333333334049</v>
      </c>
      <c r="M30">
        <f t="shared" si="16"/>
        <v>14</v>
      </c>
      <c r="N30">
        <v>23</v>
      </c>
      <c r="O30">
        <v>0.46</v>
      </c>
      <c r="Q30">
        <f t="shared" si="17"/>
        <v>14</v>
      </c>
      <c r="R30">
        <f t="shared" si="0"/>
        <v>0</v>
      </c>
      <c r="S30" s="16">
        <v>350</v>
      </c>
      <c r="T30" s="16">
        <v>7.0000000000017311</v>
      </c>
      <c r="U30" s="16">
        <v>0</v>
      </c>
      <c r="V30">
        <f t="shared" si="10"/>
        <v>357.00000000000171</v>
      </c>
      <c r="W30">
        <v>357</v>
      </c>
      <c r="Y30">
        <f t="shared" si="18"/>
        <v>14</v>
      </c>
      <c r="Z30">
        <f t="shared" si="1"/>
        <v>0</v>
      </c>
      <c r="AA30">
        <f t="shared" si="11"/>
        <v>11480.000000000069</v>
      </c>
      <c r="AB30">
        <f t="shared" si="12"/>
        <v>0</v>
      </c>
      <c r="AC30">
        <f t="shared" si="13"/>
        <v>11480.000000000069</v>
      </c>
      <c r="AE30">
        <f t="shared" si="19"/>
        <v>14</v>
      </c>
      <c r="AF30">
        <f t="shared" si="14"/>
        <v>151.8517000000009</v>
      </c>
      <c r="AG30">
        <f t="shared" si="2"/>
        <v>0</v>
      </c>
      <c r="AH30">
        <f t="shared" si="3"/>
        <v>151.8517000000009</v>
      </c>
      <c r="AI30">
        <f t="shared" si="4"/>
        <v>15185.170000000091</v>
      </c>
      <c r="AU30">
        <f t="shared" si="20"/>
        <v>14</v>
      </c>
      <c r="AV30">
        <f t="shared" si="5"/>
        <v>23</v>
      </c>
      <c r="AW30">
        <f t="shared" si="15"/>
        <v>0</v>
      </c>
      <c r="AX30">
        <f t="shared" si="6"/>
        <v>0</v>
      </c>
      <c r="AZ30">
        <f t="shared" si="21"/>
        <v>14</v>
      </c>
      <c r="BA30">
        <f t="shared" si="7"/>
        <v>66.7</v>
      </c>
      <c r="BB30">
        <f t="shared" si="8"/>
        <v>0</v>
      </c>
      <c r="BC30">
        <f t="shared" si="9"/>
        <v>0</v>
      </c>
    </row>
    <row r="31" spans="2:55" x14ac:dyDescent="0.25">
      <c r="B31" t="s">
        <v>89</v>
      </c>
      <c r="C31" s="19">
        <f>(C29*S11+C30*C23)/(S11+C23)</f>
        <v>0.74637681159420477</v>
      </c>
      <c r="M31">
        <f t="shared" si="16"/>
        <v>15</v>
      </c>
      <c r="N31">
        <v>23</v>
      </c>
      <c r="O31">
        <v>0.46</v>
      </c>
      <c r="Q31">
        <f t="shared" si="17"/>
        <v>15</v>
      </c>
      <c r="R31">
        <f t="shared" si="0"/>
        <v>0</v>
      </c>
      <c r="S31" s="16">
        <v>350</v>
      </c>
      <c r="T31" s="16">
        <v>3.0000000000017493</v>
      </c>
      <c r="U31" s="16">
        <v>0</v>
      </c>
      <c r="V31">
        <f t="shared" si="10"/>
        <v>353.00000000000176</v>
      </c>
      <c r="W31">
        <v>353</v>
      </c>
      <c r="Y31">
        <f t="shared" si="18"/>
        <v>15</v>
      </c>
      <c r="Z31">
        <f t="shared" si="1"/>
        <v>0</v>
      </c>
      <c r="AA31">
        <f t="shared" si="11"/>
        <v>11320.000000000069</v>
      </c>
      <c r="AB31">
        <f t="shared" si="12"/>
        <v>0</v>
      </c>
      <c r="AC31">
        <f t="shared" si="13"/>
        <v>11320.000000000069</v>
      </c>
      <c r="AE31">
        <f t="shared" si="19"/>
        <v>15</v>
      </c>
      <c r="AF31">
        <f t="shared" si="14"/>
        <v>149.73530000000093</v>
      </c>
      <c r="AG31">
        <f t="shared" si="2"/>
        <v>0</v>
      </c>
      <c r="AH31">
        <f t="shared" si="3"/>
        <v>149.73530000000093</v>
      </c>
      <c r="AI31">
        <f t="shared" si="4"/>
        <v>14973.530000000093</v>
      </c>
      <c r="AU31">
        <f t="shared" si="20"/>
        <v>15</v>
      </c>
      <c r="AV31">
        <f t="shared" si="5"/>
        <v>23</v>
      </c>
      <c r="AW31">
        <f t="shared" si="15"/>
        <v>0</v>
      </c>
      <c r="AX31">
        <f t="shared" si="6"/>
        <v>0</v>
      </c>
      <c r="AZ31">
        <f t="shared" si="21"/>
        <v>15</v>
      </c>
      <c r="BA31">
        <f t="shared" si="7"/>
        <v>66.7</v>
      </c>
      <c r="BB31">
        <f t="shared" si="8"/>
        <v>0</v>
      </c>
      <c r="BC31">
        <f t="shared" si="9"/>
        <v>0</v>
      </c>
    </row>
    <row r="32" spans="2:55" x14ac:dyDescent="0.25">
      <c r="G32" s="2"/>
      <c r="H32" s="2"/>
      <c r="I32" s="2"/>
      <c r="J32" s="2"/>
      <c r="K32" s="2"/>
      <c r="M32">
        <f t="shared" si="16"/>
        <v>16</v>
      </c>
      <c r="N32">
        <v>26</v>
      </c>
      <c r="O32">
        <v>0.46</v>
      </c>
      <c r="Q32">
        <f t="shared" si="17"/>
        <v>16</v>
      </c>
      <c r="R32">
        <f t="shared" si="0"/>
        <v>0</v>
      </c>
      <c r="S32" s="16">
        <v>350</v>
      </c>
      <c r="T32" s="16">
        <v>6.0000000000017311</v>
      </c>
      <c r="U32" s="16">
        <v>0</v>
      </c>
      <c r="V32">
        <f t="shared" si="10"/>
        <v>356.00000000000171</v>
      </c>
      <c r="W32">
        <v>356</v>
      </c>
      <c r="Y32">
        <f t="shared" si="18"/>
        <v>16</v>
      </c>
      <c r="Z32">
        <f t="shared" si="1"/>
        <v>0</v>
      </c>
      <c r="AA32">
        <f t="shared" si="11"/>
        <v>11440.000000000069</v>
      </c>
      <c r="AB32">
        <f t="shared" si="12"/>
        <v>0</v>
      </c>
      <c r="AC32">
        <f t="shared" si="13"/>
        <v>11440.000000000069</v>
      </c>
      <c r="AE32">
        <f t="shared" si="19"/>
        <v>16</v>
      </c>
      <c r="AF32">
        <f t="shared" si="14"/>
        <v>151.3226000000009</v>
      </c>
      <c r="AG32">
        <f t="shared" si="2"/>
        <v>0</v>
      </c>
      <c r="AH32">
        <f t="shared" si="3"/>
        <v>151.3226000000009</v>
      </c>
      <c r="AI32">
        <f t="shared" si="4"/>
        <v>15132.260000000091</v>
      </c>
      <c r="AU32">
        <f t="shared" si="20"/>
        <v>16</v>
      </c>
      <c r="AV32">
        <f t="shared" si="5"/>
        <v>26</v>
      </c>
      <c r="AW32">
        <f t="shared" si="15"/>
        <v>0</v>
      </c>
      <c r="AX32">
        <f t="shared" si="6"/>
        <v>0</v>
      </c>
      <c r="AZ32">
        <f t="shared" si="21"/>
        <v>16</v>
      </c>
      <c r="BA32">
        <f t="shared" si="7"/>
        <v>69.7</v>
      </c>
      <c r="BB32">
        <f t="shared" si="8"/>
        <v>0</v>
      </c>
      <c r="BC32">
        <f t="shared" si="9"/>
        <v>0</v>
      </c>
    </row>
    <row r="33" spans="2:55" x14ac:dyDescent="0.25">
      <c r="M33">
        <f t="shared" si="16"/>
        <v>17</v>
      </c>
      <c r="N33">
        <v>40</v>
      </c>
      <c r="O33">
        <v>0.45</v>
      </c>
      <c r="Q33">
        <f t="shared" si="17"/>
        <v>17</v>
      </c>
      <c r="R33">
        <f t="shared" si="0"/>
        <v>0</v>
      </c>
      <c r="S33" s="16">
        <v>350</v>
      </c>
      <c r="T33" s="16">
        <v>24.000000000000913</v>
      </c>
      <c r="U33" s="16">
        <v>0</v>
      </c>
      <c r="V33">
        <f t="shared" si="10"/>
        <v>374.00000000000091</v>
      </c>
      <c r="W33">
        <v>374</v>
      </c>
      <c r="Y33">
        <f t="shared" si="18"/>
        <v>17</v>
      </c>
      <c r="Z33">
        <f t="shared" si="1"/>
        <v>0</v>
      </c>
      <c r="AA33">
        <f t="shared" si="11"/>
        <v>12160.000000000036</v>
      </c>
      <c r="AB33">
        <f t="shared" si="12"/>
        <v>0</v>
      </c>
      <c r="AC33">
        <f t="shared" si="13"/>
        <v>12160.000000000036</v>
      </c>
      <c r="AE33">
        <f t="shared" si="19"/>
        <v>17</v>
      </c>
      <c r="AF33">
        <f t="shared" si="14"/>
        <v>160.84640000000047</v>
      </c>
      <c r="AG33">
        <f t="shared" si="2"/>
        <v>0</v>
      </c>
      <c r="AH33">
        <f t="shared" si="3"/>
        <v>160.84640000000047</v>
      </c>
      <c r="AI33">
        <f t="shared" si="4"/>
        <v>16084.640000000047</v>
      </c>
      <c r="AU33">
        <f t="shared" si="20"/>
        <v>17</v>
      </c>
      <c r="AV33">
        <f t="shared" si="5"/>
        <v>40</v>
      </c>
      <c r="AW33">
        <f t="shared" si="15"/>
        <v>350</v>
      </c>
      <c r="AX33">
        <f t="shared" si="6"/>
        <v>100</v>
      </c>
      <c r="AZ33">
        <f t="shared" si="21"/>
        <v>17</v>
      </c>
      <c r="BA33">
        <f t="shared" si="7"/>
        <v>83.7</v>
      </c>
      <c r="BB33">
        <f t="shared" si="8"/>
        <v>350</v>
      </c>
      <c r="BC33">
        <f t="shared" si="9"/>
        <v>0</v>
      </c>
    </row>
    <row r="34" spans="2:55" x14ac:dyDescent="0.25">
      <c r="B34" s="6" t="s">
        <v>91</v>
      </c>
      <c r="C34" s="1"/>
      <c r="M34">
        <f t="shared" si="16"/>
        <v>18</v>
      </c>
      <c r="N34">
        <v>55</v>
      </c>
      <c r="O34">
        <v>0.41499999999999998</v>
      </c>
      <c r="Q34">
        <f t="shared" si="17"/>
        <v>18</v>
      </c>
      <c r="R34">
        <f t="shared" si="0"/>
        <v>0</v>
      </c>
      <c r="S34" s="16">
        <v>350</v>
      </c>
      <c r="T34" s="16">
        <v>50.000000000001812</v>
      </c>
      <c r="U34" s="16">
        <v>0</v>
      </c>
      <c r="V34">
        <f t="shared" si="10"/>
        <v>400.00000000000182</v>
      </c>
      <c r="W34">
        <v>400</v>
      </c>
      <c r="Y34">
        <f t="shared" si="18"/>
        <v>18</v>
      </c>
      <c r="Z34">
        <f t="shared" si="1"/>
        <v>0</v>
      </c>
      <c r="AA34">
        <f t="shared" si="11"/>
        <v>13200.000000000073</v>
      </c>
      <c r="AB34">
        <f t="shared" si="12"/>
        <v>0</v>
      </c>
      <c r="AC34">
        <f t="shared" si="13"/>
        <v>13200.000000000073</v>
      </c>
      <c r="AE34">
        <f t="shared" si="19"/>
        <v>18</v>
      </c>
      <c r="AF34">
        <f t="shared" si="14"/>
        <v>174.60300000000095</v>
      </c>
      <c r="AG34">
        <f t="shared" si="2"/>
        <v>0</v>
      </c>
      <c r="AH34">
        <f t="shared" si="3"/>
        <v>174.60300000000095</v>
      </c>
      <c r="AI34">
        <f t="shared" si="4"/>
        <v>17460.300000000094</v>
      </c>
      <c r="AU34">
        <f t="shared" si="20"/>
        <v>18</v>
      </c>
      <c r="AV34">
        <f t="shared" si="5"/>
        <v>55</v>
      </c>
      <c r="AW34">
        <f t="shared" si="15"/>
        <v>350</v>
      </c>
      <c r="AX34">
        <f t="shared" si="6"/>
        <v>100</v>
      </c>
      <c r="AZ34">
        <f t="shared" si="21"/>
        <v>18</v>
      </c>
      <c r="BA34">
        <f t="shared" si="7"/>
        <v>98.7</v>
      </c>
      <c r="BB34">
        <f t="shared" si="8"/>
        <v>350</v>
      </c>
      <c r="BC34">
        <f t="shared" si="9"/>
        <v>100</v>
      </c>
    </row>
    <row r="35" spans="2:55" ht="15.75" thickBot="1" x14ac:dyDescent="0.3">
      <c r="C35" s="1"/>
      <c r="M35">
        <f t="shared" si="16"/>
        <v>19</v>
      </c>
      <c r="N35">
        <v>54</v>
      </c>
      <c r="O35">
        <v>0.435</v>
      </c>
      <c r="Q35">
        <f t="shared" si="17"/>
        <v>19</v>
      </c>
      <c r="R35">
        <f t="shared" si="0"/>
        <v>0</v>
      </c>
      <c r="S35" s="16">
        <v>350</v>
      </c>
      <c r="T35" s="16">
        <v>49.99999999999973</v>
      </c>
      <c r="U35" s="16">
        <v>0</v>
      </c>
      <c r="V35">
        <f t="shared" si="10"/>
        <v>399.99999999999972</v>
      </c>
      <c r="W35">
        <v>400</v>
      </c>
      <c r="Y35">
        <f t="shared" si="18"/>
        <v>19</v>
      </c>
      <c r="Z35">
        <f t="shared" si="1"/>
        <v>0</v>
      </c>
      <c r="AA35">
        <f t="shared" si="11"/>
        <v>13199.999999999989</v>
      </c>
      <c r="AB35">
        <f t="shared" si="12"/>
        <v>0</v>
      </c>
      <c r="AC35">
        <f t="shared" si="13"/>
        <v>13199.999999999989</v>
      </c>
      <c r="AE35">
        <f t="shared" si="19"/>
        <v>19</v>
      </c>
      <c r="AF35">
        <f t="shared" si="14"/>
        <v>174.60299999999984</v>
      </c>
      <c r="AG35">
        <f t="shared" si="2"/>
        <v>0</v>
      </c>
      <c r="AH35">
        <f t="shared" si="3"/>
        <v>174.60299999999984</v>
      </c>
      <c r="AI35">
        <f t="shared" si="4"/>
        <v>17460.299999999985</v>
      </c>
      <c r="AU35">
        <f t="shared" si="20"/>
        <v>19</v>
      </c>
      <c r="AV35">
        <f t="shared" si="5"/>
        <v>54</v>
      </c>
      <c r="AW35">
        <f t="shared" si="15"/>
        <v>350</v>
      </c>
      <c r="AX35">
        <f t="shared" si="6"/>
        <v>100</v>
      </c>
      <c r="AZ35">
        <f t="shared" si="21"/>
        <v>19</v>
      </c>
      <c r="BA35">
        <f t="shared" si="7"/>
        <v>97.7</v>
      </c>
      <c r="BB35">
        <f t="shared" si="8"/>
        <v>350</v>
      </c>
      <c r="BC35">
        <f t="shared" si="9"/>
        <v>100</v>
      </c>
    </row>
    <row r="36" spans="2:55" x14ac:dyDescent="0.25">
      <c r="B36" t="s">
        <v>83</v>
      </c>
      <c r="C36" s="23" t="s">
        <v>84</v>
      </c>
      <c r="D36" s="24" t="s">
        <v>34</v>
      </c>
      <c r="E36" s="23" t="s">
        <v>84</v>
      </c>
      <c r="F36" s="24" t="s">
        <v>34</v>
      </c>
      <c r="G36" s="23" t="s">
        <v>84</v>
      </c>
      <c r="H36" s="24" t="s">
        <v>34</v>
      </c>
      <c r="I36" s="23" t="s">
        <v>84</v>
      </c>
      <c r="J36" s="24" t="s">
        <v>34</v>
      </c>
      <c r="M36">
        <f t="shared" si="16"/>
        <v>20</v>
      </c>
      <c r="N36">
        <v>51</v>
      </c>
      <c r="O36">
        <v>0.46</v>
      </c>
      <c r="Q36">
        <f t="shared" si="17"/>
        <v>20</v>
      </c>
      <c r="R36">
        <f t="shared" si="0"/>
        <v>0</v>
      </c>
      <c r="S36" s="16">
        <v>350</v>
      </c>
      <c r="T36" s="16">
        <v>41.000000000001464</v>
      </c>
      <c r="U36" s="16">
        <v>0</v>
      </c>
      <c r="V36">
        <f t="shared" si="10"/>
        <v>391.00000000000148</v>
      </c>
      <c r="W36">
        <v>391</v>
      </c>
      <c r="Y36">
        <f t="shared" si="18"/>
        <v>20</v>
      </c>
      <c r="Z36">
        <f t="shared" si="1"/>
        <v>0</v>
      </c>
      <c r="AA36">
        <f t="shared" si="11"/>
        <v>12840.000000000058</v>
      </c>
      <c r="AB36">
        <f t="shared" si="12"/>
        <v>0</v>
      </c>
      <c r="AC36">
        <f t="shared" si="13"/>
        <v>12840.000000000058</v>
      </c>
      <c r="AE36">
        <f t="shared" si="19"/>
        <v>20</v>
      </c>
      <c r="AF36">
        <f t="shared" si="14"/>
        <v>169.84110000000078</v>
      </c>
      <c r="AG36">
        <f t="shared" si="2"/>
        <v>0</v>
      </c>
      <c r="AH36">
        <f t="shared" si="3"/>
        <v>169.84110000000078</v>
      </c>
      <c r="AI36">
        <f t="shared" si="4"/>
        <v>16984.110000000077</v>
      </c>
      <c r="AU36">
        <f t="shared" si="20"/>
        <v>20</v>
      </c>
      <c r="AV36">
        <f t="shared" si="5"/>
        <v>51</v>
      </c>
      <c r="AW36">
        <f t="shared" si="15"/>
        <v>350</v>
      </c>
      <c r="AX36">
        <f t="shared" si="6"/>
        <v>100</v>
      </c>
      <c r="AZ36">
        <f t="shared" si="21"/>
        <v>20</v>
      </c>
      <c r="BA36">
        <f t="shared" si="7"/>
        <v>94.7</v>
      </c>
      <c r="BB36">
        <f t="shared" si="8"/>
        <v>350</v>
      </c>
      <c r="BC36">
        <f t="shared" si="9"/>
        <v>100</v>
      </c>
    </row>
    <row r="37" spans="2:55" x14ac:dyDescent="0.25">
      <c r="B37" t="s">
        <v>4</v>
      </c>
      <c r="C37" s="25">
        <v>100</v>
      </c>
      <c r="D37" s="26">
        <v>0</v>
      </c>
      <c r="E37" s="25">
        <v>100</v>
      </c>
      <c r="F37" s="26">
        <v>0</v>
      </c>
      <c r="G37" s="25">
        <v>100</v>
      </c>
      <c r="H37" s="26">
        <v>0</v>
      </c>
      <c r="I37" s="25">
        <v>100</v>
      </c>
      <c r="J37" s="26">
        <v>0</v>
      </c>
      <c r="M37">
        <f t="shared" si="16"/>
        <v>21</v>
      </c>
      <c r="N37">
        <v>47</v>
      </c>
      <c r="O37">
        <v>0.46</v>
      </c>
      <c r="Q37">
        <f t="shared" si="17"/>
        <v>21</v>
      </c>
      <c r="R37">
        <f t="shared" si="0"/>
        <v>0</v>
      </c>
      <c r="S37" s="16">
        <v>350</v>
      </c>
      <c r="T37" s="16">
        <v>27.000000000001741</v>
      </c>
      <c r="U37" s="16">
        <v>0</v>
      </c>
      <c r="V37">
        <f t="shared" si="10"/>
        <v>377.00000000000176</v>
      </c>
      <c r="W37">
        <v>377</v>
      </c>
      <c r="Y37">
        <f t="shared" si="18"/>
        <v>21</v>
      </c>
      <c r="Z37">
        <f t="shared" si="1"/>
        <v>0</v>
      </c>
      <c r="AA37">
        <f t="shared" si="11"/>
        <v>12280.000000000069</v>
      </c>
      <c r="AB37">
        <f t="shared" si="12"/>
        <v>0</v>
      </c>
      <c r="AC37">
        <f t="shared" si="13"/>
        <v>12280.000000000069</v>
      </c>
      <c r="AE37">
        <f t="shared" si="19"/>
        <v>21</v>
      </c>
      <c r="AF37">
        <f t="shared" si="14"/>
        <v>162.43370000000093</v>
      </c>
      <c r="AG37">
        <f t="shared" si="2"/>
        <v>0</v>
      </c>
      <c r="AH37">
        <f t="shared" si="3"/>
        <v>162.43370000000093</v>
      </c>
      <c r="AI37">
        <f t="shared" si="4"/>
        <v>16243.370000000092</v>
      </c>
      <c r="AU37">
        <f t="shared" si="20"/>
        <v>21</v>
      </c>
      <c r="AV37">
        <f t="shared" si="5"/>
        <v>47</v>
      </c>
      <c r="AW37">
        <f t="shared" si="15"/>
        <v>350</v>
      </c>
      <c r="AX37">
        <f t="shared" si="6"/>
        <v>100</v>
      </c>
      <c r="AZ37">
        <f t="shared" si="21"/>
        <v>21</v>
      </c>
      <c r="BA37">
        <f t="shared" si="7"/>
        <v>90.7</v>
      </c>
      <c r="BB37">
        <f t="shared" si="8"/>
        <v>350</v>
      </c>
      <c r="BC37">
        <f t="shared" si="9"/>
        <v>0</v>
      </c>
    </row>
    <row r="38" spans="2:55" x14ac:dyDescent="0.25">
      <c r="B38" t="s">
        <v>79</v>
      </c>
      <c r="C38" s="27" t="s">
        <v>43</v>
      </c>
      <c r="D38" s="28" t="s">
        <v>88</v>
      </c>
      <c r="E38" s="27" t="s">
        <v>58</v>
      </c>
      <c r="F38" s="28" t="s">
        <v>88</v>
      </c>
      <c r="G38" s="27" t="s">
        <v>43</v>
      </c>
      <c r="H38" s="28" t="s">
        <v>88</v>
      </c>
      <c r="I38" s="27" t="s">
        <v>58</v>
      </c>
      <c r="J38" s="28" t="s">
        <v>88</v>
      </c>
      <c r="M38">
        <f t="shared" si="16"/>
        <v>22</v>
      </c>
      <c r="N38">
        <v>39</v>
      </c>
      <c r="O38">
        <v>0.46500000000000002</v>
      </c>
      <c r="Q38">
        <f t="shared" si="17"/>
        <v>22</v>
      </c>
      <c r="R38">
        <f t="shared" si="0"/>
        <v>0</v>
      </c>
      <c r="S38" s="16">
        <v>350</v>
      </c>
      <c r="T38" s="16">
        <v>5.0000000000013385</v>
      </c>
      <c r="U38" s="16">
        <v>0</v>
      </c>
      <c r="V38">
        <f t="shared" si="10"/>
        <v>355.00000000000136</v>
      </c>
      <c r="W38">
        <v>355</v>
      </c>
      <c r="Y38">
        <f t="shared" si="18"/>
        <v>22</v>
      </c>
      <c r="Z38">
        <f t="shared" si="1"/>
        <v>0</v>
      </c>
      <c r="AA38">
        <f t="shared" si="11"/>
        <v>11400.000000000053</v>
      </c>
      <c r="AB38">
        <f t="shared" si="12"/>
        <v>0</v>
      </c>
      <c r="AC38">
        <f t="shared" si="13"/>
        <v>11400.000000000053</v>
      </c>
      <c r="AE38">
        <f t="shared" si="19"/>
        <v>22</v>
      </c>
      <c r="AF38">
        <f t="shared" si="14"/>
        <v>150.79350000000071</v>
      </c>
      <c r="AG38">
        <f t="shared" si="2"/>
        <v>0</v>
      </c>
      <c r="AH38">
        <f t="shared" si="3"/>
        <v>150.79350000000071</v>
      </c>
      <c r="AI38">
        <f t="shared" si="4"/>
        <v>15079.350000000071</v>
      </c>
      <c r="AU38">
        <f t="shared" si="20"/>
        <v>22</v>
      </c>
      <c r="AV38">
        <f t="shared" si="5"/>
        <v>39</v>
      </c>
      <c r="AW38">
        <f t="shared" si="15"/>
        <v>350</v>
      </c>
      <c r="AX38">
        <f t="shared" si="6"/>
        <v>0</v>
      </c>
      <c r="AZ38">
        <f t="shared" si="21"/>
        <v>22</v>
      </c>
      <c r="BA38">
        <f t="shared" si="7"/>
        <v>82.7</v>
      </c>
      <c r="BB38">
        <f t="shared" si="8"/>
        <v>350</v>
      </c>
      <c r="BC38">
        <f t="shared" si="9"/>
        <v>0</v>
      </c>
    </row>
    <row r="39" spans="2:55" x14ac:dyDescent="0.25">
      <c r="B39" t="s">
        <v>18</v>
      </c>
      <c r="C39" s="29">
        <v>50</v>
      </c>
      <c r="D39" s="30">
        <v>50</v>
      </c>
      <c r="E39" s="29">
        <v>50</v>
      </c>
      <c r="F39" s="30">
        <v>50</v>
      </c>
      <c r="G39" s="29">
        <v>100</v>
      </c>
      <c r="H39" s="30">
        <v>100</v>
      </c>
      <c r="I39" s="29">
        <v>100</v>
      </c>
      <c r="J39" s="30">
        <v>100</v>
      </c>
      <c r="M39">
        <f t="shared" si="16"/>
        <v>23</v>
      </c>
      <c r="N39">
        <v>28</v>
      </c>
      <c r="O39">
        <v>0.44500000000000001</v>
      </c>
      <c r="Q39">
        <f t="shared" si="17"/>
        <v>23</v>
      </c>
      <c r="R39">
        <f t="shared" si="0"/>
        <v>0</v>
      </c>
      <c r="S39" s="16">
        <v>323.00000000000176</v>
      </c>
      <c r="T39" s="16">
        <v>0</v>
      </c>
      <c r="U39" s="16">
        <v>0</v>
      </c>
      <c r="V39">
        <f t="shared" si="10"/>
        <v>323.00000000000176</v>
      </c>
      <c r="W39">
        <v>323</v>
      </c>
      <c r="Y39">
        <f t="shared" si="18"/>
        <v>23</v>
      </c>
      <c r="Z39">
        <f t="shared" si="1"/>
        <v>0</v>
      </c>
      <c r="AA39">
        <f t="shared" si="11"/>
        <v>10336.000000000056</v>
      </c>
      <c r="AB39">
        <f t="shared" si="12"/>
        <v>0</v>
      </c>
      <c r="AC39">
        <f t="shared" si="13"/>
        <v>10336.000000000056</v>
      </c>
      <c r="AE39">
        <f t="shared" si="19"/>
        <v>23</v>
      </c>
      <c r="AF39">
        <f t="shared" si="14"/>
        <v>136.71944000000073</v>
      </c>
      <c r="AG39">
        <f t="shared" si="2"/>
        <v>0</v>
      </c>
      <c r="AH39">
        <f t="shared" si="3"/>
        <v>136.71944000000073</v>
      </c>
      <c r="AI39">
        <f t="shared" si="4"/>
        <v>13671.944000000072</v>
      </c>
      <c r="AU39">
        <f t="shared" si="20"/>
        <v>23</v>
      </c>
      <c r="AV39">
        <f t="shared" si="5"/>
        <v>28</v>
      </c>
      <c r="AW39">
        <f t="shared" si="15"/>
        <v>0</v>
      </c>
      <c r="AX39">
        <f t="shared" si="6"/>
        <v>0</v>
      </c>
      <c r="AZ39">
        <f t="shared" si="21"/>
        <v>23</v>
      </c>
      <c r="BA39">
        <f t="shared" si="7"/>
        <v>71.7</v>
      </c>
      <c r="BB39">
        <f t="shared" si="8"/>
        <v>0</v>
      </c>
      <c r="BC39">
        <f t="shared" si="9"/>
        <v>0</v>
      </c>
    </row>
    <row r="40" spans="2:55" x14ac:dyDescent="0.25">
      <c r="B40" t="s">
        <v>75</v>
      </c>
      <c r="C40" s="25">
        <v>0</v>
      </c>
      <c r="D40" s="26">
        <v>0</v>
      </c>
      <c r="E40" s="25">
        <v>0</v>
      </c>
      <c r="F40" s="26">
        <v>776.0869565217406</v>
      </c>
      <c r="G40" s="25">
        <v>0</v>
      </c>
      <c r="H40" s="26">
        <v>0</v>
      </c>
      <c r="I40" s="25">
        <v>0</v>
      </c>
      <c r="J40" s="26">
        <v>0</v>
      </c>
      <c r="M40">
        <f t="shared" si="16"/>
        <v>24</v>
      </c>
      <c r="N40">
        <v>24</v>
      </c>
      <c r="O40">
        <v>0.39</v>
      </c>
      <c r="Q40">
        <f t="shared" si="17"/>
        <v>24</v>
      </c>
      <c r="R40">
        <f t="shared" si="0"/>
        <v>0</v>
      </c>
      <c r="S40" s="16">
        <v>294.00000000000057</v>
      </c>
      <c r="T40" s="16">
        <v>0</v>
      </c>
      <c r="U40" s="16">
        <v>0</v>
      </c>
      <c r="V40">
        <f t="shared" si="10"/>
        <v>294.00000000000057</v>
      </c>
      <c r="W40">
        <v>294</v>
      </c>
      <c r="Y40">
        <f t="shared" si="18"/>
        <v>24</v>
      </c>
      <c r="Z40">
        <f t="shared" si="1"/>
        <v>0</v>
      </c>
      <c r="AA40">
        <f t="shared" si="11"/>
        <v>9408.0000000000182</v>
      </c>
      <c r="AB40">
        <f t="shared" si="12"/>
        <v>0</v>
      </c>
      <c r="AC40">
        <f t="shared" si="13"/>
        <v>9408.0000000000182</v>
      </c>
      <c r="AE40">
        <f t="shared" si="19"/>
        <v>24</v>
      </c>
      <c r="AF40">
        <f t="shared" si="14"/>
        <v>124.44432000000023</v>
      </c>
      <c r="AG40">
        <f t="shared" si="2"/>
        <v>0</v>
      </c>
      <c r="AH40">
        <f t="shared" si="3"/>
        <v>124.44432000000023</v>
      </c>
      <c r="AI40">
        <f t="shared" si="4"/>
        <v>12444.432000000023</v>
      </c>
      <c r="AU40">
        <f t="shared" si="20"/>
        <v>24</v>
      </c>
      <c r="AV40">
        <f t="shared" si="5"/>
        <v>24</v>
      </c>
      <c r="AW40">
        <f t="shared" si="15"/>
        <v>0</v>
      </c>
      <c r="AX40">
        <f t="shared" si="6"/>
        <v>0</v>
      </c>
      <c r="AZ40">
        <f t="shared" si="21"/>
        <v>24</v>
      </c>
      <c r="BA40">
        <f t="shared" si="7"/>
        <v>67.7</v>
      </c>
      <c r="BB40">
        <f t="shared" si="8"/>
        <v>0</v>
      </c>
      <c r="BC40">
        <f t="shared" si="9"/>
        <v>0</v>
      </c>
    </row>
    <row r="41" spans="2:55" x14ac:dyDescent="0.25">
      <c r="B41" t="s">
        <v>76</v>
      </c>
      <c r="C41" s="25">
        <v>9999</v>
      </c>
      <c r="D41" s="26">
        <v>0</v>
      </c>
      <c r="E41" s="25">
        <v>9999</v>
      </c>
      <c r="F41" s="26">
        <v>776.0869565217406</v>
      </c>
      <c r="G41" s="25">
        <v>9999</v>
      </c>
      <c r="H41" s="26">
        <v>0</v>
      </c>
      <c r="I41" s="25">
        <v>9999</v>
      </c>
      <c r="J41" s="26">
        <v>0</v>
      </c>
      <c r="Q41" t="s">
        <v>66</v>
      </c>
      <c r="R41" s="4" t="e">
        <f>AVERAGE(R17:R40)/$C$22</f>
        <v>#DIV/0!</v>
      </c>
      <c r="S41" s="19">
        <f>AVERAGE(S17:S40)/$S$11</f>
        <v>0.93904761904762013</v>
      </c>
      <c r="T41" s="19">
        <f>AVERAGE(T17:T40)/$C$23</f>
        <v>0.13333333333334049</v>
      </c>
      <c r="Y41" t="s">
        <v>17</v>
      </c>
      <c r="Z41">
        <f>SUM(Z17:Z40)</f>
        <v>0</v>
      </c>
      <c r="AA41">
        <f t="shared" ref="AA41:AB41" si="22">SUM(AA17:AA40)</f>
        <v>266496.00000000099</v>
      </c>
      <c r="AB41">
        <f t="shared" si="22"/>
        <v>0</v>
      </c>
      <c r="AC41">
        <f>SUM(AC17:AC40)</f>
        <v>266496.00000000099</v>
      </c>
      <c r="AE41" t="s">
        <v>17</v>
      </c>
      <c r="AF41">
        <f>SUM(AF17:AF40)</f>
        <v>3525.0758400000132</v>
      </c>
      <c r="AG41">
        <f t="shared" ref="AG41:AI41" si="23">SUM(AG17:AG40)</f>
        <v>0</v>
      </c>
      <c r="AH41">
        <f t="shared" si="23"/>
        <v>3525.0758400000132</v>
      </c>
      <c r="AI41">
        <f t="shared" si="23"/>
        <v>352507.58400000143</v>
      </c>
      <c r="AU41" t="s">
        <v>66</v>
      </c>
      <c r="AW41" s="19">
        <f>AVERAGE(AW17:AW40)/$AS$23</f>
        <v>0.33333333333333337</v>
      </c>
      <c r="AX41" s="19">
        <f>AVERAGE(AX17:AX40)/$AS$17</f>
        <v>0.25</v>
      </c>
      <c r="AZ41" t="s">
        <v>66</v>
      </c>
      <c r="BB41" s="19">
        <f>AVERAGE(BB17:BB40)/$AS$23</f>
        <v>0.33333333333333337</v>
      </c>
      <c r="BC41" s="19">
        <f>AVERAGE(BC17:BC40)/$AS$17</f>
        <v>0.125</v>
      </c>
    </row>
    <row r="42" spans="2:55" x14ac:dyDescent="0.25">
      <c r="B42" t="s">
        <v>77</v>
      </c>
      <c r="C42" s="25">
        <v>0</v>
      </c>
      <c r="D42" s="26">
        <v>110.0000000000004</v>
      </c>
      <c r="E42" s="25">
        <v>0</v>
      </c>
      <c r="F42" s="26">
        <v>0</v>
      </c>
      <c r="G42" s="25">
        <v>0</v>
      </c>
      <c r="H42" s="26">
        <v>110.0000000000004</v>
      </c>
      <c r="I42" s="25">
        <v>0</v>
      </c>
      <c r="J42" s="26">
        <v>110.0000000000004</v>
      </c>
    </row>
    <row r="43" spans="2:55" x14ac:dyDescent="0.25">
      <c r="B43" t="s">
        <v>78</v>
      </c>
      <c r="C43" s="25">
        <v>9999</v>
      </c>
      <c r="D43" s="26">
        <v>110.0000000000004</v>
      </c>
      <c r="E43" s="25">
        <v>9999</v>
      </c>
      <c r="F43" s="26">
        <v>0</v>
      </c>
      <c r="G43" s="25">
        <v>9999</v>
      </c>
      <c r="H43" s="26">
        <v>110.0000000000004</v>
      </c>
      <c r="I43" s="25">
        <v>9999</v>
      </c>
      <c r="J43" s="26">
        <v>110.0000000000004</v>
      </c>
    </row>
    <row r="44" spans="2:55" x14ac:dyDescent="0.25">
      <c r="B44" t="s">
        <v>26</v>
      </c>
      <c r="C44" s="31">
        <v>452935.00000000122</v>
      </c>
      <c r="D44" s="32">
        <v>227687</v>
      </c>
      <c r="E44" s="31">
        <v>451675.21000000066</v>
      </c>
      <c r="F44" s="32">
        <v>373833.78260869608</v>
      </c>
      <c r="G44" s="31">
        <v>452935.00000000151</v>
      </c>
      <c r="H44" s="32">
        <v>227687</v>
      </c>
      <c r="I44" s="31">
        <v>618422.38200000231</v>
      </c>
      <c r="J44" s="32">
        <v>227687</v>
      </c>
      <c r="Q44" s="6" t="s">
        <v>5</v>
      </c>
    </row>
    <row r="45" spans="2:55" x14ac:dyDescent="0.25">
      <c r="B45" t="s">
        <v>28</v>
      </c>
      <c r="C45" s="33">
        <v>33000.000000000116</v>
      </c>
      <c r="D45" s="34">
        <v>33000.000000000116</v>
      </c>
      <c r="E45" s="33">
        <v>1.3642420526593955E-10</v>
      </c>
      <c r="F45" s="34">
        <v>0</v>
      </c>
      <c r="G45" s="33">
        <v>33000.00000000024</v>
      </c>
      <c r="H45" s="34">
        <v>33000.000000000116</v>
      </c>
      <c r="I45" s="33">
        <v>33000.000000000182</v>
      </c>
      <c r="J45" s="34">
        <v>33000.000000000116</v>
      </c>
    </row>
    <row r="46" spans="2:55" x14ac:dyDescent="0.25">
      <c r="B46" t="s">
        <v>29</v>
      </c>
      <c r="C46" s="33">
        <v>266496.00000000099</v>
      </c>
      <c r="D46" s="34">
        <v>227687</v>
      </c>
      <c r="E46" s="33">
        <v>373833.78260869626</v>
      </c>
      <c r="F46" s="34">
        <v>373833.78260869608</v>
      </c>
      <c r="G46" s="33">
        <v>266496.00000000105</v>
      </c>
      <c r="H46" s="34">
        <v>227687</v>
      </c>
      <c r="I46" s="33">
        <v>227876.00000000084</v>
      </c>
      <c r="J46" s="34">
        <v>227687</v>
      </c>
      <c r="Q46" t="s">
        <v>64</v>
      </c>
      <c r="R46" t="s">
        <v>63</v>
      </c>
    </row>
    <row r="47" spans="2:55" x14ac:dyDescent="0.25">
      <c r="B47" t="s">
        <v>31</v>
      </c>
      <c r="C47" s="33">
        <v>0</v>
      </c>
      <c r="D47" s="34">
        <v>0</v>
      </c>
      <c r="E47" s="33">
        <v>50447.849999999991</v>
      </c>
      <c r="F47" s="34">
        <v>0</v>
      </c>
      <c r="G47" s="33">
        <v>0</v>
      </c>
      <c r="H47" s="34">
        <v>0</v>
      </c>
      <c r="I47" s="33">
        <v>231610.00000000099</v>
      </c>
      <c r="J47" s="34">
        <v>0</v>
      </c>
      <c r="Q47" t="s">
        <v>60</v>
      </c>
      <c r="R47" s="18">
        <v>0.95</v>
      </c>
      <c r="S47">
        <f>S11</f>
        <v>350</v>
      </c>
    </row>
    <row r="48" spans="2:55" x14ac:dyDescent="0.25">
      <c r="B48" t="s">
        <v>30</v>
      </c>
      <c r="C48" s="33">
        <v>352507.58400000131</v>
      </c>
      <c r="D48" s="34">
        <v>0</v>
      </c>
      <c r="E48" s="33">
        <v>27393.577391304323</v>
      </c>
      <c r="F48" s="34">
        <v>0</v>
      </c>
      <c r="G48" s="33">
        <v>352507.58400000143</v>
      </c>
      <c r="H48" s="34">
        <v>0</v>
      </c>
      <c r="I48" s="33">
        <v>125936.38200000027</v>
      </c>
      <c r="J48" s="34">
        <v>0</v>
      </c>
      <c r="Q48" t="s">
        <v>61</v>
      </c>
      <c r="R48" s="18">
        <v>0.95</v>
      </c>
      <c r="S48" s="17">
        <f>C23</f>
        <v>110.0000000000004</v>
      </c>
    </row>
    <row r="49" spans="2:19" x14ac:dyDescent="0.25">
      <c r="B49" t="s">
        <v>39</v>
      </c>
      <c r="C49" s="33">
        <v>153439.00000000012</v>
      </c>
      <c r="D49" s="34">
        <v>0</v>
      </c>
      <c r="E49" s="33">
        <v>118518.40000000014</v>
      </c>
      <c r="F49" s="34">
        <v>0</v>
      </c>
      <c r="G49" s="33">
        <v>153439.00000000023</v>
      </c>
      <c r="H49" s="34">
        <v>0</v>
      </c>
      <c r="I49" s="33">
        <v>153439.00000000017</v>
      </c>
      <c r="J49" s="34">
        <v>0</v>
      </c>
      <c r="Q49" t="s">
        <v>62</v>
      </c>
      <c r="R49" s="18">
        <v>0.15</v>
      </c>
      <c r="S49">
        <f>R49*C22</f>
        <v>0</v>
      </c>
    </row>
    <row r="50" spans="2:19" x14ac:dyDescent="0.25">
      <c r="B50" t="s">
        <v>32</v>
      </c>
      <c r="C50" s="31">
        <v>452935.00000000122</v>
      </c>
      <c r="D50" s="32">
        <v>260687.00000000012</v>
      </c>
      <c r="E50" s="31">
        <v>542800.03260869649</v>
      </c>
      <c r="F50" s="32">
        <v>373833.78260869608</v>
      </c>
      <c r="G50" s="31">
        <v>452935.00000000151</v>
      </c>
      <c r="H50" s="32">
        <v>260687.00000000012</v>
      </c>
      <c r="I50" s="31">
        <v>645925.0000000021</v>
      </c>
      <c r="J50" s="32">
        <v>260687.00000000012</v>
      </c>
      <c r="R50" t="s">
        <v>65</v>
      </c>
      <c r="S50">
        <f>SUM(S47:S49)</f>
        <v>460.0000000000004</v>
      </c>
    </row>
    <row r="51" spans="2:19" x14ac:dyDescent="0.25">
      <c r="B51" t="s">
        <v>33</v>
      </c>
      <c r="C51" s="33">
        <v>652003.58400000236</v>
      </c>
      <c r="D51" s="34">
        <v>260687.00000000012</v>
      </c>
      <c r="E51" s="33">
        <v>451675.21000000066</v>
      </c>
      <c r="F51" s="34">
        <v>373833.78260869608</v>
      </c>
      <c r="G51" s="33">
        <v>652003.58400000271</v>
      </c>
      <c r="H51" s="34">
        <v>260687.00000000012</v>
      </c>
      <c r="I51" s="33">
        <v>618422.38200000231</v>
      </c>
      <c r="J51" s="34">
        <v>260687.00000000012</v>
      </c>
      <c r="R51" t="s">
        <v>59</v>
      </c>
      <c r="S51">
        <f>MAX(W17:W40)*1.15</f>
        <v>459.99999999999994</v>
      </c>
    </row>
    <row r="52" spans="2:19" x14ac:dyDescent="0.25">
      <c r="C52" s="29"/>
      <c r="D52" s="30"/>
      <c r="E52" s="29"/>
      <c r="F52" s="30"/>
      <c r="G52" s="29"/>
      <c r="H52" s="30"/>
      <c r="I52" s="29"/>
      <c r="J52" s="30"/>
    </row>
    <row r="53" spans="2:19" x14ac:dyDescent="0.25">
      <c r="B53" t="s">
        <v>82</v>
      </c>
      <c r="C53" s="29"/>
      <c r="D53" s="30"/>
      <c r="E53" s="29"/>
      <c r="F53" s="30"/>
      <c r="G53" s="29"/>
      <c r="H53" s="30"/>
      <c r="I53" s="29"/>
      <c r="J53" s="30"/>
    </row>
    <row r="54" spans="2:19" x14ac:dyDescent="0.25">
      <c r="B54" t="s">
        <v>24</v>
      </c>
      <c r="C54" s="35">
        <v>0</v>
      </c>
      <c r="D54" s="36">
        <v>0</v>
      </c>
      <c r="E54" s="35">
        <v>776.0869565217406</v>
      </c>
      <c r="F54" s="36">
        <v>776.0869565217406</v>
      </c>
      <c r="G54" s="35">
        <v>0</v>
      </c>
      <c r="H54" s="36">
        <v>0</v>
      </c>
      <c r="I54" s="35">
        <v>0</v>
      </c>
      <c r="J54" s="36">
        <v>0</v>
      </c>
    </row>
    <row r="55" spans="2:19" x14ac:dyDescent="0.25">
      <c r="B55" t="s">
        <v>25</v>
      </c>
      <c r="C55" s="35">
        <v>110.0000000000004</v>
      </c>
      <c r="D55" s="36">
        <v>110.0000000000004</v>
      </c>
      <c r="E55" s="35">
        <v>4.5474735088646513E-13</v>
      </c>
      <c r="F55" s="36">
        <v>0</v>
      </c>
      <c r="G55" s="35">
        <v>110.0000000000008</v>
      </c>
      <c r="H55" s="36">
        <v>110.0000000000004</v>
      </c>
      <c r="I55" s="35">
        <v>110.00000000000061</v>
      </c>
      <c r="J55" s="36">
        <v>110.0000000000004</v>
      </c>
    </row>
    <row r="56" spans="2:19" x14ac:dyDescent="0.25">
      <c r="B56" t="s">
        <v>80</v>
      </c>
      <c r="C56" s="37">
        <v>33.000000000000114</v>
      </c>
      <c r="D56" s="38">
        <v>33.000000000000114</v>
      </c>
      <c r="E56" s="37">
        <v>1.3642420526593953E-13</v>
      </c>
      <c r="F56" s="38">
        <v>0</v>
      </c>
      <c r="G56" s="37">
        <v>33.000000000000242</v>
      </c>
      <c r="H56" s="38">
        <v>33.000000000000114</v>
      </c>
      <c r="I56" s="37">
        <v>33.000000000000185</v>
      </c>
      <c r="J56" s="38">
        <v>33.000000000000114</v>
      </c>
    </row>
    <row r="57" spans="2:19" x14ac:dyDescent="0.25">
      <c r="B57" t="s">
        <v>81</v>
      </c>
      <c r="C57" s="39">
        <v>266.496000000001</v>
      </c>
      <c r="D57" s="40">
        <v>227.68700000000001</v>
      </c>
      <c r="E57" s="39">
        <v>373.83378260869625</v>
      </c>
      <c r="F57" s="40">
        <v>373.83378260869608</v>
      </c>
      <c r="G57" s="39">
        <v>266.49600000000106</v>
      </c>
      <c r="H57" s="40">
        <v>227.68700000000001</v>
      </c>
      <c r="I57" s="39">
        <v>227.87600000000086</v>
      </c>
      <c r="J57" s="40">
        <v>227.68700000000001</v>
      </c>
    </row>
    <row r="58" spans="2:19" x14ac:dyDescent="0.25">
      <c r="B58" t="s">
        <v>23</v>
      </c>
      <c r="C58" s="39">
        <v>3525.0758400000132</v>
      </c>
      <c r="D58" s="40">
        <v>3580.1609200000003</v>
      </c>
      <c r="E58" s="39">
        <v>778.41427391304308</v>
      </c>
      <c r="F58" s="40">
        <v>778.41427391303955</v>
      </c>
      <c r="G58" s="39">
        <v>3525.0758400000141</v>
      </c>
      <c r="H58" s="40">
        <v>3580.1609200000003</v>
      </c>
      <c r="I58" s="39">
        <v>3575.4638200000131</v>
      </c>
      <c r="J58" s="40">
        <v>3580.1609200000003</v>
      </c>
    </row>
    <row r="59" spans="2:19" x14ac:dyDescent="0.25">
      <c r="B59" t="s">
        <v>40</v>
      </c>
      <c r="C59" s="35">
        <v>352.50758400000132</v>
      </c>
      <c r="D59" s="36">
        <v>0</v>
      </c>
      <c r="E59" s="35">
        <v>77.841427391304308</v>
      </c>
      <c r="F59" s="36">
        <v>0</v>
      </c>
      <c r="G59" s="35">
        <v>352.50758400000143</v>
      </c>
      <c r="H59" s="36">
        <v>0</v>
      </c>
      <c r="I59" s="35">
        <v>357.54638200000124</v>
      </c>
      <c r="J59" s="36">
        <v>0</v>
      </c>
    </row>
    <row r="60" spans="2:19" x14ac:dyDescent="0.25">
      <c r="B60" t="s">
        <v>41</v>
      </c>
      <c r="C60" s="39">
        <v>652.00358400000243</v>
      </c>
      <c r="D60" s="40">
        <v>260.68700000000013</v>
      </c>
      <c r="E60" s="39">
        <v>451.67521000000067</v>
      </c>
      <c r="F60" s="40">
        <v>373.83378260869608</v>
      </c>
      <c r="G60" s="39">
        <v>652.00358400000277</v>
      </c>
      <c r="H60" s="40">
        <v>260.68700000000013</v>
      </c>
      <c r="I60" s="39">
        <v>618.42238200000224</v>
      </c>
      <c r="J60" s="40">
        <v>260.68700000000013</v>
      </c>
    </row>
    <row r="61" spans="2:19" x14ac:dyDescent="0.25">
      <c r="B61" t="s">
        <v>67</v>
      </c>
      <c r="C61" s="43">
        <v>0.93904761904762013</v>
      </c>
      <c r="D61" s="44">
        <v>0.33321428571428574</v>
      </c>
      <c r="E61" s="43">
        <v>7.7044513457556876E-2</v>
      </c>
      <c r="F61" s="44">
        <v>7.7044513457556474E-2</v>
      </c>
      <c r="G61" s="43">
        <v>0.93904761904761991</v>
      </c>
      <c r="H61" s="44">
        <v>0.33321428571428574</v>
      </c>
      <c r="I61" s="43">
        <v>0.33321428571428585</v>
      </c>
      <c r="J61" s="44">
        <v>0.33321428571428574</v>
      </c>
    </row>
    <row r="62" spans="2:19" x14ac:dyDescent="0.25">
      <c r="B62" t="s">
        <v>68</v>
      </c>
      <c r="C62" s="43">
        <v>0.13333333333334049</v>
      </c>
      <c r="D62" s="44">
        <v>7.2727272727272446E-2</v>
      </c>
      <c r="E62" s="43">
        <v>0</v>
      </c>
      <c r="F62" s="44">
        <v>0</v>
      </c>
      <c r="G62" s="43">
        <v>0.13333333333334002</v>
      </c>
      <c r="H62" s="44">
        <v>7.2727272727272446E-2</v>
      </c>
      <c r="I62" s="43">
        <v>5.3409090909092474E-2</v>
      </c>
      <c r="J62" s="44">
        <v>7.2727272727272446E-2</v>
      </c>
    </row>
    <row r="63" spans="2:19" ht="15.75" thickBot="1" x14ac:dyDescent="0.3">
      <c r="B63" t="s">
        <v>89</v>
      </c>
      <c r="C63" s="41">
        <v>0.74637681159420477</v>
      </c>
      <c r="D63" s="45">
        <v>0.27092391304347807</v>
      </c>
      <c r="E63" s="41">
        <v>7.7044513457556779E-2</v>
      </c>
      <c r="F63" s="45">
        <v>7.7044513457556474E-2</v>
      </c>
      <c r="G63" s="41">
        <v>0.74637681159420399</v>
      </c>
      <c r="H63" s="45">
        <v>0.27092391304347807</v>
      </c>
      <c r="I63" s="41">
        <v>0.26630434782608714</v>
      </c>
      <c r="J63" s="45">
        <v>0.27092391304347807</v>
      </c>
    </row>
    <row r="64" spans="2:19" x14ac:dyDescent="0.25">
      <c r="C64" s="19"/>
      <c r="D64" s="19"/>
      <c r="E64" s="19"/>
      <c r="F64" s="19"/>
    </row>
    <row r="67" spans="2:6" x14ac:dyDescent="0.25">
      <c r="B67" t="s">
        <v>95</v>
      </c>
      <c r="C67" s="46" t="s">
        <v>100</v>
      </c>
      <c r="D67" s="46"/>
      <c r="E67" s="46" t="s">
        <v>101</v>
      </c>
      <c r="F67" s="46"/>
    </row>
    <row r="68" spans="2:6" x14ac:dyDescent="0.25">
      <c r="B68" t="s">
        <v>42</v>
      </c>
      <c r="C68" t="s">
        <v>43</v>
      </c>
      <c r="D68" t="s">
        <v>96</v>
      </c>
      <c r="E68" t="s">
        <v>43</v>
      </c>
      <c r="F68" t="s">
        <v>96</v>
      </c>
    </row>
    <row r="69" spans="2:6" x14ac:dyDescent="0.25">
      <c r="B69" t="s">
        <v>24</v>
      </c>
      <c r="C69" s="17">
        <f>D54</f>
        <v>0</v>
      </c>
      <c r="D69" s="17">
        <f>F54</f>
        <v>776.0869565217406</v>
      </c>
      <c r="E69" s="17">
        <f>H54</f>
        <v>0</v>
      </c>
      <c r="F69" s="17">
        <f>J54</f>
        <v>0</v>
      </c>
    </row>
    <row r="70" spans="2:6" x14ac:dyDescent="0.25">
      <c r="B70" t="s">
        <v>25</v>
      </c>
      <c r="C70" s="17">
        <f>D55</f>
        <v>110.0000000000004</v>
      </c>
      <c r="D70" s="17">
        <f>F55</f>
        <v>0</v>
      </c>
      <c r="E70" s="17">
        <f>H55</f>
        <v>110.0000000000004</v>
      </c>
      <c r="F70" s="17">
        <f>J55</f>
        <v>110.0000000000004</v>
      </c>
    </row>
    <row r="71" spans="2:6" x14ac:dyDescent="0.25">
      <c r="B71" t="s">
        <v>98</v>
      </c>
      <c r="C71" s="17">
        <f>D58</f>
        <v>3580.1609200000003</v>
      </c>
      <c r="D71" s="17">
        <f>F58</f>
        <v>778.41427391303955</v>
      </c>
      <c r="E71" s="17">
        <f>H58</f>
        <v>3580.1609200000003</v>
      </c>
      <c r="F71" s="17">
        <f>J58</f>
        <v>3580.1609200000003</v>
      </c>
    </row>
    <row r="72" spans="2:6" x14ac:dyDescent="0.25">
      <c r="B72" t="s">
        <v>102</v>
      </c>
      <c r="C72" s="17">
        <f>D56+D57</f>
        <v>260.68700000000013</v>
      </c>
      <c r="D72" s="17">
        <f>F56+F57</f>
        <v>373.83378260869608</v>
      </c>
      <c r="E72" s="17">
        <f>H56+H57</f>
        <v>260.68700000000013</v>
      </c>
      <c r="F72" s="17">
        <f>J56+J57</f>
        <v>260.68700000000013</v>
      </c>
    </row>
    <row r="73" spans="2:6" x14ac:dyDescent="0.25">
      <c r="B73" t="s">
        <v>99</v>
      </c>
      <c r="C73" s="17">
        <f>C71*C37/1000</f>
        <v>358.01609200000001</v>
      </c>
      <c r="D73" s="17">
        <f>F58*E37/1000</f>
        <v>77.841427391303952</v>
      </c>
      <c r="E73" s="17">
        <f>E71*G37/1000</f>
        <v>358.01609200000001</v>
      </c>
      <c r="F73" s="17">
        <f>F71*I37/1000</f>
        <v>358.01609200000001</v>
      </c>
    </row>
    <row r="74" spans="2:6" x14ac:dyDescent="0.25">
      <c r="B74" t="s">
        <v>97</v>
      </c>
      <c r="C74" s="42">
        <f>C72+C73</f>
        <v>618.7030920000002</v>
      </c>
      <c r="D74" s="42">
        <f>D72+D73</f>
        <v>451.67521000000005</v>
      </c>
      <c r="E74" s="42">
        <f>E72+E73</f>
        <v>618.7030920000002</v>
      </c>
      <c r="F74" s="42">
        <f>F72+F73</f>
        <v>618.7030920000002</v>
      </c>
    </row>
    <row r="75" spans="2:6" x14ac:dyDescent="0.25">
      <c r="D75" s="17">
        <f>C74-D74</f>
        <v>167.02788200000015</v>
      </c>
    </row>
    <row r="79" spans="2:6" x14ac:dyDescent="0.25">
      <c r="B79" s="6" t="s">
        <v>74</v>
      </c>
    </row>
    <row r="80" spans="2:6" x14ac:dyDescent="0.25">
      <c r="C80" t="s">
        <v>72</v>
      </c>
      <c r="D80" t="s">
        <v>73</v>
      </c>
    </row>
    <row r="81" spans="2:4" x14ac:dyDescent="0.25">
      <c r="B81" t="s">
        <v>28</v>
      </c>
      <c r="C81" s="17">
        <f>$O$11*$AS$17</f>
        <v>30000</v>
      </c>
      <c r="D81" s="17">
        <f>$O$11*$AS$17</f>
        <v>30000</v>
      </c>
    </row>
    <row r="82" spans="2:4" x14ac:dyDescent="0.25">
      <c r="B82" t="s">
        <v>29</v>
      </c>
      <c r="C82" s="17">
        <f>SUM(AX17:AX40)*O12*O7</f>
        <v>24000</v>
      </c>
      <c r="D82" s="17">
        <f>SUM(BC17:BC40)*O12*O7</f>
        <v>12000</v>
      </c>
    </row>
    <row r="83" spans="2:4" x14ac:dyDescent="0.25">
      <c r="B83" t="s">
        <v>15</v>
      </c>
      <c r="C83" s="17">
        <f>SUM(AX17:AX40)*O12*O13*C5</f>
        <v>31745.999999999996</v>
      </c>
      <c r="D83" s="17">
        <f>SUM(BC17:BC40)*O12*O13*C5</f>
        <v>15872.999999999998</v>
      </c>
    </row>
    <row r="84" spans="2:4" x14ac:dyDescent="0.25">
      <c r="B84" t="s">
        <v>103</v>
      </c>
      <c r="C84" s="17">
        <f>SUM(C81:C83)/1000</f>
        <v>85.745999999999995</v>
      </c>
      <c r="D84" s="17">
        <f>SUM(D81:D83)/1000</f>
        <v>57.872999999999998</v>
      </c>
    </row>
  </sheetData>
  <mergeCells count="10">
    <mergeCell ref="C67:D67"/>
    <mergeCell ref="E67:F67"/>
    <mergeCell ref="Q12:R12"/>
    <mergeCell ref="Q13:R13"/>
    <mergeCell ref="M5:N5"/>
    <mergeCell ref="M6:N6"/>
    <mergeCell ref="M7:N7"/>
    <mergeCell ref="M11:N11"/>
    <mergeCell ref="M12:N12"/>
    <mergeCell ref="M13:N13"/>
  </mergeCells>
  <dataValidations count="2">
    <dataValidation type="list" allowBlank="1" showInputMessage="1" showErrorMessage="1" sqref="C6" xr:uid="{4E16C754-9396-4D09-A526-795748D35B53}">
      <formula1>"Fixed SCGHG Adder, SCGHG Dynamic with Dispatch, None"</formula1>
    </dataValidation>
    <dataValidation type="list" allowBlank="1" showInputMessage="1" showErrorMessage="1" sqref="C4" xr:uid="{BB566EC5-167E-4A4F-B8AA-92AADD6E14EA}">
      <formula1>"Portfolio, Dispatch"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2022-10-10T07:00:00+00:00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6624F3-5175-47CA-8278-B0AF6C26DC20}"/>
</file>

<file path=customXml/itemProps2.xml><?xml version="1.0" encoding="utf-8"?>
<ds:datastoreItem xmlns:ds="http://schemas.openxmlformats.org/officeDocument/2006/customXml" ds:itemID="{659B23EF-95FC-4E3F-9B1A-EC4739AD9FF2}"/>
</file>

<file path=customXml/itemProps3.xml><?xml version="1.0" encoding="utf-8"?>
<ds:datastoreItem xmlns:ds="http://schemas.openxmlformats.org/officeDocument/2006/customXml" ds:itemID="{3C09580E-23DE-4EC1-89F2-BCDAD578B14C}"/>
</file>

<file path=customXml/itemProps4.xml><?xml version="1.0" encoding="utf-8"?>
<ds:datastoreItem xmlns:ds="http://schemas.openxmlformats.org/officeDocument/2006/customXml" ds:itemID="{13635C9D-9054-494B-8454-3B606F9120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2022-09-09T23:33:42Z</dcterms:created>
  <dcterms:modified xsi:type="dcterms:W3CDTF">2022-09-23T21:35:38Z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