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2_Replace_10xx25\25-08A_PGA\Exh B\"/>
    </mc:Choice>
  </mc:AlternateContent>
  <xr:revisionPtr revIDLastSave="0" documentId="13_ncr:1_{7F8B8134-5E65-4E78-BF03-22E5B061D209}" xr6:coauthVersionLast="47" xr6:coauthVersionMax="47" xr10:uidLastSave="{00000000-0000-0000-0000-000000000000}"/>
  <bookViews>
    <workbookView xWindow="31140" yWindow="675" windowWidth="23910" windowHeight="14610" xr2:uid="{E3E7069C-72BE-46D7-B41A-3E654BF9F754}"/>
  </bookViews>
  <sheets>
    <sheet name="Customer Avg Bill by RS" sheetId="10" r:id="rId1"/>
    <sheet name="Calc of Proposed Rates" sheetId="7" r:id="rId2"/>
    <sheet name="Proposed Rates in detail" sheetId="8" r:id="rId3"/>
    <sheet name=" Combined Effects on Revenue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calcsheet1">#N/A</definedName>
    <definedName name="calcsheet2">#N/A</definedName>
    <definedName name="calcsheet3">#N/A</definedName>
    <definedName name="CMonth">#REF!</definedName>
    <definedName name="CYTD">#REF!</definedName>
    <definedName name="Differences">#REF!</definedName>
    <definedName name="DivM">#REF!</definedName>
    <definedName name="DivY">#REF!</definedName>
    <definedName name="EFFDATE" localSheetId="1">[1]Inputs!$B$71</definedName>
    <definedName name="EFFDATE" localSheetId="0">[2]Inputs!$B$71</definedName>
    <definedName name="EFFDATE" localSheetId="2">[1]Inputs!$B$71</definedName>
    <definedName name="EFFDATE">[3]Inputs!$B$71</definedName>
    <definedName name="EMonth">#REF!,#REF!</definedName>
    <definedName name="ExpM">#REF!</definedName>
    <definedName name="ExpY">#REF!</definedName>
    <definedName name="EYTD">#REF!,#REF!</definedName>
    <definedName name="Month">#REF!</definedName>
    <definedName name="Pal_Workbook_GUID" hidden="1">"VX3CWJGNQX2CCGI81U4N2V76"</definedName>
    <definedName name="_xlnm.Print_Area" localSheetId="3">' Combined Effects on Revenue'!$A$1:$K$38</definedName>
    <definedName name="_xlnm.Print_Area" localSheetId="1">'Calc of Proposed Rates'!$A$1:$R$88</definedName>
    <definedName name="_xlnm.Print_Area" localSheetId="0">'Customer Avg Bill by RS'!$A$1:$AH$103</definedName>
    <definedName name="_xlnm.Print_Area" localSheetId="2">'Proposed Rates in detail'!$A$1:$V$89</definedName>
    <definedName name="_xlnm.Print_Titles" localSheetId="0">'Customer Avg Bill by RS'!$A:$M</definedName>
    <definedName name="print55">#REF!</definedName>
    <definedName name="RevM">#REF!</definedName>
    <definedName name="revsens" localSheetId="0">[2]Inputs!$B$30</definedName>
    <definedName name="revsens">[1]Inputs!$B$30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tDate">#REF!</definedName>
    <definedName name="shitodear">#N/A</definedName>
    <definedName name="shitodear2">#N/A</definedName>
    <definedName name="shitodear3">#N/A</definedName>
    <definedName name="SUBDATA">#REF!</definedName>
    <definedName name="SUMRY1">#REF!</definedName>
    <definedName name="Version">#REF!</definedName>
    <definedName name="wa_revsen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" i="10" l="1"/>
  <c r="AG95" i="10" s="1"/>
  <c r="AV94" i="10"/>
  <c r="AU94" i="10"/>
  <c r="AR94" i="10"/>
  <c r="AM94" i="10"/>
  <c r="AL94" i="10"/>
  <c r="AI94" i="10"/>
  <c r="AG94" i="10"/>
  <c r="AF94" i="10"/>
  <c r="AC94" i="10"/>
  <c r="AD94" i="10" s="1"/>
  <c r="Z94" i="10"/>
  <c r="AA94" i="10" s="1"/>
  <c r="W94" i="10"/>
  <c r="T94" i="10"/>
  <c r="U94" i="10" s="1"/>
  <c r="Q94" i="10"/>
  <c r="R94" i="10" s="1"/>
  <c r="O94" i="10"/>
  <c r="N94" i="10"/>
  <c r="L94" i="10"/>
  <c r="J94" i="10"/>
  <c r="I94" i="10"/>
  <c r="X94" i="10" s="1"/>
  <c r="D94" i="10"/>
  <c r="AU93" i="10"/>
  <c r="AR93" i="10"/>
  <c r="AQ93" i="10"/>
  <c r="AL93" i="10"/>
  <c r="AI93" i="10"/>
  <c r="AF93" i="10"/>
  <c r="AD93" i="10"/>
  <c r="AE93" i="10" s="1"/>
  <c r="AC93" i="10"/>
  <c r="Z93" i="10"/>
  <c r="X93" i="10"/>
  <c r="Y93" i="10" s="1"/>
  <c r="W93" i="10"/>
  <c r="T93" i="10"/>
  <c r="Q93" i="10"/>
  <c r="N93" i="10"/>
  <c r="O93" i="10" s="1"/>
  <c r="P93" i="10" s="1"/>
  <c r="M93" i="10"/>
  <c r="BB30" i="10" s="1"/>
  <c r="L93" i="10"/>
  <c r="J93" i="10"/>
  <c r="I93" i="10"/>
  <c r="AJ93" i="10" s="1"/>
  <c r="AK93" i="10" s="1"/>
  <c r="D93" i="10"/>
  <c r="AS92" i="10"/>
  <c r="AT92" i="10" s="1"/>
  <c r="AR92" i="10"/>
  <c r="AQ92" i="10"/>
  <c r="AU91" i="10"/>
  <c r="AL91" i="10"/>
  <c r="AI91" i="10"/>
  <c r="AF91" i="10"/>
  <c r="AR91" i="10" s="1"/>
  <c r="AC91" i="10"/>
  <c r="Z91" i="10"/>
  <c r="W91" i="10"/>
  <c r="T91" i="10"/>
  <c r="Q91" i="10"/>
  <c r="N91" i="10"/>
  <c r="L91" i="10"/>
  <c r="AS91" i="10" s="1"/>
  <c r="D91" i="10"/>
  <c r="AU90" i="10"/>
  <c r="AL90" i="10"/>
  <c r="AS90" i="10" s="1"/>
  <c r="AI90" i="10"/>
  <c r="AF90" i="10"/>
  <c r="AR90" i="10" s="1"/>
  <c r="AC90" i="10"/>
  <c r="AQ90" i="10" s="1"/>
  <c r="Z90" i="10"/>
  <c r="W90" i="10"/>
  <c r="T90" i="10"/>
  <c r="Q90" i="10"/>
  <c r="N90" i="10"/>
  <c r="L90" i="10"/>
  <c r="D90" i="10"/>
  <c r="AU89" i="10"/>
  <c r="AR89" i="10"/>
  <c r="AQ89" i="10"/>
  <c r="AL89" i="10"/>
  <c r="AS89" i="10" s="1"/>
  <c r="AT89" i="10" s="1"/>
  <c r="AI89" i="10"/>
  <c r="AF89" i="10"/>
  <c r="AC89" i="10"/>
  <c r="Z89" i="10"/>
  <c r="W89" i="10"/>
  <c r="T89" i="10"/>
  <c r="Q89" i="10"/>
  <c r="N89" i="10"/>
  <c r="L89" i="10"/>
  <c r="D89" i="10"/>
  <c r="AU88" i="10"/>
  <c r="AS88" i="10"/>
  <c r="AR88" i="10"/>
  <c r="AL88" i="10"/>
  <c r="AI88" i="10"/>
  <c r="AF88" i="10"/>
  <c r="AC88" i="10"/>
  <c r="Z88" i="10"/>
  <c r="W88" i="10"/>
  <c r="T88" i="10"/>
  <c r="Q88" i="10"/>
  <c r="N88" i="10"/>
  <c r="L88" i="10"/>
  <c r="AQ88" i="10" s="1"/>
  <c r="D88" i="10"/>
  <c r="AU87" i="10"/>
  <c r="AL87" i="10"/>
  <c r="AI87" i="10"/>
  <c r="AF87" i="10"/>
  <c r="AC87" i="10"/>
  <c r="Z87" i="10"/>
  <c r="W87" i="10"/>
  <c r="T87" i="10"/>
  <c r="Q87" i="10"/>
  <c r="N87" i="10"/>
  <c r="L87" i="10"/>
  <c r="D87" i="10"/>
  <c r="AU86" i="10"/>
  <c r="AL86" i="10"/>
  <c r="AI86" i="10"/>
  <c r="AF86" i="10"/>
  <c r="AR86" i="10" s="1"/>
  <c r="AC86" i="10"/>
  <c r="AQ86" i="10" s="1"/>
  <c r="Z86" i="10"/>
  <c r="W86" i="10"/>
  <c r="T86" i="10"/>
  <c r="Q86" i="10"/>
  <c r="N86" i="10"/>
  <c r="L86" i="10"/>
  <c r="J86" i="10"/>
  <c r="H86" i="10"/>
  <c r="G86" i="10"/>
  <c r="D86" i="10"/>
  <c r="AT85" i="10"/>
  <c r="AS85" i="10"/>
  <c r="AR85" i="10"/>
  <c r="AQ85" i="10"/>
  <c r="AU84" i="10"/>
  <c r="AR84" i="10"/>
  <c r="AL84" i="10"/>
  <c r="AI84" i="10"/>
  <c r="AF84" i="10"/>
  <c r="AC84" i="10"/>
  <c r="AQ84" i="10" s="1"/>
  <c r="Z84" i="10"/>
  <c r="W84" i="10"/>
  <c r="T84" i="10"/>
  <c r="Q84" i="10"/>
  <c r="N84" i="10"/>
  <c r="L84" i="10"/>
  <c r="AS84" i="10" s="1"/>
  <c r="D84" i="10"/>
  <c r="AU83" i="10"/>
  <c r="AR83" i="10"/>
  <c r="AQ83" i="10"/>
  <c r="AL83" i="10"/>
  <c r="AS83" i="10" s="1"/>
  <c r="AT83" i="10" s="1"/>
  <c r="AI83" i="10"/>
  <c r="AF83" i="10"/>
  <c r="AC83" i="10"/>
  <c r="Z83" i="10"/>
  <c r="W83" i="10"/>
  <c r="T83" i="10"/>
  <c r="Q83" i="10"/>
  <c r="N83" i="10"/>
  <c r="L83" i="10"/>
  <c r="D83" i="10"/>
  <c r="AU82" i="10"/>
  <c r="AS82" i="10"/>
  <c r="AL82" i="10"/>
  <c r="AI82" i="10"/>
  <c r="AF82" i="10"/>
  <c r="AR82" i="10" s="1"/>
  <c r="AC82" i="10"/>
  <c r="AQ82" i="10" s="1"/>
  <c r="Z82" i="10"/>
  <c r="W82" i="10"/>
  <c r="T82" i="10"/>
  <c r="Q82" i="10"/>
  <c r="N82" i="10"/>
  <c r="L82" i="10"/>
  <c r="D82" i="10"/>
  <c r="AU81" i="10"/>
  <c r="AL81" i="10"/>
  <c r="AS81" i="10" s="1"/>
  <c r="AT81" i="10" s="1"/>
  <c r="AI81" i="10"/>
  <c r="AF81" i="10"/>
  <c r="AR81" i="10" s="1"/>
  <c r="AC81" i="10"/>
  <c r="AQ81" i="10" s="1"/>
  <c r="Z81" i="10"/>
  <c r="W81" i="10"/>
  <c r="T81" i="10"/>
  <c r="Q81" i="10"/>
  <c r="N81" i="10"/>
  <c r="L81" i="10"/>
  <c r="D81" i="10"/>
  <c r="AU80" i="10"/>
  <c r="AS80" i="10"/>
  <c r="AR80" i="10"/>
  <c r="AL80" i="10"/>
  <c r="AI80" i="10"/>
  <c r="AF80" i="10"/>
  <c r="AC80" i="10"/>
  <c r="AQ80" i="10" s="1"/>
  <c r="Z80" i="10"/>
  <c r="W80" i="10"/>
  <c r="T80" i="10"/>
  <c r="Q80" i="10"/>
  <c r="N80" i="10"/>
  <c r="L80" i="10"/>
  <c r="D80" i="10"/>
  <c r="AU79" i="10"/>
  <c r="AL79" i="10"/>
  <c r="AS79" i="10" s="1"/>
  <c r="AT79" i="10" s="1"/>
  <c r="AI79" i="10"/>
  <c r="AF79" i="10"/>
  <c r="AR79" i="10" s="1"/>
  <c r="AC79" i="10"/>
  <c r="Z79" i="10"/>
  <c r="W79" i="10"/>
  <c r="T79" i="10"/>
  <c r="Q79" i="10"/>
  <c r="N79" i="10"/>
  <c r="L79" i="10"/>
  <c r="AQ79" i="10" s="1"/>
  <c r="J79" i="10"/>
  <c r="H79" i="10"/>
  <c r="G79" i="10"/>
  <c r="I79" i="10" s="1"/>
  <c r="AV85" i="10" s="1"/>
  <c r="D79" i="10"/>
  <c r="AS78" i="10"/>
  <c r="AR78" i="10"/>
  <c r="AQ78" i="10"/>
  <c r="AU77" i="10"/>
  <c r="AL77" i="10"/>
  <c r="AI77" i="10"/>
  <c r="AF77" i="10"/>
  <c r="AC77" i="10"/>
  <c r="Z77" i="10"/>
  <c r="W77" i="10"/>
  <c r="T77" i="10"/>
  <c r="Q77" i="10"/>
  <c r="N77" i="10"/>
  <c r="L77" i="10"/>
  <c r="AS77" i="10" s="1"/>
  <c r="D77" i="10"/>
  <c r="AU76" i="10"/>
  <c r="AR76" i="10"/>
  <c r="AQ76" i="10"/>
  <c r="AL76" i="10"/>
  <c r="AS76" i="10" s="1"/>
  <c r="AI76" i="10"/>
  <c r="AF76" i="10"/>
  <c r="AC76" i="10"/>
  <c r="Z76" i="10"/>
  <c r="W76" i="10"/>
  <c r="T76" i="10"/>
  <c r="Q76" i="10"/>
  <c r="N76" i="10"/>
  <c r="L76" i="10"/>
  <c r="D76" i="10"/>
  <c r="AU75" i="10"/>
  <c r="AS75" i="10"/>
  <c r="AT75" i="10" s="1"/>
  <c r="AL75" i="10"/>
  <c r="AI75" i="10"/>
  <c r="AF75" i="10"/>
  <c r="AR75" i="10" s="1"/>
  <c r="AC75" i="10"/>
  <c r="AQ75" i="10" s="1"/>
  <c r="Z75" i="10"/>
  <c r="W75" i="10"/>
  <c r="T75" i="10"/>
  <c r="Q75" i="10"/>
  <c r="N75" i="10"/>
  <c r="L75" i="10"/>
  <c r="D75" i="10"/>
  <c r="AU74" i="10"/>
  <c r="AL74" i="10"/>
  <c r="AS74" i="10" s="1"/>
  <c r="AI74" i="10"/>
  <c r="AF74" i="10"/>
  <c r="AC74" i="10"/>
  <c r="Z74" i="10"/>
  <c r="W74" i="10"/>
  <c r="T74" i="10"/>
  <c r="Q74" i="10"/>
  <c r="N74" i="10"/>
  <c r="L74" i="10"/>
  <c r="AR74" i="10" s="1"/>
  <c r="D74" i="10"/>
  <c r="AU73" i="10"/>
  <c r="AS73" i="10"/>
  <c r="AR73" i="10"/>
  <c r="AL73" i="10"/>
  <c r="AI73" i="10"/>
  <c r="AF73" i="10"/>
  <c r="AC73" i="10"/>
  <c r="Z73" i="10"/>
  <c r="W73" i="10"/>
  <c r="T73" i="10"/>
  <c r="Q73" i="10"/>
  <c r="N73" i="10"/>
  <c r="L73" i="10"/>
  <c r="D73" i="10"/>
  <c r="AU72" i="10"/>
  <c r="AL72" i="10"/>
  <c r="AS72" i="10" s="1"/>
  <c r="AT72" i="10" s="1"/>
  <c r="AI72" i="10"/>
  <c r="AF72" i="10"/>
  <c r="AR72" i="10" s="1"/>
  <c r="AC72" i="10"/>
  <c r="AQ72" i="10" s="1"/>
  <c r="Z72" i="10"/>
  <c r="W72" i="10"/>
  <c r="T72" i="10"/>
  <c r="Q72" i="10"/>
  <c r="N72" i="10"/>
  <c r="L72" i="10"/>
  <c r="J72" i="10"/>
  <c r="H72" i="10"/>
  <c r="D72" i="10"/>
  <c r="AT71" i="10"/>
  <c r="AS71" i="10"/>
  <c r="AR71" i="10"/>
  <c r="AQ71" i="10"/>
  <c r="R71" i="10"/>
  <c r="AU70" i="10"/>
  <c r="AS70" i="10"/>
  <c r="AR70" i="10"/>
  <c r="AQ70" i="10"/>
  <c r="AL70" i="10"/>
  <c r="AI70" i="10"/>
  <c r="AF70" i="10"/>
  <c r="AC70" i="10"/>
  <c r="Z70" i="10"/>
  <c r="W70" i="10"/>
  <c r="T70" i="10"/>
  <c r="Q70" i="10"/>
  <c r="N70" i="10"/>
  <c r="L70" i="10"/>
  <c r="D70" i="10"/>
  <c r="AU69" i="10"/>
  <c r="AL69" i="10"/>
  <c r="AI69" i="10"/>
  <c r="AF69" i="10"/>
  <c r="AC69" i="10"/>
  <c r="Z69" i="10"/>
  <c r="W69" i="10"/>
  <c r="T69" i="10"/>
  <c r="Q69" i="10"/>
  <c r="N69" i="10"/>
  <c r="L69" i="10"/>
  <c r="D69" i="10"/>
  <c r="AU68" i="10"/>
  <c r="AS68" i="10"/>
  <c r="AT68" i="10" s="1"/>
  <c r="AR68" i="10"/>
  <c r="AL68" i="10"/>
  <c r="AI68" i="10"/>
  <c r="AF68" i="10"/>
  <c r="AC68" i="10"/>
  <c r="AQ68" i="10" s="1"/>
  <c r="Z68" i="10"/>
  <c r="W68" i="10"/>
  <c r="T68" i="10"/>
  <c r="Q68" i="10"/>
  <c r="N68" i="10"/>
  <c r="L68" i="10"/>
  <c r="D68" i="10"/>
  <c r="AU67" i="10"/>
  <c r="AL67" i="10"/>
  <c r="AS67" i="10" s="1"/>
  <c r="AI67" i="10"/>
  <c r="AF67" i="10"/>
  <c r="AC67" i="10"/>
  <c r="Z67" i="10"/>
  <c r="W67" i="10"/>
  <c r="T67" i="10"/>
  <c r="Q67" i="10"/>
  <c r="N67" i="10"/>
  <c r="L67" i="10"/>
  <c r="D67" i="10"/>
  <c r="AU66" i="10"/>
  <c r="AQ66" i="10"/>
  <c r="AL66" i="10"/>
  <c r="AS66" i="10" s="1"/>
  <c r="AT66" i="10" s="1"/>
  <c r="AI66" i="10"/>
  <c r="AF66" i="10"/>
  <c r="AR66" i="10" s="1"/>
  <c r="AC66" i="10"/>
  <c r="Z66" i="10"/>
  <c r="W66" i="10"/>
  <c r="T66" i="10"/>
  <c r="Q66" i="10"/>
  <c r="N66" i="10"/>
  <c r="L66" i="10"/>
  <c r="D66" i="10"/>
  <c r="AU65" i="10"/>
  <c r="AQ65" i="10"/>
  <c r="AL65" i="10"/>
  <c r="AI65" i="10"/>
  <c r="AF65" i="10"/>
  <c r="AC65" i="10"/>
  <c r="Z65" i="10"/>
  <c r="W65" i="10"/>
  <c r="T65" i="10"/>
  <c r="Q65" i="10"/>
  <c r="N65" i="10"/>
  <c r="L65" i="10"/>
  <c r="AS65" i="10" s="1"/>
  <c r="K65" i="10"/>
  <c r="AG71" i="10" s="1"/>
  <c r="J65" i="10"/>
  <c r="H65" i="10"/>
  <c r="I65" i="10" s="1"/>
  <c r="D65" i="10"/>
  <c r="AS64" i="10"/>
  <c r="AT64" i="10" s="1"/>
  <c r="AR64" i="10"/>
  <c r="AQ64" i="10"/>
  <c r="AU63" i="10"/>
  <c r="AS63" i="10"/>
  <c r="AL63" i="10"/>
  <c r="AI63" i="10"/>
  <c r="AF63" i="10"/>
  <c r="AC63" i="10"/>
  <c r="Z63" i="10"/>
  <c r="W63" i="10"/>
  <c r="T63" i="10"/>
  <c r="Q63" i="10"/>
  <c r="N63" i="10"/>
  <c r="L63" i="10"/>
  <c r="AR63" i="10" s="1"/>
  <c r="D63" i="10"/>
  <c r="AU62" i="10"/>
  <c r="AL62" i="10"/>
  <c r="AI62" i="10"/>
  <c r="AF62" i="10"/>
  <c r="AR62" i="10" s="1"/>
  <c r="AC62" i="10"/>
  <c r="Z62" i="10"/>
  <c r="W62" i="10"/>
  <c r="T62" i="10"/>
  <c r="Q62" i="10"/>
  <c r="N62" i="10"/>
  <c r="L62" i="10"/>
  <c r="D62" i="10"/>
  <c r="AU61" i="10"/>
  <c r="AS61" i="10"/>
  <c r="AR61" i="10"/>
  <c r="AL61" i="10"/>
  <c r="AI61" i="10"/>
  <c r="AF61" i="10"/>
  <c r="AC61" i="10"/>
  <c r="AQ61" i="10" s="1"/>
  <c r="Z61" i="10"/>
  <c r="W61" i="10"/>
  <c r="T61" i="10"/>
  <c r="Q61" i="10"/>
  <c r="N61" i="10"/>
  <c r="L61" i="10"/>
  <c r="D61" i="10"/>
  <c r="AU60" i="10"/>
  <c r="AS60" i="10"/>
  <c r="AL60" i="10"/>
  <c r="AI60" i="10"/>
  <c r="AF60" i="10"/>
  <c r="AC60" i="10"/>
  <c r="Z60" i="10"/>
  <c r="W60" i="10"/>
  <c r="T60" i="10"/>
  <c r="Q60" i="10"/>
  <c r="N60" i="10"/>
  <c r="L60" i="10"/>
  <c r="AR60" i="10" s="1"/>
  <c r="D60" i="10"/>
  <c r="AU59" i="10"/>
  <c r="AR59" i="10"/>
  <c r="AQ59" i="10"/>
  <c r="AL59" i="10"/>
  <c r="AI59" i="10"/>
  <c r="AF59" i="10"/>
  <c r="AC59" i="10"/>
  <c r="Z59" i="10"/>
  <c r="W59" i="10"/>
  <c r="T59" i="10"/>
  <c r="Q59" i="10"/>
  <c r="N59" i="10"/>
  <c r="L59" i="10"/>
  <c r="D59" i="10"/>
  <c r="AU58" i="10"/>
  <c r="AT58" i="10"/>
  <c r="AS58" i="10"/>
  <c r="AL58" i="10"/>
  <c r="AI58" i="10"/>
  <c r="AF58" i="10"/>
  <c r="AR58" i="10" s="1"/>
  <c r="AC58" i="10"/>
  <c r="AQ58" i="10" s="1"/>
  <c r="Z58" i="10"/>
  <c r="W58" i="10"/>
  <c r="T58" i="10"/>
  <c r="Q58" i="10"/>
  <c r="N58" i="10"/>
  <c r="L58" i="10"/>
  <c r="J58" i="10"/>
  <c r="K58" i="10" s="1"/>
  <c r="H58" i="10"/>
  <c r="I58" i="10" s="1"/>
  <c r="G58" i="10"/>
  <c r="D58" i="10"/>
  <c r="AS57" i="10"/>
  <c r="AT57" i="10" s="1"/>
  <c r="AR57" i="10"/>
  <c r="AQ57" i="10"/>
  <c r="R57" i="10"/>
  <c r="AU56" i="10"/>
  <c r="AR56" i="10"/>
  <c r="AQ56" i="10"/>
  <c r="AL56" i="10"/>
  <c r="AS56" i="10" s="1"/>
  <c r="AT56" i="10" s="1"/>
  <c r="AI56" i="10"/>
  <c r="AF56" i="10"/>
  <c r="AC56" i="10"/>
  <c r="Z56" i="10"/>
  <c r="W56" i="10"/>
  <c r="T56" i="10"/>
  <c r="Q56" i="10"/>
  <c r="N56" i="10"/>
  <c r="L56" i="10"/>
  <c r="D56" i="10"/>
  <c r="AU55" i="10"/>
  <c r="AS55" i="10"/>
  <c r="AT55" i="10" s="1"/>
  <c r="AR55" i="10"/>
  <c r="AL55" i="10"/>
  <c r="AI55" i="10"/>
  <c r="AF55" i="10"/>
  <c r="AC55" i="10"/>
  <c r="Z55" i="10"/>
  <c r="W55" i="10"/>
  <c r="T55" i="10"/>
  <c r="Q55" i="10"/>
  <c r="N55" i="10"/>
  <c r="L55" i="10"/>
  <c r="AQ55" i="10" s="1"/>
  <c r="D55" i="10"/>
  <c r="AU54" i="10"/>
  <c r="AL54" i="10"/>
  <c r="AI54" i="10"/>
  <c r="AF54" i="10"/>
  <c r="AC54" i="10"/>
  <c r="Z54" i="10"/>
  <c r="W54" i="10"/>
  <c r="T54" i="10"/>
  <c r="Q54" i="10"/>
  <c r="N54" i="10"/>
  <c r="L54" i="10"/>
  <c r="AQ54" i="10" s="1"/>
  <c r="D54" i="10"/>
  <c r="AU53" i="10"/>
  <c r="AL53" i="10"/>
  <c r="AI53" i="10"/>
  <c r="AF53" i="10"/>
  <c r="AC53" i="10"/>
  <c r="Z53" i="10"/>
  <c r="W53" i="10"/>
  <c r="T53" i="10"/>
  <c r="Q53" i="10"/>
  <c r="N53" i="10"/>
  <c r="L53" i="10"/>
  <c r="AS53" i="10" s="1"/>
  <c r="D53" i="10"/>
  <c r="AU52" i="10"/>
  <c r="AR52" i="10"/>
  <c r="AL52" i="10"/>
  <c r="AS52" i="10" s="1"/>
  <c r="AI52" i="10"/>
  <c r="AF52" i="10"/>
  <c r="AC52" i="10"/>
  <c r="AQ52" i="10" s="1"/>
  <c r="Z52" i="10"/>
  <c r="W52" i="10"/>
  <c r="T52" i="10"/>
  <c r="Q52" i="10"/>
  <c r="N52" i="10"/>
  <c r="L52" i="10"/>
  <c r="D52" i="10"/>
  <c r="AU51" i="10"/>
  <c r="AS51" i="10"/>
  <c r="AQ51" i="10"/>
  <c r="AL51" i="10"/>
  <c r="AI51" i="10"/>
  <c r="AF51" i="10"/>
  <c r="AR51" i="10" s="1"/>
  <c r="AC51" i="10"/>
  <c r="Z51" i="10"/>
  <c r="W51" i="10"/>
  <c r="T51" i="10"/>
  <c r="Q51" i="10"/>
  <c r="N51" i="10"/>
  <c r="L51" i="10"/>
  <c r="J51" i="10"/>
  <c r="K51" i="10" s="1"/>
  <c r="H51" i="10"/>
  <c r="I51" i="10" s="1"/>
  <c r="G51" i="10"/>
  <c r="D51" i="10"/>
  <c r="AS50" i="10"/>
  <c r="AT50" i="10" s="1"/>
  <c r="AR50" i="10"/>
  <c r="AQ50" i="10"/>
  <c r="AJ50" i="10"/>
  <c r="AG50" i="10"/>
  <c r="AD50" i="10"/>
  <c r="AU49" i="10"/>
  <c r="AS49" i="10"/>
  <c r="AR49" i="10"/>
  <c r="AL49" i="10"/>
  <c r="AI49" i="10"/>
  <c r="AF49" i="10"/>
  <c r="AC49" i="10"/>
  <c r="Z49" i="10"/>
  <c r="W49" i="10"/>
  <c r="T49" i="10"/>
  <c r="Q49" i="10"/>
  <c r="N49" i="10"/>
  <c r="L49" i="10"/>
  <c r="D49" i="10"/>
  <c r="AU48" i="10"/>
  <c r="AL48" i="10"/>
  <c r="AS48" i="10" s="1"/>
  <c r="AI48" i="10"/>
  <c r="AF48" i="10"/>
  <c r="AR48" i="10" s="1"/>
  <c r="AC48" i="10"/>
  <c r="AQ48" i="10" s="1"/>
  <c r="Z48" i="10"/>
  <c r="W48" i="10"/>
  <c r="T48" i="10"/>
  <c r="Q48" i="10"/>
  <c r="N48" i="10"/>
  <c r="L48" i="10"/>
  <c r="D48" i="10"/>
  <c r="AU47" i="10"/>
  <c r="AS47" i="10"/>
  <c r="AQ47" i="10"/>
  <c r="AL47" i="10"/>
  <c r="AI47" i="10"/>
  <c r="AF47" i="10"/>
  <c r="AR47" i="10" s="1"/>
  <c r="AC47" i="10"/>
  <c r="Z47" i="10"/>
  <c r="W47" i="10"/>
  <c r="T47" i="10"/>
  <c r="Q47" i="10"/>
  <c r="N47" i="10"/>
  <c r="L47" i="10"/>
  <c r="D47" i="10"/>
  <c r="AU46" i="10"/>
  <c r="AL46" i="10"/>
  <c r="AS46" i="10" s="1"/>
  <c r="AI46" i="10"/>
  <c r="AF46" i="10"/>
  <c r="AR46" i="10" s="1"/>
  <c r="AC46" i="10"/>
  <c r="AQ46" i="10" s="1"/>
  <c r="Z46" i="10"/>
  <c r="W46" i="10"/>
  <c r="T46" i="10"/>
  <c r="Q46" i="10"/>
  <c r="N46" i="10"/>
  <c r="L46" i="10"/>
  <c r="D46" i="10"/>
  <c r="AU45" i="10"/>
  <c r="AQ45" i="10"/>
  <c r="AL45" i="10"/>
  <c r="AS45" i="10" s="1"/>
  <c r="AT45" i="10" s="1"/>
  <c r="AI45" i="10"/>
  <c r="AF45" i="10"/>
  <c r="AC45" i="10"/>
  <c r="Z45" i="10"/>
  <c r="W45" i="10"/>
  <c r="T45" i="10"/>
  <c r="Q45" i="10"/>
  <c r="N45" i="10"/>
  <c r="L45" i="10"/>
  <c r="AR45" i="10" s="1"/>
  <c r="D45" i="10"/>
  <c r="AU44" i="10"/>
  <c r="AS44" i="10"/>
  <c r="AL44" i="10"/>
  <c r="AI44" i="10"/>
  <c r="AF44" i="10"/>
  <c r="AC44" i="10"/>
  <c r="Z44" i="10"/>
  <c r="W44" i="10"/>
  <c r="T44" i="10"/>
  <c r="Q44" i="10"/>
  <c r="N44" i="10"/>
  <c r="L44" i="10"/>
  <c r="J44" i="10"/>
  <c r="K44" i="10" s="1"/>
  <c r="H44" i="10"/>
  <c r="I44" i="10" s="1"/>
  <c r="R50" i="10" s="1"/>
  <c r="D44" i="10"/>
  <c r="AS43" i="10"/>
  <c r="AT43" i="10" s="1"/>
  <c r="AR43" i="10"/>
  <c r="AQ43" i="10"/>
  <c r="AU42" i="10"/>
  <c r="AL42" i="10"/>
  <c r="AS42" i="10" s="1"/>
  <c r="AI42" i="10"/>
  <c r="AF42" i="10"/>
  <c r="AR42" i="10" s="1"/>
  <c r="AC42" i="10"/>
  <c r="AQ42" i="10" s="1"/>
  <c r="Z42" i="10"/>
  <c r="W42" i="10"/>
  <c r="T42" i="10"/>
  <c r="Q42" i="10"/>
  <c r="N42" i="10"/>
  <c r="L42" i="10"/>
  <c r="D42" i="10"/>
  <c r="AU41" i="10"/>
  <c r="AQ41" i="10"/>
  <c r="AL41" i="10"/>
  <c r="AS41" i="10" s="1"/>
  <c r="AT41" i="10" s="1"/>
  <c r="AI41" i="10"/>
  <c r="AF41" i="10"/>
  <c r="AC41" i="10"/>
  <c r="Z41" i="10"/>
  <c r="W41" i="10"/>
  <c r="T41" i="10"/>
  <c r="Q41" i="10"/>
  <c r="N41" i="10"/>
  <c r="L41" i="10"/>
  <c r="AR41" i="10" s="1"/>
  <c r="D41" i="10"/>
  <c r="AU40" i="10"/>
  <c r="AS40" i="10"/>
  <c r="AT40" i="10" s="1"/>
  <c r="AR40" i="10"/>
  <c r="AL40" i="10"/>
  <c r="AI40" i="10"/>
  <c r="AF40" i="10"/>
  <c r="AC40" i="10"/>
  <c r="Z40" i="10"/>
  <c r="W40" i="10"/>
  <c r="T40" i="10"/>
  <c r="Q40" i="10"/>
  <c r="N40" i="10"/>
  <c r="L40" i="10"/>
  <c r="AQ40" i="10" s="1"/>
  <c r="D40" i="10"/>
  <c r="AU39" i="10"/>
  <c r="AL39" i="10"/>
  <c r="AI39" i="10"/>
  <c r="AF39" i="10"/>
  <c r="AR39" i="10" s="1"/>
  <c r="AC39" i="10"/>
  <c r="AQ39" i="10" s="1"/>
  <c r="Z39" i="10"/>
  <c r="W39" i="10"/>
  <c r="T39" i="10"/>
  <c r="Q39" i="10"/>
  <c r="N39" i="10"/>
  <c r="L39" i="10"/>
  <c r="AS39" i="10" s="1"/>
  <c r="D39" i="10"/>
  <c r="AU38" i="10"/>
  <c r="AL38" i="10"/>
  <c r="AS38" i="10" s="1"/>
  <c r="AI38" i="10"/>
  <c r="AF38" i="10"/>
  <c r="AR38" i="10" s="1"/>
  <c r="AC38" i="10"/>
  <c r="AQ38" i="10" s="1"/>
  <c r="Z38" i="10"/>
  <c r="W38" i="10"/>
  <c r="X43" i="10" s="1"/>
  <c r="T38" i="10"/>
  <c r="Q38" i="10"/>
  <c r="N38" i="10"/>
  <c r="L38" i="10"/>
  <c r="D38" i="10"/>
  <c r="AU37" i="10"/>
  <c r="AR37" i="10"/>
  <c r="AL37" i="10"/>
  <c r="AS37" i="10" s="1"/>
  <c r="AI37" i="10"/>
  <c r="AJ43" i="10" s="1"/>
  <c r="AF37" i="10"/>
  <c r="AC37" i="10"/>
  <c r="AQ37" i="10" s="1"/>
  <c r="Z37" i="10"/>
  <c r="W37" i="10"/>
  <c r="T37" i="10"/>
  <c r="Q37" i="10"/>
  <c r="N37" i="10"/>
  <c r="L37" i="10"/>
  <c r="J37" i="10"/>
  <c r="K37" i="10" s="1"/>
  <c r="H37" i="10"/>
  <c r="I37" i="10" s="1"/>
  <c r="D37" i="10"/>
  <c r="AT36" i="10"/>
  <c r="AS36" i="10"/>
  <c r="AR36" i="10"/>
  <c r="AQ36" i="10"/>
  <c r="AU35" i="10"/>
  <c r="AL35" i="10"/>
  <c r="AS35" i="10" s="1"/>
  <c r="AI35" i="10"/>
  <c r="AF35" i="10"/>
  <c r="AC35" i="10"/>
  <c r="Z35" i="10"/>
  <c r="W35" i="10"/>
  <c r="T35" i="10"/>
  <c r="Q35" i="10"/>
  <c r="N35" i="10"/>
  <c r="L35" i="10"/>
  <c r="D35" i="10"/>
  <c r="AU34" i="10"/>
  <c r="AR34" i="10"/>
  <c r="AL34" i="10"/>
  <c r="AS34" i="10" s="1"/>
  <c r="AI34" i="10"/>
  <c r="AF34" i="10"/>
  <c r="AC34" i="10"/>
  <c r="AQ34" i="10" s="1"/>
  <c r="Z34" i="10"/>
  <c r="W34" i="10"/>
  <c r="T34" i="10"/>
  <c r="Q34" i="10"/>
  <c r="N34" i="10"/>
  <c r="L34" i="10"/>
  <c r="J34" i="10"/>
  <c r="H34" i="10"/>
  <c r="I34" i="10" s="1"/>
  <c r="G34" i="10"/>
  <c r="D34" i="10"/>
  <c r="AS33" i="10"/>
  <c r="AR33" i="10"/>
  <c r="AQ33" i="10"/>
  <c r="AT33" i="10" s="1"/>
  <c r="M33" i="10"/>
  <c r="BB21" i="10" s="1"/>
  <c r="AU32" i="10"/>
  <c r="AQ32" i="10"/>
  <c r="AL32" i="10"/>
  <c r="AS32" i="10" s="1"/>
  <c r="AT32" i="10" s="1"/>
  <c r="AI32" i="10"/>
  <c r="AF32" i="10"/>
  <c r="AR32" i="10" s="1"/>
  <c r="AC32" i="10"/>
  <c r="Z32" i="10"/>
  <c r="W32" i="10"/>
  <c r="T32" i="10"/>
  <c r="U33" i="10" s="1"/>
  <c r="V33" i="10" s="1"/>
  <c r="Q32" i="10"/>
  <c r="N32" i="10"/>
  <c r="L32" i="10"/>
  <c r="D32" i="10"/>
  <c r="AU31" i="10"/>
  <c r="AL31" i="10"/>
  <c r="AI31" i="10"/>
  <c r="AF31" i="10"/>
  <c r="AC31" i="10"/>
  <c r="Z31" i="10"/>
  <c r="W31" i="10"/>
  <c r="T31" i="10"/>
  <c r="Q31" i="10"/>
  <c r="N31" i="10"/>
  <c r="L31" i="10"/>
  <c r="J31" i="10"/>
  <c r="H31" i="10"/>
  <c r="G31" i="10"/>
  <c r="I31" i="10" s="1"/>
  <c r="D31" i="10"/>
  <c r="AS30" i="10"/>
  <c r="AR30" i="10"/>
  <c r="AQ30" i="10"/>
  <c r="AU29" i="10"/>
  <c r="AS29" i="10"/>
  <c r="AR29" i="10"/>
  <c r="AQ29" i="10"/>
  <c r="AL29" i="10"/>
  <c r="AI29" i="10"/>
  <c r="AF29" i="10"/>
  <c r="AC29" i="10"/>
  <c r="Z29" i="10"/>
  <c r="W29" i="10"/>
  <c r="T29" i="10"/>
  <c r="Q29" i="10"/>
  <c r="N29" i="10"/>
  <c r="L29" i="10"/>
  <c r="D29" i="10"/>
  <c r="AU28" i="10"/>
  <c r="AR28" i="10"/>
  <c r="AL28" i="10"/>
  <c r="AS28" i="10" s="1"/>
  <c r="AI28" i="10"/>
  <c r="AF28" i="10"/>
  <c r="AC28" i="10"/>
  <c r="AQ28" i="10" s="1"/>
  <c r="Z28" i="10"/>
  <c r="W28" i="10"/>
  <c r="T28" i="10"/>
  <c r="Q28" i="10"/>
  <c r="N28" i="10"/>
  <c r="L28" i="10"/>
  <c r="J28" i="10"/>
  <c r="I28" i="10"/>
  <c r="H28" i="10"/>
  <c r="D28" i="10"/>
  <c r="AS27" i="10"/>
  <c r="AT27" i="10" s="1"/>
  <c r="AR27" i="10"/>
  <c r="AQ27" i="10"/>
  <c r="AG27" i="10"/>
  <c r="AD27" i="10"/>
  <c r="R27" i="10"/>
  <c r="O27" i="10"/>
  <c r="AU26" i="10"/>
  <c r="AL26" i="10"/>
  <c r="AS26" i="10" s="1"/>
  <c r="AI26" i="10"/>
  <c r="AF26" i="10"/>
  <c r="AR26" i="10" s="1"/>
  <c r="AC26" i="10"/>
  <c r="AQ26" i="10" s="1"/>
  <c r="Z26" i="10"/>
  <c r="W26" i="10"/>
  <c r="T26" i="10"/>
  <c r="Q26" i="10"/>
  <c r="N26" i="10"/>
  <c r="L26" i="10"/>
  <c r="D26" i="10"/>
  <c r="AU25" i="10"/>
  <c r="AR25" i="10"/>
  <c r="AQ25" i="10"/>
  <c r="AL25" i="10"/>
  <c r="AS25" i="10" s="1"/>
  <c r="AT25" i="10" s="1"/>
  <c r="AI25" i="10"/>
  <c r="AF25" i="10"/>
  <c r="AC25" i="10"/>
  <c r="Z25" i="10"/>
  <c r="W25" i="10"/>
  <c r="T25" i="10"/>
  <c r="Q25" i="10"/>
  <c r="N25" i="10"/>
  <c r="L25" i="10"/>
  <c r="J25" i="10"/>
  <c r="K25" i="10" s="1"/>
  <c r="AM27" i="10" s="1"/>
  <c r="I25" i="10"/>
  <c r="H25" i="10"/>
  <c r="D25" i="10"/>
  <c r="AS24" i="10"/>
  <c r="AR24" i="10"/>
  <c r="AQ24" i="10"/>
  <c r="AU23" i="10"/>
  <c r="AS23" i="10"/>
  <c r="AQ23" i="10"/>
  <c r="AL23" i="10"/>
  <c r="AI23" i="10"/>
  <c r="AF23" i="10"/>
  <c r="AR23" i="10" s="1"/>
  <c r="AC23" i="10"/>
  <c r="Z23" i="10"/>
  <c r="W23" i="10"/>
  <c r="T23" i="10"/>
  <c r="Q23" i="10"/>
  <c r="N23" i="10"/>
  <c r="L23" i="10"/>
  <c r="D23" i="10"/>
  <c r="AU22" i="10"/>
  <c r="AL22" i="10"/>
  <c r="AS22" i="10" s="1"/>
  <c r="AI22" i="10"/>
  <c r="AF22" i="10"/>
  <c r="AC22" i="10"/>
  <c r="Z22" i="10"/>
  <c r="W22" i="10"/>
  <c r="T22" i="10"/>
  <c r="Q22" i="10"/>
  <c r="N22" i="10"/>
  <c r="L22" i="10"/>
  <c r="J22" i="10"/>
  <c r="H22" i="10"/>
  <c r="D22" i="10"/>
  <c r="BC21" i="10"/>
  <c r="AS21" i="10"/>
  <c r="AT21" i="10" s="1"/>
  <c r="AR21" i="10"/>
  <c r="AQ21" i="10"/>
  <c r="AJ21" i="10"/>
  <c r="AA21" i="10"/>
  <c r="O21" i="10"/>
  <c r="AU20" i="10"/>
  <c r="AT20" i="10"/>
  <c r="AR20" i="10"/>
  <c r="AL20" i="10"/>
  <c r="AI20" i="10"/>
  <c r="AF20" i="10"/>
  <c r="AC20" i="10"/>
  <c r="AQ20" i="10" s="1"/>
  <c r="Z20" i="10"/>
  <c r="W20" i="10"/>
  <c r="T20" i="10"/>
  <c r="Q20" i="10"/>
  <c r="N20" i="10"/>
  <c r="L20" i="10"/>
  <c r="AS20" i="10" s="1"/>
  <c r="D20" i="10"/>
  <c r="AU19" i="10"/>
  <c r="AL19" i="10"/>
  <c r="AI19" i="10"/>
  <c r="AF19" i="10"/>
  <c r="AC19" i="10"/>
  <c r="Z19" i="10"/>
  <c r="W19" i="10"/>
  <c r="T19" i="10"/>
  <c r="Q19" i="10"/>
  <c r="N19" i="10"/>
  <c r="L19" i="10"/>
  <c r="AR19" i="10" s="1"/>
  <c r="J19" i="10"/>
  <c r="K19" i="10" s="1"/>
  <c r="H19" i="10"/>
  <c r="I19" i="10" s="1"/>
  <c r="D19" i="10"/>
  <c r="AU18" i="10"/>
  <c r="AS18" i="10"/>
  <c r="AR18" i="10"/>
  <c r="AQ18" i="10"/>
  <c r="AL18" i="10"/>
  <c r="AJ18" i="10"/>
  <c r="AI18" i="10"/>
  <c r="AF18" i="10"/>
  <c r="AC18" i="10"/>
  <c r="AA18" i="10"/>
  <c r="Z18" i="10"/>
  <c r="W18" i="10"/>
  <c r="T18" i="10"/>
  <c r="Q18" i="10"/>
  <c r="O18" i="10"/>
  <c r="N18" i="10"/>
  <c r="L18" i="10"/>
  <c r="K18" i="10"/>
  <c r="J18" i="10"/>
  <c r="I18" i="10"/>
  <c r="H18" i="10"/>
  <c r="D18" i="10"/>
  <c r="AU17" i="10"/>
  <c r="AL17" i="10"/>
  <c r="AI17" i="10"/>
  <c r="AF17" i="10"/>
  <c r="AC17" i="10"/>
  <c r="Z17" i="10"/>
  <c r="W17" i="10"/>
  <c r="T17" i="10"/>
  <c r="Q17" i="10"/>
  <c r="N17" i="10"/>
  <c r="L17" i="10"/>
  <c r="AQ17" i="10" s="1"/>
  <c r="J17" i="10"/>
  <c r="K17" i="10" s="1"/>
  <c r="H17" i="10"/>
  <c r="D17" i="10"/>
  <c r="AU16" i="10"/>
  <c r="AT16" i="10"/>
  <c r="AQ16" i="10"/>
  <c r="AM16" i="10"/>
  <c r="AL16" i="10"/>
  <c r="AS16" i="10" s="1"/>
  <c r="AI16" i="10"/>
  <c r="AF16" i="10"/>
  <c r="AR16" i="10" s="1"/>
  <c r="AC16" i="10"/>
  <c r="Z16" i="10"/>
  <c r="W16" i="10"/>
  <c r="T16" i="10"/>
  <c r="Q16" i="10"/>
  <c r="N16" i="10"/>
  <c r="L16" i="10"/>
  <c r="K16" i="10"/>
  <c r="AG16" i="10" s="1"/>
  <c r="J16" i="10"/>
  <c r="H16" i="10"/>
  <c r="I16" i="10" s="1"/>
  <c r="D16" i="10"/>
  <c r="AU15" i="10"/>
  <c r="AS15" i="10"/>
  <c r="AQ15" i="10"/>
  <c r="AM15" i="10"/>
  <c r="AL15" i="10"/>
  <c r="AI15" i="10"/>
  <c r="AF15" i="10"/>
  <c r="AR15" i="10" s="1"/>
  <c r="AC15" i="10"/>
  <c r="Z15" i="10"/>
  <c r="W15" i="10"/>
  <c r="U15" i="10"/>
  <c r="T15" i="10"/>
  <c r="Q15" i="10"/>
  <c r="N15" i="10"/>
  <c r="L15" i="10"/>
  <c r="J15" i="10"/>
  <c r="K15" i="10" s="1"/>
  <c r="H15" i="10"/>
  <c r="I15" i="10" s="1"/>
  <c r="D15" i="10"/>
  <c r="AU14" i="10"/>
  <c r="AS14" i="10"/>
  <c r="AL14" i="10"/>
  <c r="AJ14" i="10"/>
  <c r="AI14" i="10"/>
  <c r="AF14" i="10"/>
  <c r="AC14" i="10"/>
  <c r="AA14" i="10"/>
  <c r="Z14" i="10"/>
  <c r="W14" i="10"/>
  <c r="T14" i="10"/>
  <c r="R14" i="10"/>
  <c r="Q14" i="10"/>
  <c r="N14" i="10"/>
  <c r="M14" i="10"/>
  <c r="L14" i="10"/>
  <c r="J14" i="10"/>
  <c r="K14" i="10" s="1"/>
  <c r="AM14" i="10" s="1"/>
  <c r="H14" i="10"/>
  <c r="I14" i="10" s="1"/>
  <c r="U14" i="10" s="1"/>
  <c r="BC14" i="10" s="1"/>
  <c r="D14" i="10"/>
  <c r="AU13" i="10"/>
  <c r="AS13" i="10"/>
  <c r="AT13" i="10" s="1"/>
  <c r="AL13" i="10"/>
  <c r="AI13" i="10"/>
  <c r="AF13" i="10"/>
  <c r="AR13" i="10" s="1"/>
  <c r="AC13" i="10"/>
  <c r="AQ13" i="10" s="1"/>
  <c r="Z13" i="10"/>
  <c r="W13" i="10"/>
  <c r="T13" i="10"/>
  <c r="Q13" i="10"/>
  <c r="O13" i="10"/>
  <c r="N13" i="10"/>
  <c r="L13" i="10"/>
  <c r="J13" i="10"/>
  <c r="H13" i="10"/>
  <c r="I13" i="10" s="1"/>
  <c r="D13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V9" i="10"/>
  <c r="AW9" i="10" s="1"/>
  <c r="AD9" i="10"/>
  <c r="A9" i="10"/>
  <c r="AM8" i="10"/>
  <c r="AN8" i="10" s="1"/>
  <c r="AU8" i="10" s="1"/>
  <c r="AV8" i="10" s="1"/>
  <c r="AW8" i="10" s="1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A8" i="10"/>
  <c r="H4" i="10"/>
  <c r="H3" i="10"/>
  <c r="A3" i="10"/>
  <c r="A2" i="10"/>
  <c r="A1" i="10"/>
  <c r="J36" i="9"/>
  <c r="F36" i="9"/>
  <c r="F28" i="9"/>
  <c r="K28" i="9" s="1"/>
  <c r="K26" i="9"/>
  <c r="H26" i="9"/>
  <c r="F26" i="9"/>
  <c r="F30" i="9" s="1"/>
  <c r="F20" i="9"/>
  <c r="J20" i="9" s="1"/>
  <c r="F18" i="9"/>
  <c r="F22" i="9" s="1"/>
  <c r="O13" i="9"/>
  <c r="H12" i="9"/>
  <c r="F12" i="9"/>
  <c r="J12" i="9" s="1"/>
  <c r="O10" i="9"/>
  <c r="F10" i="9"/>
  <c r="F14" i="9" s="1"/>
  <c r="O9" i="9"/>
  <c r="N9" i="9"/>
  <c r="K20" i="9" s="1"/>
  <c r="L9" i="9"/>
  <c r="O8" i="9"/>
  <c r="N8" i="9"/>
  <c r="P8" i="9" s="1"/>
  <c r="Q8" i="9" s="1"/>
  <c r="L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O7" i="9"/>
  <c r="N7" i="9"/>
  <c r="P7" i="9" s="1"/>
  <c r="Q7" i="9" s="1"/>
  <c r="L7" i="9"/>
  <c r="P6" i="9"/>
  <c r="Q6" i="9" s="1"/>
  <c r="O6" i="9"/>
  <c r="N6" i="9"/>
  <c r="L6" i="9"/>
  <c r="P5" i="9"/>
  <c r="Q5" i="9" s="1"/>
  <c r="O5" i="9"/>
  <c r="N5" i="9"/>
  <c r="L5" i="9"/>
  <c r="O4" i="9"/>
  <c r="N4" i="9"/>
  <c r="N10" i="9" s="1"/>
  <c r="N13" i="9" s="1"/>
  <c r="L4" i="9"/>
  <c r="A1" i="8"/>
  <c r="A2" i="8"/>
  <c r="A3" i="8"/>
  <c r="V7" i="8"/>
  <c r="A8" i="8"/>
  <c r="D8" i="8"/>
  <c r="A9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H13" i="8"/>
  <c r="I13" i="8"/>
  <c r="I14" i="8" s="1"/>
  <c r="J13" i="8"/>
  <c r="M13" i="8"/>
  <c r="AD13" i="8"/>
  <c r="E14" i="8"/>
  <c r="F14" i="8"/>
  <c r="G14" i="8"/>
  <c r="H14" i="8"/>
  <c r="J14" i="8"/>
  <c r="AD14" i="8" s="1"/>
  <c r="M14" i="8"/>
  <c r="E15" i="8"/>
  <c r="F15" i="8"/>
  <c r="F15" i="7" s="1"/>
  <c r="G15" i="8"/>
  <c r="G16" i="8" s="1"/>
  <c r="H16" i="8" s="1"/>
  <c r="J15" i="8"/>
  <c r="M15" i="8"/>
  <c r="AD15" i="8"/>
  <c r="E16" i="8"/>
  <c r="F16" i="8"/>
  <c r="J16" i="8"/>
  <c r="AD16" i="8" s="1"/>
  <c r="M16" i="8"/>
  <c r="E17" i="8"/>
  <c r="F17" i="8"/>
  <c r="H17" i="8" s="1"/>
  <c r="J17" i="8"/>
  <c r="M17" i="8"/>
  <c r="AD17" i="8"/>
  <c r="E18" i="8"/>
  <c r="F18" i="8"/>
  <c r="H18" i="8"/>
  <c r="J18" i="8"/>
  <c r="F18" i="7" s="1"/>
  <c r="M18" i="8"/>
  <c r="E19" i="8"/>
  <c r="H19" i="8" s="1"/>
  <c r="M19" i="8"/>
  <c r="AD19" i="8"/>
  <c r="E20" i="8"/>
  <c r="H20" i="8"/>
  <c r="I20" i="8"/>
  <c r="AE20" i="8" s="1"/>
  <c r="Y20" i="8" s="1"/>
  <c r="M20" i="8"/>
  <c r="AD20" i="8"/>
  <c r="E21" i="8"/>
  <c r="H21" i="8"/>
  <c r="M21" i="8"/>
  <c r="AD21" i="8"/>
  <c r="E22" i="8"/>
  <c r="H22" i="8"/>
  <c r="I22" i="8"/>
  <c r="AE22" i="8" s="1"/>
  <c r="Y22" i="8" s="1"/>
  <c r="L22" i="8"/>
  <c r="M22" i="8"/>
  <c r="AD22" i="8"/>
  <c r="E23" i="8"/>
  <c r="H23" i="8"/>
  <c r="I23" i="8"/>
  <c r="E23" i="7" s="1"/>
  <c r="L23" i="8"/>
  <c r="M23" i="8"/>
  <c r="AD23" i="8"/>
  <c r="E24" i="8"/>
  <c r="H24" i="8" s="1"/>
  <c r="M24" i="8"/>
  <c r="AD24" i="8"/>
  <c r="E25" i="8"/>
  <c r="H25" i="8" s="1"/>
  <c r="M25" i="8"/>
  <c r="AD25" i="8"/>
  <c r="E26" i="8"/>
  <c r="H26" i="8"/>
  <c r="M26" i="8"/>
  <c r="AD26" i="8"/>
  <c r="H27" i="8"/>
  <c r="L27" i="8" s="1"/>
  <c r="M27" i="8"/>
  <c r="AD27" i="8"/>
  <c r="AE27" i="8"/>
  <c r="H28" i="8"/>
  <c r="L28" i="8" s="1"/>
  <c r="M28" i="8"/>
  <c r="AD28" i="8"/>
  <c r="Y28" i="8" s="1"/>
  <c r="AE28" i="8"/>
  <c r="H29" i="8"/>
  <c r="L29" i="8"/>
  <c r="M29" i="8"/>
  <c r="AD29" i="8"/>
  <c r="AE29" i="8"/>
  <c r="Y29" i="8" s="1"/>
  <c r="H30" i="8"/>
  <c r="L30" i="8" s="1"/>
  <c r="M30" i="8"/>
  <c r="AD30" i="8"/>
  <c r="AE30" i="8"/>
  <c r="E31" i="8"/>
  <c r="H31" i="8"/>
  <c r="M31" i="8"/>
  <c r="AD31" i="8"/>
  <c r="E32" i="8"/>
  <c r="H32" i="8"/>
  <c r="M32" i="8"/>
  <c r="AD32" i="8"/>
  <c r="E33" i="8"/>
  <c r="H33" i="8" s="1"/>
  <c r="M33" i="8"/>
  <c r="AD33" i="8"/>
  <c r="E34" i="8"/>
  <c r="H34" i="8"/>
  <c r="M34" i="8"/>
  <c r="AD34" i="8"/>
  <c r="E35" i="8"/>
  <c r="H35" i="8" s="1"/>
  <c r="M35" i="8"/>
  <c r="AD35" i="8"/>
  <c r="E36" i="8"/>
  <c r="H36" i="8" s="1"/>
  <c r="M36" i="8"/>
  <c r="AD36" i="8"/>
  <c r="E37" i="8"/>
  <c r="H37" i="8"/>
  <c r="M37" i="8"/>
  <c r="AD37" i="8"/>
  <c r="E38" i="8"/>
  <c r="H38" i="8"/>
  <c r="L38" i="8" s="1"/>
  <c r="I38" i="8"/>
  <c r="M38" i="8"/>
  <c r="AD38" i="8"/>
  <c r="E39" i="8"/>
  <c r="H39" i="8"/>
  <c r="L39" i="8" s="1"/>
  <c r="I39" i="8"/>
  <c r="M39" i="8"/>
  <c r="AD39" i="8"/>
  <c r="E40" i="8"/>
  <c r="H40" i="8" s="1"/>
  <c r="M40" i="8"/>
  <c r="AD40" i="8"/>
  <c r="E41" i="8"/>
  <c r="H41" i="8"/>
  <c r="M41" i="8"/>
  <c r="AD41" i="8"/>
  <c r="E42" i="8"/>
  <c r="H42" i="8" s="1"/>
  <c r="M42" i="8"/>
  <c r="AD42" i="8"/>
  <c r="H43" i="8"/>
  <c r="L43" i="8"/>
  <c r="M43" i="8"/>
  <c r="AD43" i="8"/>
  <c r="Y43" i="8" s="1"/>
  <c r="AE43" i="8"/>
  <c r="H44" i="8"/>
  <c r="L44" i="8" s="1"/>
  <c r="M44" i="8"/>
  <c r="AD44" i="8"/>
  <c r="Y44" i="8" s="1"/>
  <c r="AE44" i="8"/>
  <c r="H45" i="8"/>
  <c r="L45" i="8"/>
  <c r="M45" i="8"/>
  <c r="AD45" i="8"/>
  <c r="AE45" i="8"/>
  <c r="Y45" i="8" s="1"/>
  <c r="H46" i="8"/>
  <c r="L46" i="8"/>
  <c r="M46" i="8"/>
  <c r="AD46" i="8"/>
  <c r="AE46" i="8"/>
  <c r="H47" i="8"/>
  <c r="L47" i="8" s="1"/>
  <c r="M47" i="8"/>
  <c r="AD47" i="8"/>
  <c r="AE47" i="8"/>
  <c r="H48" i="8"/>
  <c r="L48" i="8"/>
  <c r="M48" i="8"/>
  <c r="Y48" i="8"/>
  <c r="AD48" i="8"/>
  <c r="AE48" i="8"/>
  <c r="H49" i="8"/>
  <c r="L49" i="8"/>
  <c r="M49" i="8"/>
  <c r="AD49" i="8"/>
  <c r="Y49" i="8" s="1"/>
  <c r="AE49" i="8"/>
  <c r="H50" i="8"/>
  <c r="L50" i="8"/>
  <c r="M50" i="8"/>
  <c r="AD50" i="8"/>
  <c r="Y50" i="8" s="1"/>
  <c r="AE50" i="8"/>
  <c r="H51" i="8"/>
  <c r="L51" i="8" s="1"/>
  <c r="M51" i="8"/>
  <c r="AD51" i="8"/>
  <c r="Y51" i="8" s="1"/>
  <c r="AE51" i="8"/>
  <c r="H52" i="8"/>
  <c r="L52" i="8"/>
  <c r="M52" i="8"/>
  <c r="AD52" i="8"/>
  <c r="AE52" i="8"/>
  <c r="Y52" i="8" s="1"/>
  <c r="H53" i="8"/>
  <c r="L53" i="8"/>
  <c r="M53" i="8"/>
  <c r="AD53" i="8"/>
  <c r="AE53" i="8"/>
  <c r="H54" i="8"/>
  <c r="L54" i="8"/>
  <c r="M54" i="8"/>
  <c r="AD54" i="8"/>
  <c r="Y54" i="8" s="1"/>
  <c r="AE54" i="8"/>
  <c r="E55" i="8"/>
  <c r="H55" i="8" s="1"/>
  <c r="M55" i="8"/>
  <c r="AD55" i="8"/>
  <c r="E56" i="8"/>
  <c r="H56" i="8"/>
  <c r="I56" i="8"/>
  <c r="AE56" i="8" s="1"/>
  <c r="Y56" i="8" s="1"/>
  <c r="L56" i="8"/>
  <c r="M56" i="8"/>
  <c r="AD56" i="8"/>
  <c r="E57" i="8"/>
  <c r="H57" i="8"/>
  <c r="M57" i="8"/>
  <c r="AD57" i="8"/>
  <c r="E58" i="8"/>
  <c r="H58" i="8" s="1"/>
  <c r="M58" i="8"/>
  <c r="AD58" i="8"/>
  <c r="E59" i="8"/>
  <c r="H59" i="8"/>
  <c r="M59" i="8"/>
  <c r="AD59" i="8"/>
  <c r="E60" i="8"/>
  <c r="H60" i="8" s="1"/>
  <c r="M60" i="8"/>
  <c r="AD60" i="8"/>
  <c r="E61" i="8"/>
  <c r="H61" i="8"/>
  <c r="M61" i="8"/>
  <c r="AD61" i="8"/>
  <c r="E62" i="8"/>
  <c r="H62" i="8"/>
  <c r="M62" i="8"/>
  <c r="AD62" i="8"/>
  <c r="E63" i="8"/>
  <c r="H63" i="8"/>
  <c r="I63" i="8"/>
  <c r="L63" i="8" s="1"/>
  <c r="M63" i="8"/>
  <c r="AD63" i="8"/>
  <c r="E64" i="8"/>
  <c r="H64" i="8"/>
  <c r="M64" i="8"/>
  <c r="AD64" i="8"/>
  <c r="E65" i="8"/>
  <c r="H65" i="8" s="1"/>
  <c r="M65" i="8"/>
  <c r="AD65" i="8"/>
  <c r="E66" i="8"/>
  <c r="H66" i="8"/>
  <c r="M66" i="8"/>
  <c r="AD66" i="8"/>
  <c r="H67" i="8"/>
  <c r="L67" i="8" s="1"/>
  <c r="M67" i="8"/>
  <c r="AD67" i="8"/>
  <c r="AE67" i="8"/>
  <c r="H68" i="8"/>
  <c r="L68" i="8"/>
  <c r="M68" i="8"/>
  <c r="AD68" i="8"/>
  <c r="AE68" i="8"/>
  <c r="Y68" i="8" s="1"/>
  <c r="H69" i="8"/>
  <c r="L69" i="8"/>
  <c r="M69" i="8"/>
  <c r="AD69" i="8"/>
  <c r="Y69" i="8" s="1"/>
  <c r="AE69" i="8"/>
  <c r="H70" i="8"/>
  <c r="L70" i="8"/>
  <c r="M70" i="8"/>
  <c r="AD70" i="8"/>
  <c r="Y70" i="8" s="1"/>
  <c r="AE70" i="8"/>
  <c r="H71" i="8"/>
  <c r="L71" i="8"/>
  <c r="M71" i="8"/>
  <c r="Y71" i="8"/>
  <c r="AD71" i="8"/>
  <c r="AE71" i="8"/>
  <c r="H72" i="8"/>
  <c r="L72" i="8"/>
  <c r="M72" i="8"/>
  <c r="AD72" i="8"/>
  <c r="Y72" i="8" s="1"/>
  <c r="AE72" i="8"/>
  <c r="H73" i="8"/>
  <c r="L73" i="8" s="1"/>
  <c r="M73" i="8"/>
  <c r="AD73" i="8"/>
  <c r="AE73" i="8"/>
  <c r="H74" i="8"/>
  <c r="L74" i="8" s="1"/>
  <c r="M74" i="8"/>
  <c r="AD74" i="8"/>
  <c r="Y74" i="8" s="1"/>
  <c r="AE74" i="8"/>
  <c r="H75" i="8"/>
  <c r="L75" i="8"/>
  <c r="M75" i="8"/>
  <c r="Y75" i="8"/>
  <c r="AD75" i="8"/>
  <c r="AE75" i="8"/>
  <c r="H76" i="8"/>
  <c r="L76" i="8"/>
  <c r="M76" i="8"/>
  <c r="AD76" i="8"/>
  <c r="AE76" i="8"/>
  <c r="H77" i="8"/>
  <c r="L77" i="8"/>
  <c r="M77" i="8"/>
  <c r="AD77" i="8"/>
  <c r="AE77" i="8"/>
  <c r="Y77" i="8" s="1"/>
  <c r="H78" i="8"/>
  <c r="L78" i="8" s="1"/>
  <c r="M78" i="8"/>
  <c r="Y78" i="8"/>
  <c r="AD78" i="8"/>
  <c r="AE78" i="8"/>
  <c r="H79" i="8"/>
  <c r="L79" i="8"/>
  <c r="M79" i="8"/>
  <c r="AD79" i="8"/>
  <c r="Y79" i="8" s="1"/>
  <c r="AE79" i="8"/>
  <c r="H80" i="8"/>
  <c r="L80" i="8" s="1"/>
  <c r="M80" i="8"/>
  <c r="AD80" i="8"/>
  <c r="AE80" i="8"/>
  <c r="Y81" i="8"/>
  <c r="AC81" i="8"/>
  <c r="AG81" i="8" s="1"/>
  <c r="AH81" i="8" s="1"/>
  <c r="AD81" i="8"/>
  <c r="AE81" i="8"/>
  <c r="AF81" i="8"/>
  <c r="AI81" i="8"/>
  <c r="AK81" i="8"/>
  <c r="E84" i="8"/>
  <c r="F84" i="8" s="1"/>
  <c r="G84" i="8" s="1"/>
  <c r="A1" i="7"/>
  <c r="A2" i="7"/>
  <c r="A3" i="7"/>
  <c r="A8" i="7"/>
  <c r="D8" i="7"/>
  <c r="Q8" i="7"/>
  <c r="A9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D13" i="7"/>
  <c r="E13" i="7"/>
  <c r="F13" i="7"/>
  <c r="T13" i="7"/>
  <c r="D14" i="7"/>
  <c r="T14" i="7"/>
  <c r="D15" i="7"/>
  <c r="T15" i="7"/>
  <c r="D16" i="7"/>
  <c r="F16" i="7"/>
  <c r="T16" i="7"/>
  <c r="D17" i="7"/>
  <c r="F17" i="7"/>
  <c r="T17" i="7"/>
  <c r="D18" i="7"/>
  <c r="T18" i="7"/>
  <c r="D19" i="7"/>
  <c r="F19" i="7"/>
  <c r="T19" i="7"/>
  <c r="D20" i="7"/>
  <c r="F20" i="7"/>
  <c r="T20" i="7"/>
  <c r="U20" i="7"/>
  <c r="D21" i="7"/>
  <c r="F21" i="7"/>
  <c r="T21" i="7"/>
  <c r="U21" i="7" s="1"/>
  <c r="D22" i="7"/>
  <c r="F22" i="7"/>
  <c r="T22" i="7"/>
  <c r="D23" i="7"/>
  <c r="F23" i="7"/>
  <c r="T23" i="7"/>
  <c r="D24" i="7"/>
  <c r="F24" i="7"/>
  <c r="T24" i="7"/>
  <c r="D25" i="7"/>
  <c r="F25" i="7"/>
  <c r="T25" i="7"/>
  <c r="U25" i="7"/>
  <c r="D26" i="7"/>
  <c r="U26" i="7" s="1"/>
  <c r="F26" i="7"/>
  <c r="T26" i="7"/>
  <c r="D27" i="7"/>
  <c r="E27" i="7"/>
  <c r="F27" i="7"/>
  <c r="T27" i="7"/>
  <c r="D28" i="7"/>
  <c r="E28" i="7"/>
  <c r="F28" i="7"/>
  <c r="T28" i="7"/>
  <c r="D29" i="7"/>
  <c r="E29" i="7"/>
  <c r="F29" i="7"/>
  <c r="T29" i="7"/>
  <c r="D30" i="7"/>
  <c r="E30" i="7"/>
  <c r="F30" i="7"/>
  <c r="T30" i="7"/>
  <c r="D31" i="7"/>
  <c r="F31" i="7"/>
  <c r="T31" i="7"/>
  <c r="D32" i="7"/>
  <c r="F32" i="7"/>
  <c r="T32" i="7"/>
  <c r="D33" i="7"/>
  <c r="F33" i="7"/>
  <c r="T33" i="7"/>
  <c r="D34" i="7"/>
  <c r="F34" i="7"/>
  <c r="T34" i="7"/>
  <c r="U34" i="7"/>
  <c r="D35" i="7"/>
  <c r="U35" i="7" s="1"/>
  <c r="F35" i="7"/>
  <c r="T35" i="7"/>
  <c r="D36" i="7"/>
  <c r="F36" i="7"/>
  <c r="T36" i="7"/>
  <c r="D37" i="7"/>
  <c r="F37" i="7"/>
  <c r="T37" i="7"/>
  <c r="D38" i="7"/>
  <c r="U38" i="7" s="1"/>
  <c r="F38" i="7"/>
  <c r="T38" i="7"/>
  <c r="D39" i="7"/>
  <c r="F39" i="7"/>
  <c r="T39" i="7"/>
  <c r="U39" i="7"/>
  <c r="D40" i="7"/>
  <c r="U40" i="7" s="1"/>
  <c r="F40" i="7"/>
  <c r="T40" i="7"/>
  <c r="D41" i="7"/>
  <c r="F41" i="7"/>
  <c r="T41" i="7"/>
  <c r="D42" i="7"/>
  <c r="F42" i="7"/>
  <c r="T42" i="7"/>
  <c r="D43" i="7"/>
  <c r="E43" i="7"/>
  <c r="F43" i="7"/>
  <c r="T43" i="7"/>
  <c r="U43" i="7"/>
  <c r="D44" i="7"/>
  <c r="E44" i="7"/>
  <c r="F44" i="7"/>
  <c r="T44" i="7"/>
  <c r="D45" i="7"/>
  <c r="E45" i="7"/>
  <c r="F45" i="7"/>
  <c r="T45" i="7"/>
  <c r="D46" i="7"/>
  <c r="E46" i="7"/>
  <c r="F46" i="7"/>
  <c r="T46" i="7"/>
  <c r="D47" i="7"/>
  <c r="E47" i="7"/>
  <c r="F47" i="7"/>
  <c r="T47" i="7"/>
  <c r="U47" i="7"/>
  <c r="D48" i="7"/>
  <c r="U48" i="7" s="1"/>
  <c r="E48" i="7"/>
  <c r="F48" i="7"/>
  <c r="T48" i="7"/>
  <c r="D49" i="7"/>
  <c r="E49" i="7"/>
  <c r="F49" i="7"/>
  <c r="T49" i="7"/>
  <c r="D50" i="7"/>
  <c r="E50" i="7"/>
  <c r="F50" i="7"/>
  <c r="T50" i="7"/>
  <c r="D51" i="7"/>
  <c r="E51" i="7"/>
  <c r="F51" i="7"/>
  <c r="T51" i="7"/>
  <c r="D52" i="7"/>
  <c r="U52" i="7" s="1"/>
  <c r="E52" i="7"/>
  <c r="F52" i="7"/>
  <c r="T52" i="7"/>
  <c r="D53" i="7"/>
  <c r="E53" i="7"/>
  <c r="F53" i="7"/>
  <c r="T53" i="7"/>
  <c r="U53" i="7"/>
  <c r="D54" i="7"/>
  <c r="E54" i="7"/>
  <c r="F54" i="7"/>
  <c r="T54" i="7"/>
  <c r="D55" i="7"/>
  <c r="F55" i="7"/>
  <c r="T55" i="7"/>
  <c r="D56" i="7"/>
  <c r="F56" i="7"/>
  <c r="T56" i="7"/>
  <c r="D57" i="7"/>
  <c r="F57" i="7"/>
  <c r="T57" i="7"/>
  <c r="U57" i="7"/>
  <c r="D58" i="7"/>
  <c r="F58" i="7"/>
  <c r="T58" i="7"/>
  <c r="D59" i="7"/>
  <c r="F59" i="7"/>
  <c r="T59" i="7"/>
  <c r="D60" i="7"/>
  <c r="F60" i="7"/>
  <c r="T60" i="7"/>
  <c r="D61" i="7"/>
  <c r="U61" i="7" s="1"/>
  <c r="F61" i="7"/>
  <c r="T61" i="7"/>
  <c r="D62" i="7"/>
  <c r="F62" i="7"/>
  <c r="T62" i="7"/>
  <c r="U62" i="7"/>
  <c r="D63" i="7"/>
  <c r="F63" i="7"/>
  <c r="T63" i="7"/>
  <c r="U63" i="7"/>
  <c r="D64" i="7"/>
  <c r="F64" i="7"/>
  <c r="T64" i="7"/>
  <c r="D65" i="7"/>
  <c r="F65" i="7"/>
  <c r="T65" i="7"/>
  <c r="D66" i="7"/>
  <c r="F66" i="7"/>
  <c r="T66" i="7"/>
  <c r="D67" i="7"/>
  <c r="E67" i="7"/>
  <c r="F67" i="7"/>
  <c r="T67" i="7"/>
  <c r="D68" i="7"/>
  <c r="E68" i="7"/>
  <c r="F68" i="7"/>
  <c r="T68" i="7"/>
  <c r="D69" i="7"/>
  <c r="E69" i="7"/>
  <c r="F69" i="7"/>
  <c r="T69" i="7"/>
  <c r="D70" i="7"/>
  <c r="E70" i="7"/>
  <c r="F70" i="7"/>
  <c r="T70" i="7"/>
  <c r="D71" i="7"/>
  <c r="E71" i="7"/>
  <c r="F71" i="7"/>
  <c r="T71" i="7"/>
  <c r="D72" i="7"/>
  <c r="E72" i="7"/>
  <c r="F72" i="7"/>
  <c r="T72" i="7"/>
  <c r="D73" i="7"/>
  <c r="E73" i="7"/>
  <c r="F73" i="7"/>
  <c r="T73" i="7"/>
  <c r="D74" i="7"/>
  <c r="E74" i="7"/>
  <c r="F74" i="7"/>
  <c r="T74" i="7"/>
  <c r="D75" i="7"/>
  <c r="E75" i="7"/>
  <c r="F75" i="7"/>
  <c r="T75" i="7"/>
  <c r="D76" i="7"/>
  <c r="E76" i="7"/>
  <c r="F76" i="7"/>
  <c r="T76" i="7"/>
  <c r="D77" i="7"/>
  <c r="E77" i="7"/>
  <c r="F77" i="7"/>
  <c r="T77" i="7"/>
  <c r="D78" i="7"/>
  <c r="E78" i="7"/>
  <c r="F78" i="7"/>
  <c r="T78" i="7"/>
  <c r="D79" i="7"/>
  <c r="E79" i="7"/>
  <c r="F79" i="7"/>
  <c r="T79" i="7"/>
  <c r="D80" i="7"/>
  <c r="U80" i="7" s="1"/>
  <c r="E80" i="7"/>
  <c r="F80" i="7"/>
  <c r="T80" i="7"/>
  <c r="D84" i="7"/>
  <c r="AK14" i="10" l="1"/>
  <c r="AM93" i="10"/>
  <c r="AS93" i="10"/>
  <c r="AT93" i="10" s="1"/>
  <c r="AN14" i="10"/>
  <c r="AT22" i="10"/>
  <c r="AW85" i="10"/>
  <c r="X64" i="10"/>
  <c r="Y64" i="10" s="1"/>
  <c r="U64" i="10"/>
  <c r="O64" i="10"/>
  <c r="P64" i="10" s="1"/>
  <c r="M64" i="10"/>
  <c r="BB22" i="10" s="1"/>
  <c r="AA64" i="10"/>
  <c r="AB64" i="10" s="1"/>
  <c r="AJ64" i="10"/>
  <c r="AK64" i="10" s="1"/>
  <c r="AD64" i="10"/>
  <c r="AE64" i="10" s="1"/>
  <c r="R64" i="10"/>
  <c r="S64" i="10" s="1"/>
  <c r="AV64" i="10"/>
  <c r="AW64" i="10" s="1"/>
  <c r="AT65" i="10"/>
  <c r="AQ19" i="10"/>
  <c r="S71" i="10"/>
  <c r="BC15" i="10"/>
  <c r="BE21" i="10"/>
  <c r="BD21" i="10"/>
  <c r="AT35" i="10"/>
  <c r="AT46" i="10"/>
  <c r="BB14" i="10"/>
  <c r="BD14" i="10" s="1"/>
  <c r="V14" i="10"/>
  <c r="AB14" i="10"/>
  <c r="AD15" i="10"/>
  <c r="M15" i="10"/>
  <c r="BB15" i="10" s="1"/>
  <c r="AV15" i="10"/>
  <c r="AA15" i="10"/>
  <c r="AJ15" i="10"/>
  <c r="R15" i="10"/>
  <c r="X15" i="10"/>
  <c r="AG18" i="10"/>
  <c r="AM18" i="10"/>
  <c r="S14" i="10"/>
  <c r="U36" i="10"/>
  <c r="R36" i="10"/>
  <c r="O36" i="10"/>
  <c r="M36" i="10"/>
  <c r="BB25" i="10" s="1"/>
  <c r="X36" i="10"/>
  <c r="AJ36" i="10"/>
  <c r="AD36" i="10"/>
  <c r="AA36" i="10"/>
  <c r="AV36" i="10"/>
  <c r="O15" i="10"/>
  <c r="AT15" i="10"/>
  <c r="AA13" i="10"/>
  <c r="M13" i="10"/>
  <c r="BB13" i="10" s="1"/>
  <c r="X13" i="10"/>
  <c r="U13" i="10"/>
  <c r="AV13" i="10"/>
  <c r="AD13" i="10"/>
  <c r="R13" i="10"/>
  <c r="AJ13" i="10"/>
  <c r="O16" i="10"/>
  <c r="AA16" i="10"/>
  <c r="M16" i="10"/>
  <c r="R16" i="10"/>
  <c r="AV16" i="10"/>
  <c r="X16" i="10"/>
  <c r="U16" i="10"/>
  <c r="AJ16" i="10"/>
  <c r="AK16" i="10" s="1"/>
  <c r="AD16" i="10"/>
  <c r="AR17" i="10"/>
  <c r="AJ57" i="10"/>
  <c r="O57" i="10"/>
  <c r="M57" i="10"/>
  <c r="BB33" i="10" s="1"/>
  <c r="X57" i="10"/>
  <c r="Y57" i="10" s="1"/>
  <c r="AD57" i="10"/>
  <c r="AE57" i="10" s="1"/>
  <c r="U57" i="10"/>
  <c r="AV57" i="10"/>
  <c r="AW57" i="10" s="1"/>
  <c r="AA57" i="10"/>
  <c r="AB57" i="10" s="1"/>
  <c r="AT60" i="10"/>
  <c r="AT67" i="10"/>
  <c r="AT82" i="10"/>
  <c r="AJ30" i="10"/>
  <c r="O30" i="10"/>
  <c r="M30" i="10"/>
  <c r="BB27" i="10" s="1"/>
  <c r="AD30" i="10"/>
  <c r="AE30" i="10" s="1"/>
  <c r="X30" i="10"/>
  <c r="Y30" i="10" s="1"/>
  <c r="R30" i="10"/>
  <c r="S30" i="10" s="1"/>
  <c r="AT34" i="10"/>
  <c r="AT42" i="10"/>
  <c r="AR69" i="10"/>
  <c r="AQ69" i="10"/>
  <c r="AS19" i="10"/>
  <c r="X27" i="10"/>
  <c r="U27" i="10"/>
  <c r="AA27" i="10"/>
  <c r="AV27" i="10"/>
  <c r="M27" i="10"/>
  <c r="BB20" i="10" s="1"/>
  <c r="AJ27" i="10"/>
  <c r="AK27" i="10" s="1"/>
  <c r="AV33" i="10"/>
  <c r="AW33" i="10" s="1"/>
  <c r="AA33" i="10"/>
  <c r="AB33" i="10" s="1"/>
  <c r="X33" i="10"/>
  <c r="Y33" i="10" s="1"/>
  <c r="R33" i="10"/>
  <c r="S33" i="10" s="1"/>
  <c r="O33" i="10"/>
  <c r="P33" i="10" s="1"/>
  <c r="AJ33" i="10"/>
  <c r="AK33" i="10" s="1"/>
  <c r="AD33" i="10"/>
  <c r="AE33" i="10" s="1"/>
  <c r="AT52" i="10"/>
  <c r="AQ60" i="10"/>
  <c r="AM71" i="10"/>
  <c r="AT84" i="10"/>
  <c r="AA85" i="10"/>
  <c r="AB85" i="10" s="1"/>
  <c r="AS94" i="10"/>
  <c r="AT94" i="10" s="1"/>
  <c r="M94" i="10"/>
  <c r="AE94" i="10" s="1"/>
  <c r="AQ14" i="10"/>
  <c r="AT14" i="10" s="1"/>
  <c r="U30" i="10"/>
  <c r="O50" i="10"/>
  <c r="AR14" i="10"/>
  <c r="AG15" i="10"/>
  <c r="AH15" i="10" s="1"/>
  <c r="AQ22" i="10"/>
  <c r="AT51" i="10"/>
  <c r="AS59" i="10"/>
  <c r="AT59" i="10" s="1"/>
  <c r="AR65" i="10"/>
  <c r="AQ67" i="10"/>
  <c r="AD85" i="10"/>
  <c r="AE85" i="10" s="1"/>
  <c r="AG14" i="10"/>
  <c r="AH14" i="10" s="1"/>
  <c r="U18" i="10"/>
  <c r="AV18" i="10"/>
  <c r="R18" i="10"/>
  <c r="X18" i="10"/>
  <c r="AD18" i="10"/>
  <c r="M18" i="10"/>
  <c r="BB18" i="10" s="1"/>
  <c r="R21" i="10"/>
  <c r="S21" i="10" s="1"/>
  <c r="AV21" i="10"/>
  <c r="X21" i="10"/>
  <c r="U21" i="10"/>
  <c r="AR22" i="10"/>
  <c r="K31" i="10"/>
  <c r="AG57" i="10"/>
  <c r="AM57" i="10"/>
  <c r="AN57" i="10" s="1"/>
  <c r="AS69" i="10"/>
  <c r="AM17" i="10"/>
  <c r="AG17" i="10"/>
  <c r="AM21" i="10"/>
  <c r="AN21" i="10" s="1"/>
  <c r="AG21" i="10"/>
  <c r="AH21" i="10" s="1"/>
  <c r="AA30" i="10"/>
  <c r="AB30" i="10" s="1"/>
  <c r="AR31" i="10"/>
  <c r="AQ31" i="10"/>
  <c r="AS54" i="10"/>
  <c r="AR54" i="10"/>
  <c r="AT78" i="10"/>
  <c r="AQ94" i="10"/>
  <c r="AM64" i="10"/>
  <c r="AN64" i="10" s="1"/>
  <c r="AG64" i="10"/>
  <c r="AH64" i="10" s="1"/>
  <c r="AT61" i="10"/>
  <c r="AJ71" i="10"/>
  <c r="O71" i="10"/>
  <c r="M71" i="10"/>
  <c r="BB23" i="10" s="1"/>
  <c r="AD71" i="10"/>
  <c r="AA71" i="10"/>
  <c r="AB71" i="10" s="1"/>
  <c r="AV71" i="10"/>
  <c r="AW71" i="10" s="1"/>
  <c r="U71" i="10"/>
  <c r="AT70" i="10"/>
  <c r="AS17" i="10"/>
  <c r="AT17" i="10" s="1"/>
  <c r="M21" i="10"/>
  <c r="BB19" i="10" s="1"/>
  <c r="AQ74" i="10"/>
  <c r="AT74" i="10" s="1"/>
  <c r="AT76" i="10"/>
  <c r="AT88" i="10"/>
  <c r="AT24" i="10"/>
  <c r="AT30" i="10"/>
  <c r="AT37" i="10"/>
  <c r="R85" i="10"/>
  <c r="S85" i="10" s="1"/>
  <c r="AJ85" i="10"/>
  <c r="AK85" i="10" s="1"/>
  <c r="O85" i="10"/>
  <c r="M85" i="10"/>
  <c r="BB28" i="10" s="1"/>
  <c r="X85" i="10"/>
  <c r="Y85" i="10" s="1"/>
  <c r="AT23" i="10"/>
  <c r="AT29" i="10"/>
  <c r="AV30" i="10"/>
  <c r="AW30" i="10" s="1"/>
  <c r="AT18" i="10"/>
  <c r="AH27" i="10"/>
  <c r="BC34" i="10"/>
  <c r="X50" i="10"/>
  <c r="U50" i="10"/>
  <c r="M50" i="10"/>
  <c r="BB32" i="10" s="1"/>
  <c r="AA50" i="10"/>
  <c r="AB50" i="10" s="1"/>
  <c r="AV50" i="10"/>
  <c r="AW50" i="10" s="1"/>
  <c r="AT48" i="10"/>
  <c r="AQ53" i="10"/>
  <c r="X71" i="10"/>
  <c r="AT80" i="10"/>
  <c r="AS87" i="10"/>
  <c r="AR87" i="10"/>
  <c r="AD21" i="10"/>
  <c r="AE21" i="10" s="1"/>
  <c r="M43" i="10"/>
  <c r="BB31" i="10" s="1"/>
  <c r="AD43" i="10"/>
  <c r="AE43" i="10" s="1"/>
  <c r="AV43" i="10"/>
  <c r="AW43" i="10" s="1"/>
  <c r="U43" i="10"/>
  <c r="R43" i="10"/>
  <c r="S43" i="10" s="1"/>
  <c r="AA43" i="10"/>
  <c r="AB43" i="10" s="1"/>
  <c r="O43" i="10"/>
  <c r="P43" i="10" s="1"/>
  <c r="AM50" i="10"/>
  <c r="K79" i="10"/>
  <c r="AS31" i="10"/>
  <c r="AR35" i="10"/>
  <c r="AQ35" i="10"/>
  <c r="AG43" i="10"/>
  <c r="AM43" i="10"/>
  <c r="AT39" i="10"/>
  <c r="AT47" i="10"/>
  <c r="U85" i="10"/>
  <c r="I72" i="10"/>
  <c r="I22" i="10"/>
  <c r="I17" i="10"/>
  <c r="O14" i="10"/>
  <c r="P14" i="10" s="1"/>
  <c r="AD14" i="10"/>
  <c r="AE14" i="10" s="1"/>
  <c r="AV14" i="10"/>
  <c r="AW14" i="10" s="1"/>
  <c r="AT28" i="10"/>
  <c r="AQ63" i="10"/>
  <c r="AT63" i="10" s="1"/>
  <c r="AT90" i="10"/>
  <c r="K28" i="10"/>
  <c r="K13" i="10"/>
  <c r="AQ49" i="10"/>
  <c r="AT49" i="10" s="1"/>
  <c r="AQ62" i="10"/>
  <c r="AQ73" i="10"/>
  <c r="AT73" i="10" s="1"/>
  <c r="K22" i="10"/>
  <c r="K34" i="10"/>
  <c r="AR53" i="10"/>
  <c r="AT53" i="10" s="1"/>
  <c r="AS62" i="10"/>
  <c r="AT62" i="10" s="1"/>
  <c r="AR67" i="10"/>
  <c r="AQ87" i="10"/>
  <c r="X14" i="10"/>
  <c r="Y14" i="10" s="1"/>
  <c r="AT38" i="10"/>
  <c r="AQ44" i="10"/>
  <c r="AQ77" i="10"/>
  <c r="AT77" i="10" s="1"/>
  <c r="AS86" i="10"/>
  <c r="AT86" i="10" s="1"/>
  <c r="U93" i="10"/>
  <c r="AG93" i="10"/>
  <c r="AH93" i="10" s="1"/>
  <c r="R93" i="10"/>
  <c r="S93" i="10" s="1"/>
  <c r="AV93" i="10"/>
  <c r="AA93" i="10"/>
  <c r="AB93" i="10" s="1"/>
  <c r="AR44" i="10"/>
  <c r="AT44" i="10" s="1"/>
  <c r="K72" i="10"/>
  <c r="AR77" i="10"/>
  <c r="AT26" i="10"/>
  <c r="K86" i="10"/>
  <c r="AQ91" i="10"/>
  <c r="AT91" i="10" s="1"/>
  <c r="AJ94" i="10"/>
  <c r="I86" i="10"/>
  <c r="P11" i="9"/>
  <c r="J14" i="9"/>
  <c r="J22" i="9"/>
  <c r="F32" i="9"/>
  <c r="P9" i="9"/>
  <c r="Q9" i="9" s="1"/>
  <c r="J18" i="9"/>
  <c r="P4" i="9"/>
  <c r="K18" i="9"/>
  <c r="J10" i="9"/>
  <c r="U59" i="7"/>
  <c r="L16" i="8"/>
  <c r="AE14" i="8"/>
  <c r="Y14" i="8" s="1"/>
  <c r="E14" i="7"/>
  <c r="G14" i="7" s="1"/>
  <c r="Y47" i="8"/>
  <c r="L25" i="8"/>
  <c r="U75" i="7"/>
  <c r="E39" i="7"/>
  <c r="AE39" i="8"/>
  <c r="L55" i="8"/>
  <c r="L14" i="8"/>
  <c r="U73" i="7"/>
  <c r="Y76" i="8"/>
  <c r="AE38" i="8"/>
  <c r="Y38" i="8" s="1"/>
  <c r="E38" i="7"/>
  <c r="G38" i="7" s="1"/>
  <c r="U67" i="7"/>
  <c r="L60" i="8"/>
  <c r="G68" i="7"/>
  <c r="E63" i="7"/>
  <c r="AE63" i="8"/>
  <c r="U54" i="7"/>
  <c r="Y67" i="8"/>
  <c r="U76" i="7"/>
  <c r="L36" i="8"/>
  <c r="Y63" i="8"/>
  <c r="I36" i="8"/>
  <c r="I25" i="8"/>
  <c r="H15" i="8"/>
  <c r="I24" i="8"/>
  <c r="I33" i="8"/>
  <c r="I40" i="8"/>
  <c r="L40" i="8" s="1"/>
  <c r="I60" i="8"/>
  <c r="I21" i="8"/>
  <c r="I37" i="8"/>
  <c r="I57" i="8"/>
  <c r="I64" i="8"/>
  <c r="I18" i="8"/>
  <c r="AE13" i="8"/>
  <c r="Y13" i="8" s="1"/>
  <c r="I19" i="8"/>
  <c r="I26" i="8"/>
  <c r="I35" i="8"/>
  <c r="I42" i="8"/>
  <c r="I55" i="8"/>
  <c r="I62" i="8"/>
  <c r="Y80" i="8"/>
  <c r="I59" i="8"/>
  <c r="Y53" i="8"/>
  <c r="Y39" i="8"/>
  <c r="L37" i="8"/>
  <c r="Y27" i="8"/>
  <c r="L20" i="8"/>
  <c r="L13" i="8"/>
  <c r="U68" i="7"/>
  <c r="Y73" i="8"/>
  <c r="I58" i="8"/>
  <c r="Y46" i="8"/>
  <c r="AE23" i="8"/>
  <c r="L57" i="8"/>
  <c r="I61" i="8"/>
  <c r="I32" i="8"/>
  <c r="I31" i="8"/>
  <c r="L31" i="8" s="1"/>
  <c r="Y23" i="8"/>
  <c r="L21" i="8"/>
  <c r="AD18" i="8"/>
  <c r="E20" i="7"/>
  <c r="G20" i="7" s="1"/>
  <c r="I66" i="8"/>
  <c r="L33" i="8"/>
  <c r="E56" i="7"/>
  <c r="F14" i="7"/>
  <c r="I65" i="8"/>
  <c r="I34" i="8"/>
  <c r="Y30" i="8"/>
  <c r="U19" i="7"/>
  <c r="I41" i="8"/>
  <c r="U29" i="7"/>
  <c r="L24" i="8"/>
  <c r="I17" i="8"/>
  <c r="L17" i="8" s="1"/>
  <c r="E22" i="7"/>
  <c r="G22" i="7" s="1"/>
  <c r="I16" i="8"/>
  <c r="I15" i="8"/>
  <c r="U33" i="7"/>
  <c r="U15" i="7"/>
  <c r="U42" i="7"/>
  <c r="U64" i="7"/>
  <c r="U32" i="7"/>
  <c r="G13" i="7"/>
  <c r="U13" i="7"/>
  <c r="U16" i="7"/>
  <c r="U22" i="7"/>
  <c r="G80" i="7"/>
  <c r="G75" i="7"/>
  <c r="G47" i="7"/>
  <c r="G74" i="7"/>
  <c r="U74" i="7"/>
  <c r="U58" i="7"/>
  <c r="G71" i="7"/>
  <c r="U28" i="7"/>
  <c r="U71" i="7"/>
  <c r="U66" i="7"/>
  <c r="U60" i="7"/>
  <c r="U56" i="7"/>
  <c r="U55" i="7"/>
  <c r="G52" i="7"/>
  <c r="G50" i="7"/>
  <c r="U50" i="7"/>
  <c r="U24" i="7"/>
  <c r="U72" i="7"/>
  <c r="G46" i="7"/>
  <c r="U46" i="7"/>
  <c r="U17" i="7"/>
  <c r="G69" i="7"/>
  <c r="U69" i="7"/>
  <c r="U30" i="7"/>
  <c r="G27" i="7"/>
  <c r="U27" i="7"/>
  <c r="G45" i="7"/>
  <c r="U45" i="7"/>
  <c r="G78" i="7"/>
  <c r="U78" i="7"/>
  <c r="G73" i="7"/>
  <c r="U70" i="7"/>
  <c r="U14" i="7"/>
  <c r="T82" i="7"/>
  <c r="U18" i="7"/>
  <c r="U31" i="7"/>
  <c r="U77" i="7"/>
  <c r="U49" i="7"/>
  <c r="U44" i="7"/>
  <c r="U41" i="7"/>
  <c r="U36" i="7"/>
  <c r="G79" i="7"/>
  <c r="G51" i="7"/>
  <c r="G23" i="7"/>
  <c r="G70" i="7"/>
  <c r="G56" i="7"/>
  <c r="G28" i="7"/>
  <c r="G29" i="7"/>
  <c r="G67" i="7"/>
  <c r="G53" i="7"/>
  <c r="G39" i="7"/>
  <c r="G48" i="7"/>
  <c r="G72" i="7"/>
  <c r="G44" i="7"/>
  <c r="G30" i="7"/>
  <c r="G43" i="7"/>
  <c r="U79" i="7"/>
  <c r="G77" i="7"/>
  <c r="U65" i="7"/>
  <c r="G63" i="7"/>
  <c r="U51" i="7"/>
  <c r="G49" i="7"/>
  <c r="U37" i="7"/>
  <c r="U23" i="7"/>
  <c r="G76" i="7"/>
  <c r="G54" i="7"/>
  <c r="M24" i="10" l="1"/>
  <c r="BB26" i="10" s="1"/>
  <c r="AD24" i="10"/>
  <c r="AE24" i="10" s="1"/>
  <c r="AJ24" i="10"/>
  <c r="AK24" i="10" s="1"/>
  <c r="X24" i="10"/>
  <c r="Y24" i="10" s="1"/>
  <c r="R24" i="10"/>
  <c r="S24" i="10" s="1"/>
  <c r="O24" i="10"/>
  <c r="P24" i="10" s="1"/>
  <c r="AV24" i="10"/>
  <c r="AW24" i="10" s="1"/>
  <c r="AA24" i="10"/>
  <c r="AB24" i="10" s="1"/>
  <c r="U24" i="10"/>
  <c r="AE71" i="10"/>
  <c r="AE18" i="10"/>
  <c r="P50" i="10"/>
  <c r="AH71" i="10"/>
  <c r="Y16" i="10"/>
  <c r="P18" i="10"/>
  <c r="S36" i="10"/>
  <c r="AK18" i="10"/>
  <c r="BE15" i="10"/>
  <c r="BD15" i="10"/>
  <c r="BC27" i="10"/>
  <c r="V30" i="10"/>
  <c r="AK50" i="10"/>
  <c r="AW16" i="10"/>
  <c r="S50" i="10"/>
  <c r="V36" i="10"/>
  <c r="BC25" i="10"/>
  <c r="AN27" i="10"/>
  <c r="AE15" i="10"/>
  <c r="V85" i="10"/>
  <c r="BC28" i="10"/>
  <c r="Y50" i="10"/>
  <c r="P71" i="10"/>
  <c r="AH17" i="10"/>
  <c r="S18" i="10"/>
  <c r="V57" i="10"/>
  <c r="BC33" i="10"/>
  <c r="S16" i="10"/>
  <c r="AB21" i="10"/>
  <c r="V93" i="10"/>
  <c r="BC30" i="10"/>
  <c r="P15" i="10"/>
  <c r="AJ17" i="10"/>
  <c r="AK17" i="10" s="1"/>
  <c r="R17" i="10"/>
  <c r="AV17" i="10"/>
  <c r="AW17" i="10" s="1"/>
  <c r="M17" i="10"/>
  <c r="BB17" i="10" s="1"/>
  <c r="X17" i="10"/>
  <c r="Y17" i="10" s="1"/>
  <c r="U17" i="10"/>
  <c r="O17" i="10"/>
  <c r="P17" i="10" s="1"/>
  <c r="AD17" i="10"/>
  <c r="AE17" i="10" s="1"/>
  <c r="AA17" i="10"/>
  <c r="AB17" i="10" s="1"/>
  <c r="BC16" i="10"/>
  <c r="V16" i="10"/>
  <c r="AB13" i="10"/>
  <c r="P36" i="10"/>
  <c r="V64" i="10"/>
  <c r="BC22" i="10"/>
  <c r="AM36" i="10"/>
  <c r="AN36" i="10" s="1"/>
  <c r="AG36" i="10"/>
  <c r="AH36" i="10" s="1"/>
  <c r="AG24" i="10"/>
  <c r="AH24" i="10" s="1"/>
  <c r="AM24" i="10"/>
  <c r="AN24" i="10" s="1"/>
  <c r="AV78" i="10"/>
  <c r="AA78" i="10"/>
  <c r="X78" i="10"/>
  <c r="AD78" i="10"/>
  <c r="R78" i="10"/>
  <c r="M78" i="10"/>
  <c r="BB24" i="10" s="1"/>
  <c r="U78" i="10"/>
  <c r="O78" i="10"/>
  <c r="P78" i="10" s="1"/>
  <c r="AJ78" i="10"/>
  <c r="AK78" i="10" s="1"/>
  <c r="BC31" i="10"/>
  <c r="V43" i="10"/>
  <c r="V50" i="10"/>
  <c r="BC32" i="10"/>
  <c r="Y18" i="10"/>
  <c r="AK71" i="10"/>
  <c r="AN17" i="10"/>
  <c r="AW18" i="10"/>
  <c r="BB34" i="10"/>
  <c r="BE34" i="10" s="1"/>
  <c r="P94" i="10"/>
  <c r="AH94" i="10"/>
  <c r="S94" i="10"/>
  <c r="BB16" i="10"/>
  <c r="AH16" i="10"/>
  <c r="AN15" i="10"/>
  <c r="AV92" i="10"/>
  <c r="AA92" i="10"/>
  <c r="X92" i="10"/>
  <c r="AD92" i="10"/>
  <c r="U92" i="10"/>
  <c r="O92" i="10"/>
  <c r="P92" i="10" s="1"/>
  <c r="M92" i="10"/>
  <c r="BB29" i="10" s="1"/>
  <c r="AJ92" i="10"/>
  <c r="AK92" i="10" s="1"/>
  <c r="R92" i="10"/>
  <c r="S92" i="10" s="1"/>
  <c r="AT69" i="10"/>
  <c r="BC18" i="10"/>
  <c r="V18" i="10"/>
  <c r="AB16" i="10"/>
  <c r="AN16" i="10"/>
  <c r="AK43" i="10"/>
  <c r="AE50" i="10"/>
  <c r="AK94" i="10"/>
  <c r="AM13" i="10"/>
  <c r="AN13" i="10" s="1"/>
  <c r="AG13" i="10"/>
  <c r="AH13" i="10" s="1"/>
  <c r="AN43" i="10"/>
  <c r="AW27" i="10"/>
  <c r="P16" i="10"/>
  <c r="AN18" i="10"/>
  <c r="AH50" i="10"/>
  <c r="AB18" i="10"/>
  <c r="Y94" i="10"/>
  <c r="AG30" i="10"/>
  <c r="AH30" i="10" s="1"/>
  <c r="AM30" i="10"/>
  <c r="AN30" i="10" s="1"/>
  <c r="AH43" i="10"/>
  <c r="AH57" i="10"/>
  <c r="AB27" i="10"/>
  <c r="P57" i="10"/>
  <c r="AK13" i="10"/>
  <c r="S57" i="10"/>
  <c r="AH18" i="10"/>
  <c r="AT87" i="10"/>
  <c r="AM33" i="10"/>
  <c r="AN33" i="10" s="1"/>
  <c r="AG33" i="10"/>
  <c r="AH33" i="10" s="1"/>
  <c r="AN71" i="10"/>
  <c r="V27" i="10"/>
  <c r="BC20" i="10"/>
  <c r="AK57" i="10"/>
  <c r="S13" i="10"/>
  <c r="AW36" i="10"/>
  <c r="Y15" i="10"/>
  <c r="AM92" i="10"/>
  <c r="AG92" i="10"/>
  <c r="V94" i="10"/>
  <c r="Y27" i="10"/>
  <c r="P30" i="10"/>
  <c r="P27" i="10"/>
  <c r="AE13" i="10"/>
  <c r="AB36" i="10"/>
  <c r="S15" i="10"/>
  <c r="BE14" i="10"/>
  <c r="AT31" i="10"/>
  <c r="Y71" i="10"/>
  <c r="V21" i="10"/>
  <c r="BC19" i="10"/>
  <c r="AK21" i="10"/>
  <c r="AK30" i="10"/>
  <c r="P21" i="10"/>
  <c r="AW13" i="10"/>
  <c r="AE36" i="10"/>
  <c r="AK15" i="10"/>
  <c r="Y43" i="10"/>
  <c r="AM85" i="10"/>
  <c r="AN85" i="10" s="1"/>
  <c r="AG85" i="10"/>
  <c r="AH85" i="10" s="1"/>
  <c r="AT54" i="10"/>
  <c r="Y21" i="10"/>
  <c r="AT19" i="10"/>
  <c r="S27" i="10"/>
  <c r="V13" i="10"/>
  <c r="BC13" i="10"/>
  <c r="AK36" i="10"/>
  <c r="AB15" i="10"/>
  <c r="AE27" i="10"/>
  <c r="AG78" i="10"/>
  <c r="AH78" i="10" s="1"/>
  <c r="AM78" i="10"/>
  <c r="AN78" i="10" s="1"/>
  <c r="AN50" i="10"/>
  <c r="P85" i="10"/>
  <c r="BC23" i="10"/>
  <c r="V71" i="10"/>
  <c r="AW21" i="10"/>
  <c r="AB94" i="10"/>
  <c r="AE16" i="10"/>
  <c r="Y13" i="10"/>
  <c r="Y36" i="10"/>
  <c r="AW15" i="10"/>
  <c r="V15" i="10"/>
  <c r="P13" i="10"/>
  <c r="P10" i="9"/>
  <c r="P12" i="9" s="1"/>
  <c r="Q4" i="9"/>
  <c r="F38" i="9"/>
  <c r="J38" i="9" s="1"/>
  <c r="J32" i="9"/>
  <c r="AE15" i="8"/>
  <c r="Y15" i="8" s="1"/>
  <c r="E15" i="7"/>
  <c r="G15" i="7" s="1"/>
  <c r="AE58" i="8"/>
  <c r="Y58" i="8" s="1"/>
  <c r="E58" i="7"/>
  <c r="G58" i="7" s="1"/>
  <c r="AE62" i="8"/>
  <c r="Y62" i="8" s="1"/>
  <c r="E62" i="7"/>
  <c r="G62" i="7" s="1"/>
  <c r="L62" i="8"/>
  <c r="E33" i="7"/>
  <c r="G33" i="7" s="1"/>
  <c r="AE33" i="8"/>
  <c r="Y33" i="8" s="1"/>
  <c r="AE16" i="8"/>
  <c r="Y16" i="8" s="1"/>
  <c r="E16" i="7"/>
  <c r="G16" i="7" s="1"/>
  <c r="AE66" i="8"/>
  <c r="Y66" i="8" s="1"/>
  <c r="L66" i="8"/>
  <c r="E66" i="7"/>
  <c r="G66" i="7" s="1"/>
  <c r="AE55" i="8"/>
  <c r="Y55" i="8" s="1"/>
  <c r="E55" i="7"/>
  <c r="G55" i="7" s="1"/>
  <c r="AE24" i="8"/>
  <c r="Y24" i="8" s="1"/>
  <c r="E24" i="7"/>
  <c r="G24" i="7" s="1"/>
  <c r="AE42" i="8"/>
  <c r="Y42" i="8" s="1"/>
  <c r="E42" i="7"/>
  <c r="G42" i="7" s="1"/>
  <c r="Y18" i="8"/>
  <c r="AE35" i="8"/>
  <c r="Y35" i="8" s="1"/>
  <c r="E35" i="7"/>
  <c r="G35" i="7" s="1"/>
  <c r="AE26" i="8"/>
  <c r="Y26" i="8" s="1"/>
  <c r="E26" i="7"/>
  <c r="G26" i="7" s="1"/>
  <c r="L26" i="8"/>
  <c r="AE32" i="8"/>
  <c r="Y32" i="8" s="1"/>
  <c r="E32" i="7"/>
  <c r="G32" i="7" s="1"/>
  <c r="E18" i="7"/>
  <c r="G18" i="7" s="1"/>
  <c r="AE18" i="8"/>
  <c r="L18" i="8"/>
  <c r="E25" i="7"/>
  <c r="G25" i="7" s="1"/>
  <c r="AE25" i="8"/>
  <c r="Y25" i="8" s="1"/>
  <c r="AE61" i="8"/>
  <c r="Y61" i="8" s="1"/>
  <c r="E61" i="7"/>
  <c r="G61" i="7" s="1"/>
  <c r="L61" i="8"/>
  <c r="L64" i="8"/>
  <c r="E64" i="7"/>
  <c r="G64" i="7" s="1"/>
  <c r="AE64" i="8"/>
  <c r="Y64" i="8" s="1"/>
  <c r="E36" i="7"/>
  <c r="G36" i="7" s="1"/>
  <c r="AE36" i="8"/>
  <c r="Y36" i="8" s="1"/>
  <c r="E40" i="7"/>
  <c r="G40" i="7" s="1"/>
  <c r="AE40" i="8"/>
  <c r="Y40" i="8" s="1"/>
  <c r="AE19" i="8"/>
  <c r="Y19" i="8" s="1"/>
  <c r="E19" i="7"/>
  <c r="G19" i="7" s="1"/>
  <c r="L15" i="8"/>
  <c r="AE57" i="8"/>
  <c r="Y57" i="8" s="1"/>
  <c r="E57" i="7"/>
  <c r="G57" i="7" s="1"/>
  <c r="L19" i="8"/>
  <c r="L58" i="8"/>
  <c r="AE41" i="8"/>
  <c r="Y41" i="8" s="1"/>
  <c r="L41" i="8"/>
  <c r="E41" i="7"/>
  <c r="G41" i="7" s="1"/>
  <c r="AE65" i="8"/>
  <c r="Y65" i="8" s="1"/>
  <c r="E65" i="7"/>
  <c r="G65" i="7" s="1"/>
  <c r="AE37" i="8"/>
  <c r="Y37" i="8" s="1"/>
  <c r="E37" i="7"/>
  <c r="G37" i="7" s="1"/>
  <c r="L32" i="8"/>
  <c r="AE31" i="8"/>
  <c r="Y31" i="8" s="1"/>
  <c r="E31" i="7"/>
  <c r="G31" i="7" s="1"/>
  <c r="E34" i="7"/>
  <c r="G34" i="7" s="1"/>
  <c r="AE34" i="8"/>
  <c r="Y34" i="8" s="1"/>
  <c r="L34" i="8"/>
  <c r="AE21" i="8"/>
  <c r="Y21" i="8" s="1"/>
  <c r="E21" i="7"/>
  <c r="G21" i="7" s="1"/>
  <c r="L35" i="8"/>
  <c r="L65" i="8"/>
  <c r="E17" i="7"/>
  <c r="G17" i="7" s="1"/>
  <c r="AE17" i="8"/>
  <c r="Y17" i="8" s="1"/>
  <c r="AE59" i="8"/>
  <c r="Y59" i="8" s="1"/>
  <c r="L59" i="8"/>
  <c r="E59" i="7"/>
  <c r="G59" i="7" s="1"/>
  <c r="E60" i="7"/>
  <c r="G60" i="7" s="1"/>
  <c r="AE60" i="8"/>
  <c r="Y60" i="8" s="1"/>
  <c r="L42" i="8"/>
  <c r="U82" i="7"/>
  <c r="BE23" i="10" l="1"/>
  <c r="BD23" i="10"/>
  <c r="BD31" i="10"/>
  <c r="BE31" i="10"/>
  <c r="BE22" i="10"/>
  <c r="BD22" i="10"/>
  <c r="BE30" i="10"/>
  <c r="BD30" i="10"/>
  <c r="BE25" i="10"/>
  <c r="BD25" i="10"/>
  <c r="AB102" i="10"/>
  <c r="S78" i="10"/>
  <c r="BD16" i="10"/>
  <c r="BE16" i="10"/>
  <c r="BC26" i="10"/>
  <c r="V24" i="10"/>
  <c r="AE78" i="10"/>
  <c r="AE102" i="10" s="1"/>
  <c r="BE33" i="10"/>
  <c r="BD33" i="10"/>
  <c r="AH92" i="10"/>
  <c r="AK102" i="10"/>
  <c r="V92" i="10"/>
  <c r="BC29" i="10"/>
  <c r="BD13" i="10"/>
  <c r="BE13" i="10"/>
  <c r="AN92" i="10"/>
  <c r="AN102" i="10" s="1"/>
  <c r="AE92" i="10"/>
  <c r="BD34" i="10"/>
  <c r="Y102" i="10"/>
  <c r="BD19" i="10"/>
  <c r="BE19" i="10"/>
  <c r="AW78" i="10"/>
  <c r="V17" i="10"/>
  <c r="BC17" i="10"/>
  <c r="AB92" i="10"/>
  <c r="AW92" i="10"/>
  <c r="BD32" i="10"/>
  <c r="BE32" i="10"/>
  <c r="BE18" i="10"/>
  <c r="BD18" i="10"/>
  <c r="BC24" i="10"/>
  <c r="V78" i="10"/>
  <c r="V102" i="10" s="1"/>
  <c r="P102" i="10"/>
  <c r="AH102" i="10"/>
  <c r="Y78" i="10"/>
  <c r="AB78" i="10"/>
  <c r="BD27" i="10"/>
  <c r="BE27" i="10"/>
  <c r="Y92" i="10"/>
  <c r="BE28" i="10"/>
  <c r="BD28" i="10"/>
  <c r="BE20" i="10"/>
  <c r="BD20" i="10"/>
  <c r="S17" i="10"/>
  <c r="S102" i="10" s="1"/>
  <c r="P14" i="9"/>
  <c r="P13" i="9"/>
  <c r="BD29" i="10" l="1"/>
  <c r="BE29" i="10"/>
  <c r="BE17" i="10"/>
  <c r="BD17" i="10"/>
  <c r="BE24" i="10"/>
  <c r="BD24" i="10"/>
  <c r="BD26" i="10"/>
  <c r="BE26" i="10"/>
  <c r="U74" i="8" l="1"/>
  <c r="P74" i="7"/>
  <c r="U80" i="8"/>
  <c r="P80" i="7"/>
  <c r="U20" i="8"/>
  <c r="P20" i="7"/>
  <c r="P22" i="7"/>
  <c r="U22" i="8"/>
  <c r="U25" i="8"/>
  <c r="P25" i="7"/>
  <c r="U38" i="8"/>
  <c r="P38" i="7"/>
  <c r="U75" i="8" l="1"/>
  <c r="P75" i="7"/>
  <c r="U71" i="8"/>
  <c r="P71" i="7"/>
  <c r="U59" i="8"/>
  <c r="P59" i="7"/>
  <c r="P14" i="7"/>
  <c r="U14" i="8"/>
  <c r="P65" i="7"/>
  <c r="U65" i="8"/>
  <c r="U61" i="8"/>
  <c r="P61" i="7"/>
  <c r="U46" i="8"/>
  <c r="P46" i="7"/>
  <c r="P60" i="7"/>
  <c r="U60" i="8"/>
  <c r="P45" i="7"/>
  <c r="U45" i="8"/>
  <c r="U79" i="8"/>
  <c r="P79" i="7"/>
  <c r="U63" i="8"/>
  <c r="P63" i="7"/>
  <c r="P16" i="7"/>
  <c r="U16" i="8"/>
  <c r="U27" i="8"/>
  <c r="P27" i="7"/>
  <c r="U66" i="8"/>
  <c r="P66" i="7"/>
  <c r="U73" i="8"/>
  <c r="P73" i="7"/>
  <c r="P29" i="7"/>
  <c r="U29" i="8"/>
  <c r="U17" i="8"/>
  <c r="P17" i="7"/>
  <c r="P15" i="7"/>
  <c r="U15" i="8"/>
  <c r="U34" i="8"/>
  <c r="P34" i="7"/>
  <c r="U62" i="8"/>
  <c r="P62" i="7"/>
  <c r="U23" i="8"/>
  <c r="P23" i="7"/>
  <c r="U64" i="8"/>
  <c r="P64" i="7"/>
  <c r="P58" i="7"/>
  <c r="U58" i="8"/>
  <c r="U54" i="8"/>
  <c r="P54" i="7"/>
  <c r="P44" i="7" l="1"/>
  <c r="U44" i="8"/>
  <c r="U67" i="8"/>
  <c r="P67" i="7"/>
  <c r="P37" i="7"/>
  <c r="U37" i="8"/>
  <c r="U36" i="8"/>
  <c r="P36" i="7"/>
  <c r="P19" i="7"/>
  <c r="U19" i="8"/>
  <c r="U56" i="8"/>
  <c r="P56" i="7"/>
  <c r="U35" i="8"/>
  <c r="P35" i="7"/>
  <c r="U43" i="8"/>
  <c r="P43" i="7"/>
  <c r="U32" i="8"/>
  <c r="P32" i="7"/>
  <c r="P72" i="7"/>
  <c r="U72" i="8"/>
  <c r="U51" i="8"/>
  <c r="P51" i="7"/>
  <c r="U39" i="8"/>
  <c r="P39" i="7"/>
  <c r="P78" i="7"/>
  <c r="U78" i="8"/>
  <c r="U30" i="8"/>
  <c r="P30" i="7"/>
  <c r="U26" i="8"/>
  <c r="P26" i="7"/>
  <c r="U18" i="8"/>
  <c r="P18" i="7"/>
  <c r="P42" i="7"/>
  <c r="U42" i="8"/>
  <c r="P33" i="7"/>
  <c r="U33" i="8"/>
  <c r="U21" i="8"/>
  <c r="P21" i="7"/>
  <c r="P13" i="7"/>
  <c r="U13" i="8"/>
  <c r="P53" i="7"/>
  <c r="U53" i="8"/>
  <c r="U28" i="8"/>
  <c r="P28" i="7"/>
  <c r="U69" i="8"/>
  <c r="P69" i="7"/>
  <c r="U50" i="8"/>
  <c r="P50" i="7"/>
  <c r="U47" i="8"/>
  <c r="P47" i="7"/>
  <c r="P31" i="7"/>
  <c r="U31" i="8"/>
  <c r="U68" i="8"/>
  <c r="P68" i="7"/>
  <c r="U77" i="8"/>
  <c r="P77" i="7"/>
  <c r="U48" i="8"/>
  <c r="P48" i="7"/>
  <c r="U41" i="8"/>
  <c r="P41" i="7"/>
  <c r="P76" i="7"/>
  <c r="U76" i="8"/>
  <c r="U70" i="8"/>
  <c r="P70" i="7"/>
  <c r="P55" i="7"/>
  <c r="U55" i="8"/>
  <c r="U49" i="8"/>
  <c r="P49" i="7"/>
  <c r="U24" i="8"/>
  <c r="P24" i="7"/>
  <c r="U52" i="8"/>
  <c r="P52" i="7"/>
  <c r="P40" i="7"/>
  <c r="U40" i="8"/>
  <c r="P57" i="7"/>
  <c r="U57" i="8"/>
  <c r="N13" i="8" l="1"/>
  <c r="H13" i="7" l="1"/>
  <c r="Q13" i="7" s="1"/>
  <c r="AF13" i="8"/>
  <c r="V13" i="8"/>
  <c r="N34" i="8"/>
  <c r="N23" i="8"/>
  <c r="N55" i="8"/>
  <c r="N60" i="8"/>
  <c r="N40" i="8"/>
  <c r="N72" i="8"/>
  <c r="N44" i="8"/>
  <c r="N79" i="8"/>
  <c r="N17" i="8"/>
  <c r="N37" i="8"/>
  <c r="N14" i="8"/>
  <c r="N25" i="8"/>
  <c r="N39" i="8"/>
  <c r="N63" i="8"/>
  <c r="N57" i="8"/>
  <c r="N80" i="8"/>
  <c r="N26" i="8"/>
  <c r="N20" i="8"/>
  <c r="N71" i="8"/>
  <c r="N43" i="8"/>
  <c r="N27" i="8"/>
  <c r="N65" i="8"/>
  <c r="N56" i="8"/>
  <c r="N62" i="8"/>
  <c r="N15" i="8"/>
  <c r="N68" i="8"/>
  <c r="N67" i="8"/>
  <c r="N21" i="8"/>
  <c r="N61" i="8"/>
  <c r="N33" i="8"/>
  <c r="N32" i="8"/>
  <c r="N70" i="8"/>
  <c r="N46" i="8"/>
  <c r="N38" i="8"/>
  <c r="N64" i="8"/>
  <c r="N45" i="8"/>
  <c r="N18" i="8"/>
  <c r="N35" i="8"/>
  <c r="N28" i="8"/>
  <c r="H21" i="7" l="1"/>
  <c r="Q21" i="7" s="1"/>
  <c r="AF21" i="8"/>
  <c r="V21" i="8"/>
  <c r="N54" i="8"/>
  <c r="AF65" i="8"/>
  <c r="H65" i="7"/>
  <c r="Q65" i="7" s="1"/>
  <c r="V65" i="8"/>
  <c r="AF63" i="8"/>
  <c r="H63" i="7"/>
  <c r="Q63" i="7" s="1"/>
  <c r="V63" i="8"/>
  <c r="N42" i="8"/>
  <c r="AF17" i="8"/>
  <c r="H17" i="7"/>
  <c r="Q17" i="7" s="1"/>
  <c r="V17" i="8"/>
  <c r="H60" i="7"/>
  <c r="Q60" i="7" s="1"/>
  <c r="AF60" i="8"/>
  <c r="V60" i="8"/>
  <c r="AF45" i="8"/>
  <c r="H45" i="7"/>
  <c r="Q45" i="7" s="1"/>
  <c r="V45" i="8"/>
  <c r="AF71" i="8"/>
  <c r="H71" i="7"/>
  <c r="Q71" i="7" s="1"/>
  <c r="V71" i="8"/>
  <c r="H35" i="7"/>
  <c r="Q35" i="7" s="1"/>
  <c r="AF35" i="8"/>
  <c r="V35" i="8"/>
  <c r="AF46" i="8"/>
  <c r="V46" i="8"/>
  <c r="H46" i="7"/>
  <c r="Q46" i="7" s="1"/>
  <c r="N41" i="8"/>
  <c r="AF79" i="8"/>
  <c r="V79" i="8"/>
  <c r="H79" i="7"/>
  <c r="Q79" i="7" s="1"/>
  <c r="AF34" i="8"/>
  <c r="H34" i="7"/>
  <c r="Q34" i="7" s="1"/>
  <c r="V34" i="8"/>
  <c r="H32" i="7"/>
  <c r="Q32" i="7" s="1"/>
  <c r="AF32" i="8"/>
  <c r="V32" i="8"/>
  <c r="H27" i="7"/>
  <c r="Q27" i="7" s="1"/>
  <c r="AF27" i="8"/>
  <c r="V27" i="8"/>
  <c r="N78" i="8"/>
  <c r="N76" i="8"/>
  <c r="H20" i="7"/>
  <c r="Q20" i="7" s="1"/>
  <c r="AF20" i="8"/>
  <c r="V20" i="8"/>
  <c r="AF28" i="8"/>
  <c r="H28" i="7"/>
  <c r="Q28" i="7" s="1"/>
  <c r="V28" i="8"/>
  <c r="N24" i="8"/>
  <c r="AF14" i="8"/>
  <c r="H14" i="7"/>
  <c r="Q14" i="7" s="1"/>
  <c r="V14" i="8"/>
  <c r="N58" i="8"/>
  <c r="N47" i="8"/>
  <c r="N53" i="8"/>
  <c r="H64" i="7"/>
  <c r="Q64" i="7" s="1"/>
  <c r="AF64" i="8"/>
  <c r="V64" i="8"/>
  <c r="H68" i="7"/>
  <c r="Q68" i="7" s="1"/>
  <c r="V68" i="8"/>
  <c r="AF68" i="8"/>
  <c r="N30" i="8"/>
  <c r="AF61" i="8"/>
  <c r="H61" i="7"/>
  <c r="Q61" i="7" s="1"/>
  <c r="V61" i="8"/>
  <c r="N29" i="8"/>
  <c r="N48" i="8"/>
  <c r="AF38" i="8"/>
  <c r="H38" i="7"/>
  <c r="Q38" i="7" s="1"/>
  <c r="V38" i="8"/>
  <c r="N49" i="8"/>
  <c r="H62" i="7"/>
  <c r="Q62" i="7" s="1"/>
  <c r="AF62" i="8"/>
  <c r="V62" i="8"/>
  <c r="AF56" i="8"/>
  <c r="H56" i="7"/>
  <c r="Q56" i="7" s="1"/>
  <c r="V56" i="8"/>
  <c r="H44" i="7"/>
  <c r="Q44" i="7" s="1"/>
  <c r="AF44" i="8"/>
  <c r="V44" i="8"/>
  <c r="N50" i="8"/>
  <c r="N69" i="8"/>
  <c r="N74" i="8"/>
  <c r="N36" i="8"/>
  <c r="AF67" i="8"/>
  <c r="H67" i="7"/>
  <c r="Q67" i="7" s="1"/>
  <c r="V67" i="8"/>
  <c r="N52" i="8"/>
  <c r="H39" i="7"/>
  <c r="Q39" i="7" s="1"/>
  <c r="AF39" i="8"/>
  <c r="V39" i="8"/>
  <c r="AF33" i="8"/>
  <c r="H33" i="7"/>
  <c r="Q33" i="7" s="1"/>
  <c r="V33" i="8"/>
  <c r="H40" i="7"/>
  <c r="Q40" i="7" s="1"/>
  <c r="AF40" i="8"/>
  <c r="V40" i="8"/>
  <c r="AC13" i="8"/>
  <c r="AG13" i="8" s="1"/>
  <c r="AH13" i="8" s="1"/>
  <c r="AI13" i="8"/>
  <c r="AK13" i="8" s="1"/>
  <c r="N59" i="8"/>
  <c r="H15" i="7"/>
  <c r="Q15" i="7" s="1"/>
  <c r="AF15" i="8"/>
  <c r="V15" i="8"/>
  <c r="AF43" i="8"/>
  <c r="H43" i="7"/>
  <c r="Q43" i="7" s="1"/>
  <c r="V43" i="8"/>
  <c r="AF25" i="8"/>
  <c r="H25" i="7"/>
  <c r="Q25" i="7" s="1"/>
  <c r="V25" i="8"/>
  <c r="H55" i="7"/>
  <c r="Q55" i="7" s="1"/>
  <c r="AF55" i="8"/>
  <c r="V55" i="8"/>
  <c r="AF70" i="8"/>
  <c r="H70" i="7"/>
  <c r="Q70" i="7" s="1"/>
  <c r="V70" i="8"/>
  <c r="N19" i="8"/>
  <c r="AF72" i="8"/>
  <c r="H72" i="7"/>
  <c r="Q72" i="7" s="1"/>
  <c r="V72" i="8"/>
  <c r="AF23" i="8"/>
  <c r="H23" i="7"/>
  <c r="Q23" i="7" s="1"/>
  <c r="V23" i="8"/>
  <c r="N16" i="8"/>
  <c r="N75" i="8"/>
  <c r="AF18" i="8"/>
  <c r="H18" i="7"/>
  <c r="Q18" i="7" s="1"/>
  <c r="V18" i="8"/>
  <c r="AF26" i="8"/>
  <c r="H26" i="7"/>
  <c r="Q26" i="7" s="1"/>
  <c r="V26" i="8"/>
  <c r="N51" i="8"/>
  <c r="N22" i="8"/>
  <c r="H57" i="7"/>
  <c r="Q57" i="7" s="1"/>
  <c r="AF57" i="8"/>
  <c r="V57" i="8"/>
  <c r="H37" i="7"/>
  <c r="Q37" i="7" s="1"/>
  <c r="AF37" i="8"/>
  <c r="V37" i="8"/>
  <c r="N66" i="8"/>
  <c r="N73" i="8"/>
  <c r="AF80" i="8"/>
  <c r="H80" i="7"/>
  <c r="Q80" i="7" s="1"/>
  <c r="V80" i="8"/>
  <c r="N77" i="8"/>
  <c r="N31" i="8"/>
  <c r="R13" i="7"/>
  <c r="V13" i="7"/>
  <c r="R68" i="7" l="1"/>
  <c r="V68" i="7"/>
  <c r="W68" i="7" s="1"/>
  <c r="X68" i="7" s="1"/>
  <c r="AC39" i="8"/>
  <c r="AG39" i="8" s="1"/>
  <c r="AH39" i="8" s="1"/>
  <c r="AI39" i="8"/>
  <c r="AK39" i="8" s="1"/>
  <c r="AI18" i="8"/>
  <c r="AK18" i="8" s="1"/>
  <c r="AC18" i="8"/>
  <c r="AG18" i="8" s="1"/>
  <c r="AH18" i="8" s="1"/>
  <c r="R39" i="7"/>
  <c r="V39" i="7"/>
  <c r="W39" i="7" s="1"/>
  <c r="X39" i="7" s="1"/>
  <c r="AF48" i="8"/>
  <c r="H48" i="7"/>
  <c r="Q48" i="7" s="1"/>
  <c r="V48" i="8"/>
  <c r="V64" i="7"/>
  <c r="W64" i="7" s="1"/>
  <c r="X64" i="7" s="1"/>
  <c r="R64" i="7"/>
  <c r="AI34" i="8"/>
  <c r="AK34" i="8" s="1"/>
  <c r="AC34" i="8"/>
  <c r="AG34" i="8" s="1"/>
  <c r="AH34" i="8" s="1"/>
  <c r="AI71" i="8"/>
  <c r="AK71" i="8" s="1"/>
  <c r="AC71" i="8"/>
  <c r="AG71" i="8" s="1"/>
  <c r="AH71" i="8" s="1"/>
  <c r="AI63" i="8"/>
  <c r="AK63" i="8" s="1"/>
  <c r="AC63" i="8"/>
  <c r="AG63" i="8" s="1"/>
  <c r="AH63" i="8" s="1"/>
  <c r="AI37" i="8"/>
  <c r="AK37" i="8" s="1"/>
  <c r="AC37" i="8"/>
  <c r="AG37" i="8" s="1"/>
  <c r="AH37" i="8" s="1"/>
  <c r="R18" i="7"/>
  <c r="V18" i="7"/>
  <c r="W18" i="7" s="1"/>
  <c r="X18" i="7" s="1"/>
  <c r="AI70" i="8"/>
  <c r="AK70" i="8" s="1"/>
  <c r="AC70" i="8"/>
  <c r="AG70" i="8" s="1"/>
  <c r="AH70" i="8" s="1"/>
  <c r="R15" i="7"/>
  <c r="V15" i="7"/>
  <c r="W15" i="7" s="1"/>
  <c r="X15" i="7" s="1"/>
  <c r="H52" i="7"/>
  <c r="Q52" i="7" s="1"/>
  <c r="V52" i="8"/>
  <c r="AF52" i="8"/>
  <c r="H53" i="7"/>
  <c r="Q53" i="7" s="1"/>
  <c r="AF53" i="8"/>
  <c r="V53" i="8"/>
  <c r="AC20" i="8"/>
  <c r="AG20" i="8" s="1"/>
  <c r="AH20" i="8" s="1"/>
  <c r="AI20" i="8"/>
  <c r="AK20" i="8" s="1"/>
  <c r="V34" i="7"/>
  <c r="W34" i="7" s="1"/>
  <c r="X34" i="7" s="1"/>
  <c r="R34" i="7"/>
  <c r="R71" i="7"/>
  <c r="V71" i="7"/>
  <c r="W71" i="7" s="1"/>
  <c r="X71" i="7" s="1"/>
  <c r="R63" i="7"/>
  <c r="V63" i="7"/>
  <c r="W63" i="7" s="1"/>
  <c r="X63" i="7" s="1"/>
  <c r="AC26" i="8"/>
  <c r="AG26" i="8" s="1"/>
  <c r="AH26" i="8" s="1"/>
  <c r="AI26" i="8"/>
  <c r="AK26" i="8" s="1"/>
  <c r="H42" i="7"/>
  <c r="Q42" i="7" s="1"/>
  <c r="AF42" i="8"/>
  <c r="V42" i="8"/>
  <c r="H19" i="7"/>
  <c r="Q19" i="7" s="1"/>
  <c r="AF19" i="8"/>
  <c r="V19" i="8"/>
  <c r="R28" i="7"/>
  <c r="V28" i="7"/>
  <c r="W28" i="7" s="1"/>
  <c r="X28" i="7" s="1"/>
  <c r="AI44" i="8"/>
  <c r="AK44" i="8" s="1"/>
  <c r="AC44" i="8"/>
  <c r="AG44" i="8" s="1"/>
  <c r="AH44" i="8" s="1"/>
  <c r="W13" i="7"/>
  <c r="R70" i="7"/>
  <c r="V70" i="7"/>
  <c r="W70" i="7" s="1"/>
  <c r="X70" i="7" s="1"/>
  <c r="AF59" i="8"/>
  <c r="H59" i="7"/>
  <c r="Q59" i="7" s="1"/>
  <c r="V59" i="8"/>
  <c r="V44" i="7"/>
  <c r="W44" i="7" s="1"/>
  <c r="X44" i="7" s="1"/>
  <c r="R44" i="7"/>
  <c r="H29" i="7"/>
  <c r="Q29" i="7" s="1"/>
  <c r="V29" i="8"/>
  <c r="AF29" i="8"/>
  <c r="R72" i="7"/>
  <c r="V72" i="7"/>
  <c r="W72" i="7" s="1"/>
  <c r="X72" i="7" s="1"/>
  <c r="AC35" i="8"/>
  <c r="AG35" i="8" s="1"/>
  <c r="AH35" i="8" s="1"/>
  <c r="AI35" i="8"/>
  <c r="AK35" i="8" s="1"/>
  <c r="AI28" i="8"/>
  <c r="AK28" i="8" s="1"/>
  <c r="AC28" i="8"/>
  <c r="AG28" i="8" s="1"/>
  <c r="AH28" i="8" s="1"/>
  <c r="R20" i="7"/>
  <c r="V20" i="7"/>
  <c r="W20" i="7" s="1"/>
  <c r="X20" i="7" s="1"/>
  <c r="H31" i="7"/>
  <c r="Q31" i="7" s="1"/>
  <c r="AF31" i="8"/>
  <c r="V31" i="8"/>
  <c r="AC55" i="8"/>
  <c r="AG55" i="8" s="1"/>
  <c r="AH55" i="8" s="1"/>
  <c r="AI55" i="8"/>
  <c r="AK55" i="8" s="1"/>
  <c r="V56" i="7"/>
  <c r="W56" i="7" s="1"/>
  <c r="X56" i="7" s="1"/>
  <c r="R56" i="7"/>
  <c r="AI61" i="8"/>
  <c r="AK61" i="8" s="1"/>
  <c r="AC61" i="8"/>
  <c r="AG61" i="8" s="1"/>
  <c r="AH61" i="8" s="1"/>
  <c r="H76" i="7"/>
  <c r="Q76" i="7" s="1"/>
  <c r="V76" i="8"/>
  <c r="AF76" i="8"/>
  <c r="AC79" i="8"/>
  <c r="AG79" i="8" s="1"/>
  <c r="AH79" i="8" s="1"/>
  <c r="AI79" i="8"/>
  <c r="AK79" i="8" s="1"/>
  <c r="R65" i="7"/>
  <c r="V65" i="7"/>
  <c r="W65" i="7" s="1"/>
  <c r="X65" i="7" s="1"/>
  <c r="AF16" i="8"/>
  <c r="H16" i="7"/>
  <c r="Q16" i="7" s="1"/>
  <c r="V16" i="8"/>
  <c r="R61" i="7"/>
  <c r="V61" i="7"/>
  <c r="W61" i="7" s="1"/>
  <c r="X61" i="7" s="1"/>
  <c r="AF58" i="8"/>
  <c r="H58" i="7"/>
  <c r="Q58" i="7" s="1"/>
  <c r="V58" i="8"/>
  <c r="AC38" i="8"/>
  <c r="AG38" i="8" s="1"/>
  <c r="AH38" i="8" s="1"/>
  <c r="AI38" i="8"/>
  <c r="AK38" i="8" s="1"/>
  <c r="V26" i="7"/>
  <c r="W26" i="7" s="1"/>
  <c r="X26" i="7" s="1"/>
  <c r="R26" i="7"/>
  <c r="H66" i="7"/>
  <c r="Q66" i="7" s="1"/>
  <c r="AF66" i="8"/>
  <c r="V66" i="8"/>
  <c r="AC15" i="8"/>
  <c r="AG15" i="8" s="1"/>
  <c r="AH15" i="8" s="1"/>
  <c r="AI15" i="8"/>
  <c r="AK15" i="8" s="1"/>
  <c r="AI57" i="8"/>
  <c r="AK57" i="8" s="1"/>
  <c r="AC57" i="8"/>
  <c r="AG57" i="8" s="1"/>
  <c r="AH57" i="8" s="1"/>
  <c r="V67" i="7"/>
  <c r="W67" i="7" s="1"/>
  <c r="X67" i="7" s="1"/>
  <c r="R67" i="7"/>
  <c r="R45" i="7"/>
  <c r="V45" i="7"/>
  <c r="W45" i="7" s="1"/>
  <c r="X45" i="7" s="1"/>
  <c r="AF77" i="8"/>
  <c r="H77" i="7"/>
  <c r="Q77" i="7" s="1"/>
  <c r="V77" i="8"/>
  <c r="V57" i="7"/>
  <c r="W57" i="7" s="1"/>
  <c r="X57" i="7" s="1"/>
  <c r="R57" i="7"/>
  <c r="R55" i="7"/>
  <c r="V55" i="7"/>
  <c r="W55" i="7" s="1"/>
  <c r="X55" i="7" s="1"/>
  <c r="AI40" i="8"/>
  <c r="AK40" i="8" s="1"/>
  <c r="AC40" i="8"/>
  <c r="AG40" i="8" s="1"/>
  <c r="AH40" i="8" s="1"/>
  <c r="AF36" i="8"/>
  <c r="H36" i="7"/>
  <c r="Q36" i="7" s="1"/>
  <c r="V36" i="8"/>
  <c r="AC62" i="8"/>
  <c r="AG62" i="8" s="1"/>
  <c r="AH62" i="8" s="1"/>
  <c r="AI62" i="8"/>
  <c r="AK62" i="8" s="1"/>
  <c r="AF78" i="8"/>
  <c r="H78" i="7"/>
  <c r="Q78" i="7" s="1"/>
  <c r="V78" i="8"/>
  <c r="AF41" i="8"/>
  <c r="H41" i="7"/>
  <c r="Q41" i="7" s="1"/>
  <c r="V41" i="8"/>
  <c r="AC60" i="8"/>
  <c r="AG60" i="8" s="1"/>
  <c r="AH60" i="8" s="1"/>
  <c r="AI60" i="8"/>
  <c r="AK60" i="8" s="1"/>
  <c r="AF54" i="8"/>
  <c r="H54" i="7"/>
  <c r="Q54" i="7" s="1"/>
  <c r="V54" i="8"/>
  <c r="R43" i="7"/>
  <c r="V43" i="7"/>
  <c r="W43" i="7" s="1"/>
  <c r="X43" i="7" s="1"/>
  <c r="R35" i="7"/>
  <c r="V35" i="7"/>
  <c r="W35" i="7" s="1"/>
  <c r="X35" i="7" s="1"/>
  <c r="AC65" i="8"/>
  <c r="AG65" i="8" s="1"/>
  <c r="AH65" i="8" s="1"/>
  <c r="AI65" i="8"/>
  <c r="AK65" i="8" s="1"/>
  <c r="H22" i="7"/>
  <c r="Q22" i="7" s="1"/>
  <c r="AF22" i="8"/>
  <c r="V22" i="8"/>
  <c r="AC23" i="8"/>
  <c r="AG23" i="8" s="1"/>
  <c r="AH23" i="8" s="1"/>
  <c r="AI23" i="8"/>
  <c r="AK23" i="8" s="1"/>
  <c r="AI25" i="8"/>
  <c r="AK25" i="8" s="1"/>
  <c r="AC25" i="8"/>
  <c r="AG25" i="8" s="1"/>
  <c r="AH25" i="8" s="1"/>
  <c r="AF30" i="8"/>
  <c r="H30" i="7"/>
  <c r="Q30" i="7" s="1"/>
  <c r="V30" i="8"/>
  <c r="AC14" i="8"/>
  <c r="AG14" i="8" s="1"/>
  <c r="AH14" i="8" s="1"/>
  <c r="AI14" i="8"/>
  <c r="AK14" i="8" s="1"/>
  <c r="AC32" i="8"/>
  <c r="AG32" i="8" s="1"/>
  <c r="AH32" i="8" s="1"/>
  <c r="AI32" i="8"/>
  <c r="AK32" i="8" s="1"/>
  <c r="AI64" i="8"/>
  <c r="AK64" i="8" s="1"/>
  <c r="AC64" i="8"/>
  <c r="AG64" i="8" s="1"/>
  <c r="AH64" i="8" s="1"/>
  <c r="AC56" i="8"/>
  <c r="AG56" i="8" s="1"/>
  <c r="AH56" i="8" s="1"/>
  <c r="AI56" i="8"/>
  <c r="AK56" i="8" s="1"/>
  <c r="R79" i="7"/>
  <c r="V79" i="7"/>
  <c r="W79" i="7" s="1"/>
  <c r="X79" i="7" s="1"/>
  <c r="R23" i="7"/>
  <c r="V23" i="7"/>
  <c r="W23" i="7" s="1"/>
  <c r="X23" i="7" s="1"/>
  <c r="V25" i="7"/>
  <c r="W25" i="7" s="1"/>
  <c r="X25" i="7" s="1"/>
  <c r="R25" i="7"/>
  <c r="V40" i="7"/>
  <c r="W40" i="7" s="1"/>
  <c r="X40" i="7" s="1"/>
  <c r="R40" i="7"/>
  <c r="R62" i="7"/>
  <c r="V62" i="7"/>
  <c r="W62" i="7" s="1"/>
  <c r="X62" i="7" s="1"/>
  <c r="AC27" i="8"/>
  <c r="AG27" i="8" s="1"/>
  <c r="AH27" i="8" s="1"/>
  <c r="AI27" i="8"/>
  <c r="AK27" i="8" s="1"/>
  <c r="R46" i="7"/>
  <c r="V46" i="7"/>
  <c r="W46" i="7" s="1"/>
  <c r="X46" i="7" s="1"/>
  <c r="R60" i="7"/>
  <c r="V60" i="7"/>
  <c r="W60" i="7" s="1"/>
  <c r="X60" i="7" s="1"/>
  <c r="AI21" i="8"/>
  <c r="AK21" i="8" s="1"/>
  <c r="AC21" i="8"/>
  <c r="AG21" i="8" s="1"/>
  <c r="AH21" i="8" s="1"/>
  <c r="AF50" i="8"/>
  <c r="H50" i="7"/>
  <c r="Q50" i="7" s="1"/>
  <c r="V50" i="8"/>
  <c r="R32" i="7"/>
  <c r="V32" i="7"/>
  <c r="W32" i="7" s="1"/>
  <c r="X32" i="7" s="1"/>
  <c r="AI67" i="8"/>
  <c r="AK67" i="8" s="1"/>
  <c r="AC67" i="8"/>
  <c r="AG67" i="8" s="1"/>
  <c r="AH67" i="8" s="1"/>
  <c r="AI45" i="8"/>
  <c r="AK45" i="8" s="1"/>
  <c r="AC45" i="8"/>
  <c r="AG45" i="8" s="1"/>
  <c r="AH45" i="8" s="1"/>
  <c r="R14" i="7"/>
  <c r="V14" i="7"/>
  <c r="W14" i="7" s="1"/>
  <c r="X14" i="7" s="1"/>
  <c r="R80" i="7"/>
  <c r="V80" i="7"/>
  <c r="W80" i="7" s="1"/>
  <c r="X80" i="7" s="1"/>
  <c r="H51" i="7"/>
  <c r="Q51" i="7" s="1"/>
  <c r="AF51" i="8"/>
  <c r="V51" i="8"/>
  <c r="AI33" i="8"/>
  <c r="AK33" i="8" s="1"/>
  <c r="AC33" i="8"/>
  <c r="AG33" i="8" s="1"/>
  <c r="AH33" i="8" s="1"/>
  <c r="AF49" i="8"/>
  <c r="H49" i="7"/>
  <c r="Q49" i="7" s="1"/>
  <c r="V49" i="8"/>
  <c r="AI46" i="8"/>
  <c r="AK46" i="8" s="1"/>
  <c r="AC46" i="8"/>
  <c r="AG46" i="8" s="1"/>
  <c r="AH46" i="8" s="1"/>
  <c r="AC17" i="8"/>
  <c r="AG17" i="8" s="1"/>
  <c r="AH17" i="8" s="1"/>
  <c r="AI17" i="8"/>
  <c r="AK17" i="8" s="1"/>
  <c r="AF73" i="8"/>
  <c r="H73" i="7"/>
  <c r="Q73" i="7" s="1"/>
  <c r="V73" i="8"/>
  <c r="R38" i="7"/>
  <c r="V38" i="7"/>
  <c r="W38" i="7" s="1"/>
  <c r="X38" i="7" s="1"/>
  <c r="R37" i="7"/>
  <c r="V37" i="7"/>
  <c r="W37" i="7" s="1"/>
  <c r="X37" i="7" s="1"/>
  <c r="V75" i="8"/>
  <c r="H75" i="7"/>
  <c r="Q75" i="7" s="1"/>
  <c r="AF75" i="8"/>
  <c r="AF47" i="8"/>
  <c r="H47" i="7"/>
  <c r="Q47" i="7" s="1"/>
  <c r="V47" i="8"/>
  <c r="AC80" i="8"/>
  <c r="AG80" i="8" s="1"/>
  <c r="AH80" i="8" s="1"/>
  <c r="AI80" i="8"/>
  <c r="AK80" i="8" s="1"/>
  <c r="AF74" i="8"/>
  <c r="H74" i="7"/>
  <c r="Q74" i="7" s="1"/>
  <c r="V74" i="8"/>
  <c r="AC72" i="8"/>
  <c r="AG72" i="8" s="1"/>
  <c r="AH72" i="8" s="1"/>
  <c r="AI72" i="8"/>
  <c r="AK72" i="8" s="1"/>
  <c r="AC43" i="8"/>
  <c r="AG43" i="8" s="1"/>
  <c r="AH43" i="8" s="1"/>
  <c r="AI43" i="8"/>
  <c r="AK43" i="8" s="1"/>
  <c r="V33" i="7"/>
  <c r="W33" i="7" s="1"/>
  <c r="X33" i="7" s="1"/>
  <c r="R33" i="7"/>
  <c r="AF69" i="8"/>
  <c r="H69" i="7"/>
  <c r="Q69" i="7" s="1"/>
  <c r="V69" i="8"/>
  <c r="AI68" i="8"/>
  <c r="AK68" i="8" s="1"/>
  <c r="AC68" i="8"/>
  <c r="AG68" i="8" s="1"/>
  <c r="AH68" i="8" s="1"/>
  <c r="AF24" i="8"/>
  <c r="H24" i="7"/>
  <c r="Q24" i="7" s="1"/>
  <c r="V24" i="8"/>
  <c r="R27" i="7"/>
  <c r="V27" i="7"/>
  <c r="W27" i="7" s="1"/>
  <c r="X27" i="7" s="1"/>
  <c r="R17" i="7"/>
  <c r="V17" i="7"/>
  <c r="W17" i="7" s="1"/>
  <c r="X17" i="7" s="1"/>
  <c r="R21" i="7"/>
  <c r="V21" i="7"/>
  <c r="W21" i="7" s="1"/>
  <c r="X21" i="7" s="1"/>
  <c r="AC50" i="8" l="1"/>
  <c r="AG50" i="8" s="1"/>
  <c r="AH50" i="8" s="1"/>
  <c r="AI50" i="8"/>
  <c r="AK50" i="8" s="1"/>
  <c r="AI76" i="8"/>
  <c r="AK76" i="8" s="1"/>
  <c r="AC76" i="8"/>
  <c r="AG76" i="8" s="1"/>
  <c r="AH76" i="8" s="1"/>
  <c r="R52" i="7"/>
  <c r="V52" i="7"/>
  <c r="W52" i="7" s="1"/>
  <c r="X52" i="7" s="1"/>
  <c r="AI51" i="8"/>
  <c r="AK51" i="8" s="1"/>
  <c r="AC51" i="8"/>
  <c r="AG51" i="8" s="1"/>
  <c r="AH51" i="8" s="1"/>
  <c r="V50" i="7"/>
  <c r="W50" i="7" s="1"/>
  <c r="X50" i="7" s="1"/>
  <c r="R50" i="7"/>
  <c r="R30" i="7"/>
  <c r="V30" i="7"/>
  <c r="W30" i="7" s="1"/>
  <c r="X30" i="7" s="1"/>
  <c r="R58" i="7"/>
  <c r="V58" i="7"/>
  <c r="W58" i="7" s="1"/>
  <c r="X58" i="7" s="1"/>
  <c r="AI74" i="8"/>
  <c r="AK74" i="8" s="1"/>
  <c r="AC74" i="8"/>
  <c r="AG74" i="8" s="1"/>
  <c r="AH74" i="8" s="1"/>
  <c r="AC36" i="8"/>
  <c r="AG36" i="8" s="1"/>
  <c r="AH36" i="8" s="1"/>
  <c r="AI36" i="8"/>
  <c r="AK36" i="8" s="1"/>
  <c r="R74" i="7"/>
  <c r="V74" i="7"/>
  <c r="W74" i="7" s="1"/>
  <c r="X74" i="7" s="1"/>
  <c r="R51" i="7"/>
  <c r="V51" i="7"/>
  <c r="W51" i="7" s="1"/>
  <c r="X51" i="7" s="1"/>
  <c r="AI54" i="8"/>
  <c r="AK54" i="8" s="1"/>
  <c r="AC54" i="8"/>
  <c r="AG54" i="8" s="1"/>
  <c r="AH54" i="8" s="1"/>
  <c r="AC48" i="8"/>
  <c r="AG48" i="8" s="1"/>
  <c r="AH48" i="8" s="1"/>
  <c r="AI48" i="8"/>
  <c r="AK48" i="8" s="1"/>
  <c r="R76" i="7"/>
  <c r="V76" i="7"/>
  <c r="W76" i="7" s="1"/>
  <c r="X76" i="7" s="1"/>
  <c r="AI24" i="8"/>
  <c r="AK24" i="8" s="1"/>
  <c r="AC24" i="8"/>
  <c r="AG24" i="8" s="1"/>
  <c r="AH24" i="8" s="1"/>
  <c r="R24" i="7"/>
  <c r="V24" i="7"/>
  <c r="W24" i="7" s="1"/>
  <c r="X24" i="7" s="1"/>
  <c r="AC73" i="8"/>
  <c r="AG73" i="8" s="1"/>
  <c r="AH73" i="8" s="1"/>
  <c r="AI73" i="8"/>
  <c r="AK73" i="8" s="1"/>
  <c r="R36" i="7"/>
  <c r="V36" i="7"/>
  <c r="W36" i="7" s="1"/>
  <c r="X36" i="7" s="1"/>
  <c r="R73" i="7"/>
  <c r="V73" i="7"/>
  <c r="W73" i="7" s="1"/>
  <c r="X73" i="7" s="1"/>
  <c r="R48" i="7"/>
  <c r="V48" i="7"/>
  <c r="W48" i="7" s="1"/>
  <c r="X48" i="7" s="1"/>
  <c r="R54" i="7"/>
  <c r="V54" i="7"/>
  <c r="W54" i="7" s="1"/>
  <c r="X54" i="7" s="1"/>
  <c r="X13" i="7"/>
  <c r="AI47" i="8"/>
  <c r="AK47" i="8" s="1"/>
  <c r="AC47" i="8"/>
  <c r="AG47" i="8" s="1"/>
  <c r="AH47" i="8" s="1"/>
  <c r="V16" i="7"/>
  <c r="W16" i="7" s="1"/>
  <c r="X16" i="7" s="1"/>
  <c r="R16" i="7"/>
  <c r="R29" i="7"/>
  <c r="V29" i="7"/>
  <c r="W29" i="7" s="1"/>
  <c r="X29" i="7" s="1"/>
  <c r="AI41" i="8"/>
  <c r="AK41" i="8" s="1"/>
  <c r="AC41" i="8"/>
  <c r="AG41" i="8" s="1"/>
  <c r="AH41" i="8" s="1"/>
  <c r="AC66" i="8"/>
  <c r="AG66" i="8" s="1"/>
  <c r="AH66" i="8" s="1"/>
  <c r="AI66" i="8"/>
  <c r="AK66" i="8" s="1"/>
  <c r="AC31" i="8"/>
  <c r="AG31" i="8" s="1"/>
  <c r="AH31" i="8" s="1"/>
  <c r="AI31" i="8"/>
  <c r="AK31" i="8" s="1"/>
  <c r="V41" i="7"/>
  <c r="W41" i="7" s="1"/>
  <c r="X41" i="7" s="1"/>
  <c r="R41" i="7"/>
  <c r="R19" i="7"/>
  <c r="V19" i="7"/>
  <c r="W19" i="7" s="1"/>
  <c r="X19" i="7" s="1"/>
  <c r="AI53" i="8"/>
  <c r="AK53" i="8" s="1"/>
  <c r="AC53" i="8"/>
  <c r="AG53" i="8" s="1"/>
  <c r="AH53" i="8" s="1"/>
  <c r="AC58" i="8"/>
  <c r="AG58" i="8" s="1"/>
  <c r="AH58" i="8" s="1"/>
  <c r="AI58" i="8"/>
  <c r="AK58" i="8" s="1"/>
  <c r="AI69" i="8"/>
  <c r="AK69" i="8" s="1"/>
  <c r="AC69" i="8"/>
  <c r="AG69" i="8" s="1"/>
  <c r="AH69" i="8" s="1"/>
  <c r="R69" i="7"/>
  <c r="V69" i="7"/>
  <c r="W69" i="7" s="1"/>
  <c r="X69" i="7" s="1"/>
  <c r="AC22" i="8"/>
  <c r="AG22" i="8" s="1"/>
  <c r="AH22" i="8" s="1"/>
  <c r="AI22" i="8"/>
  <c r="AK22" i="8" s="1"/>
  <c r="AC49" i="8"/>
  <c r="AG49" i="8" s="1"/>
  <c r="AH49" i="8" s="1"/>
  <c r="AI49" i="8"/>
  <c r="AK49" i="8" s="1"/>
  <c r="V22" i="7"/>
  <c r="W22" i="7" s="1"/>
  <c r="X22" i="7" s="1"/>
  <c r="R22" i="7"/>
  <c r="V66" i="7"/>
  <c r="W66" i="7" s="1"/>
  <c r="X66" i="7" s="1"/>
  <c r="R66" i="7"/>
  <c r="R31" i="7"/>
  <c r="V31" i="7"/>
  <c r="W31" i="7" s="1"/>
  <c r="X31" i="7" s="1"/>
  <c r="AC59" i="8"/>
  <c r="AG59" i="8" s="1"/>
  <c r="AH59" i="8" s="1"/>
  <c r="AI59" i="8"/>
  <c r="AK59" i="8" s="1"/>
  <c r="AC42" i="8"/>
  <c r="AG42" i="8" s="1"/>
  <c r="AH42" i="8" s="1"/>
  <c r="AI42" i="8"/>
  <c r="AK42" i="8" s="1"/>
  <c r="AI30" i="8"/>
  <c r="AK30" i="8" s="1"/>
  <c r="AC30" i="8"/>
  <c r="AG30" i="8" s="1"/>
  <c r="AH30" i="8" s="1"/>
  <c r="AC16" i="8"/>
  <c r="AG16" i="8" s="1"/>
  <c r="AH16" i="8" s="1"/>
  <c r="AI16" i="8"/>
  <c r="AK16" i="8" s="1"/>
  <c r="AC19" i="8"/>
  <c r="AG19" i="8" s="1"/>
  <c r="AH19" i="8" s="1"/>
  <c r="AI19" i="8"/>
  <c r="AK19" i="8" s="1"/>
  <c r="V47" i="7"/>
  <c r="W47" i="7" s="1"/>
  <c r="X47" i="7" s="1"/>
  <c r="R47" i="7"/>
  <c r="R75" i="7"/>
  <c r="V75" i="7"/>
  <c r="W75" i="7" s="1"/>
  <c r="X75" i="7" s="1"/>
  <c r="R49" i="7"/>
  <c r="V49" i="7"/>
  <c r="W49" i="7" s="1"/>
  <c r="X49" i="7" s="1"/>
  <c r="AC78" i="8"/>
  <c r="AG78" i="8" s="1"/>
  <c r="AH78" i="8" s="1"/>
  <c r="AI78" i="8"/>
  <c r="AK78" i="8" s="1"/>
  <c r="AI77" i="8"/>
  <c r="AK77" i="8" s="1"/>
  <c r="AC77" i="8"/>
  <c r="AG77" i="8" s="1"/>
  <c r="AH77" i="8" s="1"/>
  <c r="R59" i="7"/>
  <c r="V59" i="7"/>
  <c r="W59" i="7" s="1"/>
  <c r="X59" i="7" s="1"/>
  <c r="R53" i="7"/>
  <c r="V53" i="7"/>
  <c r="W53" i="7" s="1"/>
  <c r="X53" i="7" s="1"/>
  <c r="AI75" i="8"/>
  <c r="AK75" i="8" s="1"/>
  <c r="AC75" i="8"/>
  <c r="AG75" i="8" s="1"/>
  <c r="AH75" i="8" s="1"/>
  <c r="R78" i="7"/>
  <c r="V78" i="7"/>
  <c r="W78" i="7" s="1"/>
  <c r="X78" i="7" s="1"/>
  <c r="R77" i="7"/>
  <c r="V77" i="7"/>
  <c r="W77" i="7" s="1"/>
  <c r="X77" i="7" s="1"/>
  <c r="R42" i="7"/>
  <c r="V42" i="7"/>
  <c r="W42" i="7" s="1"/>
  <c r="X42" i="7" s="1"/>
  <c r="AI29" i="8"/>
  <c r="AK29" i="8" s="1"/>
  <c r="AC29" i="8"/>
  <c r="AG29" i="8" s="1"/>
  <c r="AH29" i="8" s="1"/>
  <c r="AI52" i="8"/>
  <c r="AK52" i="8" s="1"/>
  <c r="AC52" i="8"/>
  <c r="AG52" i="8" s="1"/>
  <c r="AH52" i="8" s="1"/>
  <c r="W82" i="7" l="1"/>
  <c r="X82" i="7" s="1"/>
  <c r="V82" i="7"/>
</calcChain>
</file>

<file path=xl/sharedStrings.xml><?xml version="1.0" encoding="utf-8"?>
<sst xmlns="http://schemas.openxmlformats.org/spreadsheetml/2006/main" count="791" uniqueCount="232">
  <si>
    <t>CCA per therm</t>
  </si>
  <si>
    <t>Current</t>
  </si>
  <si>
    <t>Effects on Average Bill by Rate Schedule</t>
  </si>
  <si>
    <t>Proposed</t>
  </si>
  <si>
    <t>Calculation of Effect on Customer Average Bill by Rate Schedule [1] [3]</t>
  </si>
  <si>
    <t>Normal</t>
  </si>
  <si>
    <t>Net</t>
  </si>
  <si>
    <t>Therms</t>
  </si>
  <si>
    <t>Minimum</t>
  </si>
  <si>
    <t>CCA</t>
  </si>
  <si>
    <t>Therms in</t>
  </si>
  <si>
    <t>Monthly</t>
  </si>
  <si>
    <t xml:space="preserve">Monthly </t>
  </si>
  <si>
    <t>Billing</t>
  </si>
  <si>
    <t>Total</t>
  </si>
  <si>
    <t>Block</t>
  </si>
  <si>
    <t>Average use</t>
  </si>
  <si>
    <t>Charge</t>
  </si>
  <si>
    <t xml:space="preserve">Avg. Credit </t>
  </si>
  <si>
    <t>Rates</t>
  </si>
  <si>
    <t>Average Bill[2]</t>
  </si>
  <si>
    <t>Average Bill</t>
  </si>
  <si>
    <t>% Bill Change</t>
  </si>
  <si>
    <t>F=D+(C * E)</t>
  </si>
  <si>
    <t>AA=D+(C * Z)</t>
  </si>
  <si>
    <t>AB=(AA - F)/F</t>
  </si>
  <si>
    <t>Schedule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</si>
  <si>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</si>
  <si>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</si>
  <si>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</si>
  <si>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</si>
  <si>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</si>
  <si>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</si>
  <si>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</si>
  <si>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</si>
  <si>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</si>
  <si>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</si>
  <si>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</si>
  <si>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</si>
  <si>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AB</t>
  </si>
  <si>
    <t>AC</t>
  </si>
  <si>
    <t>AD</t>
  </si>
  <si>
    <t>1R</t>
  </si>
  <si>
    <t>N/A</t>
  </si>
  <si>
    <t>1C</t>
  </si>
  <si>
    <t>2R</t>
  </si>
  <si>
    <t>3 CFS</t>
  </si>
  <si>
    <t>3 IFS</t>
  </si>
  <si>
    <t>41C Firm Sales</t>
  </si>
  <si>
    <t>Block 1</t>
  </si>
  <si>
    <t>Block 2</t>
  </si>
  <si>
    <t>all additional</t>
  </si>
  <si>
    <t>TOTAL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</si>
  <si>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</si>
  <si>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</si>
  <si>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</si>
  <si>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</si>
  <si>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</si>
  <si>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</si>
  <si>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</si>
  <si>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</si>
  <si>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</si>
  <si>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</si>
  <si>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</si>
  <si>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</si>
  <si>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</si>
  <si>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</si>
  <si>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</si>
  <si>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</si>
  <si>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</si>
  <si>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</si>
  <si>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</si>
  <si>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</si>
  <si>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</si>
  <si>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</si>
  <si>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</si>
  <si>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Sources:</t>
  </si>
  <si>
    <t>Direct Inputs</t>
  </si>
  <si>
    <t>per Tariff</t>
  </si>
  <si>
    <t>Rates in summary</t>
  </si>
  <si>
    <t>Column A</t>
  </si>
  <si>
    <t>NW Natural</t>
  </si>
  <si>
    <t>Rates &amp; Regulatory Affairs</t>
  </si>
  <si>
    <t>Calculation of Proposed Rates - SUMMARY</t>
  </si>
  <si>
    <t>Net change</t>
  </si>
  <si>
    <t>Net Change</t>
  </si>
  <si>
    <t>2022-23 PGA</t>
  </si>
  <si>
    <t>Temporary</t>
  </si>
  <si>
    <t>Permanent</t>
  </si>
  <si>
    <t xml:space="preserve">Change in </t>
  </si>
  <si>
    <t>WACOG</t>
  </si>
  <si>
    <t>Demand [1]</t>
  </si>
  <si>
    <t>PGA Only [1]</t>
  </si>
  <si>
    <t>Increments</t>
  </si>
  <si>
    <t>Rate</t>
  </si>
  <si>
    <t>Rates [1]</t>
  </si>
  <si>
    <t>D=A+B+C</t>
  </si>
  <si>
    <t>G=D+E+F</t>
  </si>
  <si>
    <t>Rates in detail</t>
  </si>
  <si>
    <t>Column F - B</t>
  </si>
  <si>
    <t>Column G+H-C-D</t>
  </si>
  <si>
    <t>Column K - J</t>
  </si>
  <si>
    <t>Column L</t>
  </si>
  <si>
    <t>Column N</t>
  </si>
  <si>
    <t xml:space="preserve">[1] Rate Schedule 41 and 42 customers may choose demand charges at a volumetric rate or based on MDDV. </t>
  </si>
  <si>
    <t>Calculation of Proposed Rates - DETAIL</t>
  </si>
  <si>
    <t>REMOVE</t>
  </si>
  <si>
    <t>ADD</t>
  </si>
  <si>
    <t>FIRM</t>
  </si>
  <si>
    <t>INTERR</t>
  </si>
  <si>
    <t>Tariff</t>
  </si>
  <si>
    <t>Demand</t>
  </si>
  <si>
    <t>Subtotal [1]</t>
  </si>
  <si>
    <t>Items</t>
  </si>
  <si>
    <t>E=A-B-C-D</t>
  </si>
  <si>
    <t>I=E+F+G+H</t>
  </si>
  <si>
    <t>L=I-J+K</t>
  </si>
  <si>
    <t>Gas Cost File</t>
  </si>
  <si>
    <t>Temporary Increments</t>
  </si>
  <si>
    <t>Column I</t>
  </si>
  <si>
    <t>Permanent Increments</t>
  </si>
  <si>
    <t>Column E</t>
  </si>
  <si>
    <t>Equal % of margin</t>
  </si>
  <si>
    <t>[1] Rate Schedule 41 and 42 customers may choose demand charges at a volumetric rate or based on MDDV.  For convenience of presentation, demand charges are not shown for those schedules.</t>
  </si>
  <si>
    <t>Tariff Advice 25-08: Combined Effects on Revenue w/ PGA</t>
  </si>
  <si>
    <t>Amount</t>
  </si>
  <si>
    <t>Purchased Gas Cost Adjustment (PGA)</t>
  </si>
  <si>
    <t>Gas Cost Change</t>
  </si>
  <si>
    <t>Capacity Cost Change</t>
  </si>
  <si>
    <t>Total PGA Change</t>
  </si>
  <si>
    <t>Temporary Rate Adjustments</t>
  </si>
  <si>
    <t>Proposed Temporary Increments</t>
  </si>
  <si>
    <t>Removal of Current Temporary Increments</t>
  </si>
  <si>
    <t>Total Net Temporary Rate Adjustment</t>
  </si>
  <si>
    <t>Permanent Rate Adjustments</t>
  </si>
  <si>
    <t>Proposed Permanent Increments</t>
  </si>
  <si>
    <t>Removal of Current Permanent Increments</t>
  </si>
  <si>
    <t>Total Net Permanent Rate Adjustment</t>
  </si>
  <si>
    <t>TOTAL OF ALL COMPONENTS OF ALL RATE CHANGES</t>
  </si>
  <si>
    <t>2024 Washington CBR Normalized Total Revenues</t>
  </si>
  <si>
    <t xml:space="preserve">Effect of this filing, as a percentage change </t>
  </si>
  <si>
    <t>Less: Col E</t>
  </si>
  <si>
    <t>Add: Col E</t>
  </si>
  <si>
    <t>Col A</t>
  </si>
  <si>
    <t>42I Interr Trans</t>
  </si>
  <si>
    <t>42C Interr Trans</t>
  </si>
  <si>
    <t>27 Dry Out</t>
  </si>
  <si>
    <t>% of Bill</t>
  </si>
  <si>
    <t>Bill Change</t>
  </si>
  <si>
    <t>PGA Bill</t>
  </si>
  <si>
    <t>PGA  Bill</t>
  </si>
  <si>
    <t>Rate Schedule</t>
  </si>
  <si>
    <t>AA</t>
  </si>
  <si>
    <t>Z</t>
  </si>
  <si>
    <t>Y</t>
  </si>
  <si>
    <t>U</t>
  </si>
  <si>
    <t>T</t>
  </si>
  <si>
    <t>S</t>
  </si>
  <si>
    <t>R</t>
  </si>
  <si>
    <t>Q</t>
  </si>
  <si>
    <t>P</t>
  </si>
  <si>
    <t>Avg</t>
  </si>
  <si>
    <t xml:space="preserve">Avg </t>
  </si>
  <si>
    <t>L=(K - F)/F</t>
  </si>
  <si>
    <t>K=D+(C * J)</t>
  </si>
  <si>
    <t>Combined</t>
  </si>
  <si>
    <t>BDP</t>
  </si>
  <si>
    <t>Z=D+(C*Y)</t>
  </si>
  <si>
    <t>T = D+(C*S)</t>
  </si>
  <si>
    <t>Q = D+(C*P)</t>
  </si>
  <si>
    <t>K= D+(C*J)</t>
  </si>
  <si>
    <t>H=D+(C * G)</t>
  </si>
  <si>
    <t xml:space="preserve">Average Bill </t>
  </si>
  <si>
    <t>Rates [2]</t>
  </si>
  <si>
    <t>Rates [3]</t>
  </si>
  <si>
    <t>Column D</t>
  </si>
  <si>
    <t>R&amp;C EE Total</t>
  </si>
  <si>
    <t>PGA Effects</t>
  </si>
  <si>
    <t xml:space="preserve">CCA </t>
  </si>
  <si>
    <t>Mist Recall</t>
  </si>
  <si>
    <t>ECRM</t>
  </si>
  <si>
    <r>
      <rPr>
        <b/>
        <sz val="10.9"/>
        <rFont val="Calibri"/>
        <family val="2"/>
      </rPr>
      <t>Residual</t>
    </r>
    <r>
      <rPr>
        <sz val="11"/>
        <rFont val="Aptos Narrow"/>
        <family val="2"/>
        <scheme val="minor"/>
      </rPr>
      <t xml:space="preserve">
( Regulatory Fee, Rate Mitigation,  Industrial EE &amp; Property Sale )</t>
    </r>
  </si>
  <si>
    <t>GREAT &amp; LIEE</t>
  </si>
  <si>
    <t>R&amp;C Energy Eff.</t>
  </si>
  <si>
    <t>Volumes page,</t>
  </si>
  <si>
    <t>PGA Normalized</t>
  </si>
  <si>
    <t>Washington</t>
  </si>
  <si>
    <t>For Tariff Advice 1X-X only</t>
  </si>
  <si>
    <t>%</t>
  </si>
  <si>
    <t>Revenue</t>
  </si>
  <si>
    <t>Proposed Rate</t>
  </si>
  <si>
    <t>Current Rate</t>
  </si>
  <si>
    <t>Forecast Therms</t>
  </si>
  <si>
    <t>Change in</t>
  </si>
  <si>
    <t xml:space="preserve">Revenue at </t>
  </si>
  <si>
    <t>future use</t>
  </si>
  <si>
    <t>saved for</t>
  </si>
  <si>
    <t>2025-26 PGA</t>
  </si>
  <si>
    <t>41 Interr Sales</t>
  </si>
  <si>
    <t>(AA-I)</t>
  </si>
  <si>
    <t>(H-M+I+J+L)</t>
  </si>
  <si>
    <t>check</t>
  </si>
  <si>
    <t>Margins</t>
  </si>
  <si>
    <t>Schedule X</t>
  </si>
  <si>
    <t>Distribution</t>
  </si>
  <si>
    <t>Adjustment</t>
  </si>
  <si>
    <t>Commodity</t>
  </si>
  <si>
    <t>Capacity</t>
  </si>
  <si>
    <t>Base Rate</t>
  </si>
  <si>
    <t>Pipeline</t>
  </si>
  <si>
    <t>demand</t>
  </si>
  <si>
    <t>less WACOG</t>
  </si>
  <si>
    <t>For 41+, excludes</t>
  </si>
  <si>
    <t>Previous column</t>
  </si>
  <si>
    <t>Excludes Temps</t>
  </si>
  <si>
    <t>Statement of RATES</t>
  </si>
  <si>
    <t>Tariff Schedule Rates:</t>
  </si>
  <si>
    <t>THIS SECTION IS FOR LINKING TO NWN TARIFF PAGES ONLY</t>
  </si>
  <si>
    <t>Check</t>
  </si>
  <si>
    <t>2024-25</t>
  </si>
  <si>
    <t>2025-26</t>
  </si>
  <si>
    <t>2024-25 Combined Effects - Washington: September Filing</t>
  </si>
  <si>
    <t>Current Removal</t>
  </si>
  <si>
    <t>Proposed Addition</t>
  </si>
  <si>
    <t>Change</t>
  </si>
  <si>
    <t>Reference</t>
  </si>
  <si>
    <t>Original Filing</t>
  </si>
  <si>
    <t>NWN 2025-26 PGA gas cost development file September filing_WA.xls</t>
  </si>
  <si>
    <t>TOTAL (Perms+Temps)</t>
  </si>
  <si>
    <t>Gas Cost Changes</t>
  </si>
  <si>
    <t>NWN 2025-26 PGA WA Rate Development September Filing.xlsx</t>
  </si>
  <si>
    <t>NWN 2024-25 PGA WA Rate Development_September Filing.xlsx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</si>
</sst>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00_);\(&quot;$&quot;#,##0.00000\)"/>
    <numFmt numFmtId="166" formatCode="#,##0.00000_);\(#,##0.00000\)"/>
    <numFmt numFmtId="167" formatCode="#,##0.0_);\(#,##0.0\)"/>
    <numFmt numFmtId="168" formatCode="0.00_);\(0.00\)"/>
    <numFmt numFmtId="169" formatCode="&quot;$&quot;#,##0.000000"/>
    <numFmt numFmtId="170" formatCode="&quot;$&quot;#,##0.00000"/>
    <numFmt numFmtId="171" formatCode="_(* #,##0_);_(* \(#,##0\);_(* &quot;-&quot;??_);_(@_)"/>
    <numFmt numFmtId="172" formatCode="_(* #,##0.0000_);_(* \(#,##0.0000\);_(* &quot;-&quot;??_);_(@_)"/>
    <numFmt numFmtId="173" formatCode="_(* #,##0.00000_);_(* \(#,##0.00000\);_(* &quot;-&quot;??_);_(@_)"/>
    <numFmt numFmtId="174" formatCode="0.000000"/>
    <numFmt numFmtId="175" formatCode="_(&quot;$&quot;* #,##0_);_(&quot;$&quot;* \(#,##0\);_(&quot;$&quot;* &quot;-&quot;??_);_(@_)"/>
    <numFmt numFmtId="176" formatCode="&quot;$&quot;#,##0.000"/>
  </numFmts>
  <fonts count="21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indexed="12"/>
      <name val="Aptos Narrow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b/>
      <sz val="10.9"/>
      <name val="Calibri"/>
      <family val="2"/>
    </font>
    <font>
      <b/>
      <sz val="11"/>
      <color indexed="12"/>
      <name val="Aptos Narrow"/>
      <family val="2"/>
      <scheme val="minor"/>
    </font>
    <font>
      <u/>
      <sz val="11"/>
      <name val="Aptos Narrow"/>
      <family val="2"/>
      <scheme val="minor"/>
    </font>
    <font>
      <sz val="8"/>
      <name val="Tahoma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18">
    <xf numFmtId="0" fontId="0" fillId="0" borderId="0" xfId="0"/>
    <xf numFmtId="0" fontId="2" fillId="0" borderId="0" xfId="1" applyFont="1"/>
    <xf numFmtId="172" fontId="2" fillId="0" borderId="0" xfId="2" applyNumberFormat="1" applyFont="1" applyBorder="1"/>
    <xf numFmtId="43" fontId="2" fillId="0" borderId="0" xfId="2" applyFont="1" applyBorder="1"/>
    <xf numFmtId="173" fontId="2" fillId="0" borderId="0" xfId="2" applyNumberFormat="1" applyFont="1" applyBorder="1"/>
    <xf numFmtId="0" fontId="2" fillId="4" borderId="0" xfId="1" applyFont="1" applyFill="1"/>
    <xf numFmtId="0" fontId="2" fillId="5" borderId="0" xfId="1" applyFont="1" applyFill="1"/>
    <xf numFmtId="0" fontId="2" fillId="0" borderId="0" xfId="1" applyFont="1" applyAlignment="1">
      <alignment horizontal="center"/>
    </xf>
    <xf numFmtId="7" fontId="2" fillId="0" borderId="0" xfId="2" applyNumberFormat="1" applyFont="1" applyBorder="1"/>
    <xf numFmtId="0" fontId="2" fillId="3" borderId="10" xfId="1" applyFont="1" applyFill="1" applyBorder="1"/>
    <xf numFmtId="0" fontId="2" fillId="2" borderId="10" xfId="1" applyFont="1" applyFill="1" applyBorder="1"/>
    <xf numFmtId="0" fontId="2" fillId="0" borderId="10" xfId="1" applyFont="1" applyBorder="1"/>
    <xf numFmtId="0" fontId="2" fillId="4" borderId="10" xfId="1" applyFont="1" applyFill="1" applyBorder="1"/>
    <xf numFmtId="0" fontId="2" fillId="5" borderId="10" xfId="1" applyFont="1" applyFill="1" applyBorder="1"/>
    <xf numFmtId="0" fontId="2" fillId="0" borderId="10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0" borderId="9" xfId="1" applyFont="1" applyBorder="1"/>
    <xf numFmtId="37" fontId="2" fillId="0" borderId="10" xfId="1" applyNumberFormat="1" applyFont="1" applyBorder="1"/>
    <xf numFmtId="37" fontId="2" fillId="0" borderId="9" xfId="1" applyNumberFormat="1" applyFont="1" applyBorder="1"/>
    <xf numFmtId="0" fontId="2" fillId="4" borderId="10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37" fontId="2" fillId="0" borderId="3" xfId="1" applyNumberFormat="1" applyFont="1" applyBorder="1"/>
    <xf numFmtId="37" fontId="2" fillId="0" borderId="12" xfId="1" applyNumberFormat="1" applyFont="1" applyBorder="1"/>
    <xf numFmtId="164" fontId="2" fillId="0" borderId="0" xfId="1" applyNumberFormat="1" applyFont="1"/>
    <xf numFmtId="164" fontId="2" fillId="4" borderId="0" xfId="1" applyNumberFormat="1" applyFont="1" applyFill="1"/>
    <xf numFmtId="164" fontId="2" fillId="5" borderId="0" xfId="1" applyNumberFormat="1" applyFont="1" applyFill="1"/>
    <xf numFmtId="0" fontId="3" fillId="0" borderId="0" xfId="1" applyFont="1"/>
    <xf numFmtId="164" fontId="1" fillId="0" borderId="0" xfId="3" applyNumberFormat="1" applyFont="1" applyBorder="1"/>
    <xf numFmtId="39" fontId="2" fillId="0" borderId="0" xfId="1" applyNumberFormat="1" applyFont="1"/>
    <xf numFmtId="39" fontId="2" fillId="4" borderId="0" xfId="1" applyNumberFormat="1" applyFont="1" applyFill="1"/>
    <xf numFmtId="39" fontId="2" fillId="5" borderId="0" xfId="1" applyNumberFormat="1" applyFont="1" applyFill="1"/>
    <xf numFmtId="164" fontId="2" fillId="0" borderId="12" xfId="3" applyNumberFormat="1" applyFont="1" applyBorder="1" applyAlignment="1">
      <alignment horizontal="center"/>
    </xf>
    <xf numFmtId="39" fontId="2" fillId="0" borderId="6" xfId="1" applyNumberFormat="1" applyFont="1" applyBorder="1"/>
    <xf numFmtId="166" fontId="2" fillId="0" borderId="6" xfId="1" applyNumberFormat="1" applyFont="1" applyBorder="1"/>
    <xf numFmtId="164" fontId="2" fillId="0" borderId="4" xfId="3" applyNumberFormat="1" applyFont="1" applyBorder="1" applyAlignment="1">
      <alignment horizontal="center"/>
    </xf>
    <xf numFmtId="39" fontId="2" fillId="0" borderId="4" xfId="1" applyNumberFormat="1" applyFont="1" applyBorder="1"/>
    <xf numFmtId="164" fontId="1" fillId="0" borderId="4" xfId="3" applyNumberFormat="1" applyFont="1" applyFill="1" applyBorder="1"/>
    <xf numFmtId="7" fontId="2" fillId="0" borderId="6" xfId="1" applyNumberFormat="1" applyFont="1" applyBorder="1"/>
    <xf numFmtId="165" fontId="2" fillId="0" borderId="8" xfId="1" applyNumberFormat="1" applyFont="1" applyBorder="1"/>
    <xf numFmtId="39" fontId="2" fillId="4" borderId="4" xfId="1" applyNumberFormat="1" applyFont="1" applyFill="1" applyBorder="1"/>
    <xf numFmtId="39" fontId="2" fillId="4" borderId="6" xfId="1" applyNumberFormat="1" applyFont="1" applyFill="1" applyBorder="1"/>
    <xf numFmtId="39" fontId="2" fillId="4" borderId="8" xfId="1" applyNumberFormat="1" applyFont="1" applyFill="1" applyBorder="1"/>
    <xf numFmtId="39" fontId="2" fillId="0" borderId="8" xfId="1" applyNumberFormat="1" applyFont="1" applyBorder="1"/>
    <xf numFmtId="39" fontId="2" fillId="5" borderId="4" xfId="1" applyNumberFormat="1" applyFont="1" applyFill="1" applyBorder="1"/>
    <xf numFmtId="39" fontId="2" fillId="5" borderId="6" xfId="1" applyNumberFormat="1" applyFont="1" applyFill="1" applyBorder="1"/>
    <xf numFmtId="39" fontId="2" fillId="5" borderId="8" xfId="1" applyNumberFormat="1" applyFont="1" applyFill="1" applyBorder="1"/>
    <xf numFmtId="167" fontId="2" fillId="0" borderId="6" xfId="1" applyNumberFormat="1" applyFont="1" applyBorder="1"/>
    <xf numFmtId="166" fontId="2" fillId="0" borderId="8" xfId="1" applyNumberFormat="1" applyFont="1" applyBorder="1" applyAlignment="1">
      <alignment horizontal="center"/>
    </xf>
    <xf numFmtId="37" fontId="2" fillId="0" borderId="6" xfId="1" applyNumberFormat="1" applyFont="1" applyBorder="1"/>
    <xf numFmtId="0" fontId="2" fillId="0" borderId="8" xfId="1" applyFont="1" applyBorder="1" applyAlignment="1">
      <alignment horizontal="center"/>
    </xf>
    <xf numFmtId="165" fontId="2" fillId="0" borderId="0" xfId="1" applyNumberFormat="1" applyFont="1"/>
    <xf numFmtId="164" fontId="2" fillId="0" borderId="13" xfId="3" applyNumberFormat="1" applyFont="1" applyBorder="1" applyAlignment="1">
      <alignment horizontal="center"/>
    </xf>
    <xf numFmtId="166" fontId="2" fillId="0" borderId="8" xfId="1" applyNumberFormat="1" applyFont="1" applyBorder="1"/>
    <xf numFmtId="164" fontId="2" fillId="0" borderId="7" xfId="3" applyNumberFormat="1" applyFont="1" applyBorder="1" applyAlignment="1">
      <alignment horizontal="center"/>
    </xf>
    <xf numFmtId="164" fontId="2" fillId="0" borderId="7" xfId="3" applyNumberFormat="1" applyFont="1" applyBorder="1"/>
    <xf numFmtId="164" fontId="1" fillId="0" borderId="7" xfId="3" applyNumberFormat="1" applyFont="1" applyFill="1" applyBorder="1"/>
    <xf numFmtId="164" fontId="1" fillId="4" borderId="7" xfId="3" applyNumberFormat="1" applyFont="1" applyFill="1" applyBorder="1"/>
    <xf numFmtId="7" fontId="2" fillId="4" borderId="6" xfId="1" applyNumberFormat="1" applyFont="1" applyFill="1" applyBorder="1"/>
    <xf numFmtId="165" fontId="2" fillId="4" borderId="8" xfId="1" applyNumberFormat="1" applyFont="1" applyFill="1" applyBorder="1"/>
    <xf numFmtId="164" fontId="2" fillId="0" borderId="7" xfId="3" applyNumberFormat="1" applyFont="1" applyFill="1" applyBorder="1"/>
    <xf numFmtId="164" fontId="2" fillId="5" borderId="7" xfId="3" applyNumberFormat="1" applyFont="1" applyFill="1" applyBorder="1"/>
    <xf numFmtId="7" fontId="2" fillId="5" borderId="6" xfId="1" applyNumberFormat="1" applyFont="1" applyFill="1" applyBorder="1"/>
    <xf numFmtId="165" fontId="2" fillId="5" borderId="8" xfId="1" applyNumberFormat="1" applyFont="1" applyFill="1" applyBorder="1"/>
    <xf numFmtId="165" fontId="2" fillId="0" borderId="6" xfId="1" applyNumberFormat="1" applyFont="1" applyBorder="1"/>
    <xf numFmtId="164" fontId="2" fillId="0" borderId="14" xfId="3" applyNumberFormat="1" applyFont="1" applyBorder="1"/>
    <xf numFmtId="164" fontId="2" fillId="0" borderId="14" xfId="3" applyNumberFormat="1" applyFont="1" applyFill="1" applyBorder="1"/>
    <xf numFmtId="167" fontId="2" fillId="0" borderId="8" xfId="1" applyNumberFormat="1" applyFont="1" applyBorder="1"/>
    <xf numFmtId="37" fontId="2" fillId="0" borderId="8" xfId="1" applyNumberFormat="1" applyFont="1" applyBorder="1"/>
    <xf numFmtId="0" fontId="2" fillId="0" borderId="6" xfId="1" applyFont="1" applyBorder="1" applyAlignment="1">
      <alignment horizontal="center"/>
    </xf>
    <xf numFmtId="164" fontId="1" fillId="0" borderId="13" xfId="3" applyNumberFormat="1" applyFont="1" applyBorder="1"/>
    <xf numFmtId="39" fontId="1" fillId="0" borderId="6" xfId="1" applyNumberFormat="1" applyFont="1" applyBorder="1"/>
    <xf numFmtId="166" fontId="1" fillId="0" borderId="6" xfId="1" applyNumberFormat="1" applyFont="1" applyBorder="1"/>
    <xf numFmtId="164" fontId="1" fillId="0" borderId="7" xfId="3" applyNumberFormat="1" applyFont="1" applyBorder="1"/>
    <xf numFmtId="7" fontId="1" fillId="0" borderId="6" xfId="1" applyNumberFormat="1" applyFont="1" applyBorder="1"/>
    <xf numFmtId="164" fontId="1" fillId="0" borderId="2" xfId="3" applyNumberFormat="1" applyFont="1" applyBorder="1"/>
    <xf numFmtId="165" fontId="1" fillId="0" borderId="0" xfId="1" applyNumberFormat="1" applyFont="1"/>
    <xf numFmtId="7" fontId="1" fillId="4" borderId="6" xfId="1" applyNumberFormat="1" applyFont="1" applyFill="1" applyBorder="1"/>
    <xf numFmtId="165" fontId="1" fillId="4" borderId="0" xfId="1" applyNumberFormat="1" applyFont="1" applyFill="1"/>
    <xf numFmtId="164" fontId="1" fillId="0" borderId="2" xfId="3" applyNumberFormat="1" applyFont="1" applyFill="1" applyBorder="1"/>
    <xf numFmtId="164" fontId="1" fillId="5" borderId="7" xfId="3" applyNumberFormat="1" applyFont="1" applyFill="1" applyBorder="1"/>
    <xf numFmtId="7" fontId="1" fillId="5" borderId="6" xfId="1" applyNumberFormat="1" applyFont="1" applyFill="1" applyBorder="1"/>
    <xf numFmtId="165" fontId="1" fillId="5" borderId="0" xfId="1" applyNumberFormat="1" applyFont="1" applyFill="1"/>
    <xf numFmtId="165" fontId="1" fillId="0" borderId="6" xfId="1" applyNumberFormat="1" applyFont="1" applyBorder="1"/>
    <xf numFmtId="167" fontId="1" fillId="0" borderId="6" xfId="1" applyNumberFormat="1" applyFont="1" applyBorder="1"/>
    <xf numFmtId="37" fontId="1" fillId="0" borderId="6" xfId="1" applyNumberFormat="1" applyFont="1" applyBorder="1" applyAlignment="1">
      <alignment horizontal="center"/>
    </xf>
    <xf numFmtId="37" fontId="1" fillId="0" borderId="6" xfId="1" applyNumberFormat="1" applyFont="1" applyBorder="1"/>
    <xf numFmtId="168" fontId="1" fillId="0" borderId="6" xfId="1" applyNumberFormat="1" applyFont="1" applyBorder="1" applyAlignment="1">
      <alignment horizontal="center"/>
    </xf>
    <xf numFmtId="166" fontId="2" fillId="0" borderId="15" xfId="1" applyNumberFormat="1" applyFont="1" applyBorder="1"/>
    <xf numFmtId="166" fontId="2" fillId="0" borderId="0" xfId="1" applyNumberFormat="1" applyFont="1"/>
    <xf numFmtId="166" fontId="2" fillId="0" borderId="2" xfId="1" applyNumberFormat="1" applyFont="1" applyBorder="1"/>
    <xf numFmtId="7" fontId="2" fillId="0" borderId="0" xfId="1" applyNumberFormat="1" applyFont="1"/>
    <xf numFmtId="164" fontId="2" fillId="0" borderId="2" xfId="3" applyNumberFormat="1" applyFont="1" applyBorder="1"/>
    <xf numFmtId="164" fontId="2" fillId="0" borderId="2" xfId="3" applyNumberFormat="1" applyFont="1" applyFill="1" applyBorder="1"/>
    <xf numFmtId="164" fontId="2" fillId="4" borderId="2" xfId="3" applyNumberFormat="1" applyFont="1" applyFill="1" applyBorder="1"/>
    <xf numFmtId="7" fontId="2" fillId="4" borderId="0" xfId="1" applyNumberFormat="1" applyFont="1" applyFill="1"/>
    <xf numFmtId="165" fontId="2" fillId="4" borderId="0" xfId="1" applyNumberFormat="1" applyFont="1" applyFill="1"/>
    <xf numFmtId="164" fontId="2" fillId="5" borderId="2" xfId="3" applyNumberFormat="1" applyFont="1" applyFill="1" applyBorder="1"/>
    <xf numFmtId="7" fontId="2" fillId="5" borderId="0" xfId="1" applyNumberFormat="1" applyFont="1" applyFill="1"/>
    <xf numFmtId="165" fontId="2" fillId="5" borderId="15" xfId="1" applyNumberFormat="1" applyFont="1" applyFill="1" applyBorder="1"/>
    <xf numFmtId="167" fontId="2" fillId="0" borderId="0" xfId="1" applyNumberFormat="1" applyFont="1"/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168" fontId="2" fillId="0" borderId="0" xfId="1" applyNumberFormat="1" applyFont="1" applyAlignment="1">
      <alignment horizontal="center"/>
    </xf>
    <xf numFmtId="165" fontId="1" fillId="4" borderId="6" xfId="1" applyNumberFormat="1" applyFont="1" applyFill="1" applyBorder="1"/>
    <xf numFmtId="164" fontId="1" fillId="5" borderId="6" xfId="3" applyNumberFormat="1" applyFont="1" applyFill="1" applyBorder="1"/>
    <xf numFmtId="165" fontId="1" fillId="5" borderId="6" xfId="1" applyNumberFormat="1" applyFont="1" applyFill="1" applyBorder="1"/>
    <xf numFmtId="164" fontId="1" fillId="0" borderId="15" xfId="3" applyNumberFormat="1" applyFont="1" applyBorder="1"/>
    <xf numFmtId="7" fontId="1" fillId="0" borderId="0" xfId="1" applyNumberFormat="1" applyFont="1"/>
    <xf numFmtId="167" fontId="1" fillId="0" borderId="0" xfId="1" applyNumberFormat="1" applyFont="1"/>
    <xf numFmtId="164" fontId="1" fillId="0" borderId="13" xfId="3" applyNumberFormat="1" applyFont="1" applyFill="1" applyBorder="1"/>
    <xf numFmtId="172" fontId="2" fillId="0" borderId="0" xfId="2" applyNumberFormat="1" applyFont="1" applyFill="1" applyBorder="1"/>
    <xf numFmtId="43" fontId="2" fillId="0" borderId="0" xfId="2" applyFont="1" applyFill="1" applyBorder="1"/>
    <xf numFmtId="44" fontId="2" fillId="0" borderId="16" xfId="4" applyFont="1" applyBorder="1"/>
    <xf numFmtId="7" fontId="2" fillId="0" borderId="16" xfId="4" applyNumberFormat="1" applyFont="1" applyFill="1" applyBorder="1"/>
    <xf numFmtId="7" fontId="2" fillId="0" borderId="16" xfId="4" applyNumberFormat="1" applyFont="1" applyBorder="1"/>
    <xf numFmtId="165" fontId="2" fillId="0" borderId="16" xfId="1" applyNumberFormat="1" applyFont="1" applyBorder="1"/>
    <xf numFmtId="165" fontId="2" fillId="5" borderId="17" xfId="1" applyNumberFormat="1" applyFont="1" applyFill="1" applyBorder="1"/>
    <xf numFmtId="44" fontId="2" fillId="0" borderId="18" xfId="4" applyFont="1" applyBorder="1"/>
    <xf numFmtId="7" fontId="2" fillId="0" borderId="18" xfId="4" applyNumberFormat="1" applyFont="1" applyFill="1" applyBorder="1"/>
    <xf numFmtId="7" fontId="2" fillId="0" borderId="18" xfId="4" applyNumberFormat="1" applyFont="1" applyBorder="1"/>
    <xf numFmtId="165" fontId="2" fillId="0" borderId="18" xfId="1" applyNumberFormat="1" applyFont="1" applyBorder="1"/>
    <xf numFmtId="165" fontId="2" fillId="5" borderId="0" xfId="1" applyNumberFormat="1" applyFont="1" applyFill="1"/>
    <xf numFmtId="164" fontId="2" fillId="0" borderId="13" xfId="3" applyNumberFormat="1" applyFont="1" applyBorder="1"/>
    <xf numFmtId="164" fontId="2" fillId="4" borderId="7" xfId="3" applyNumberFormat="1" applyFont="1" applyFill="1" applyBorder="1"/>
    <xf numFmtId="165" fontId="2" fillId="4" borderId="6" xfId="1" applyNumberFormat="1" applyFont="1" applyFill="1" applyBorder="1"/>
    <xf numFmtId="165" fontId="2" fillId="5" borderId="6" xfId="1" applyNumberFormat="1" applyFont="1" applyFill="1" applyBorder="1"/>
    <xf numFmtId="166" fontId="2" fillId="0" borderId="6" xfId="1" applyNumberFormat="1" applyFont="1" applyBorder="1" applyAlignment="1">
      <alignment horizontal="center"/>
    </xf>
    <xf numFmtId="44" fontId="2" fillId="0" borderId="16" xfId="4" applyFont="1" applyFill="1" applyBorder="1"/>
    <xf numFmtId="164" fontId="2" fillId="0" borderId="13" xfId="3" applyNumberFormat="1" applyFont="1" applyFill="1" applyBorder="1"/>
    <xf numFmtId="0" fontId="1" fillId="0" borderId="0" xfId="1" applyFont="1" applyAlignment="1">
      <alignment horizontal="right"/>
    </xf>
    <xf numFmtId="172" fontId="1" fillId="6" borderId="16" xfId="2" applyNumberFormat="1" applyFont="1" applyFill="1" applyBorder="1" applyAlignment="1">
      <alignment horizontal="center"/>
    </xf>
    <xf numFmtId="43" fontId="1" fillId="6" borderId="16" xfId="2" applyFont="1" applyFill="1" applyBorder="1" applyAlignment="1">
      <alignment horizontal="center"/>
    </xf>
    <xf numFmtId="173" fontId="1" fillId="6" borderId="16" xfId="2" applyNumberFormat="1" applyFont="1" applyFill="1" applyBorder="1" applyAlignment="1">
      <alignment horizontal="right"/>
    </xf>
    <xf numFmtId="0" fontId="1" fillId="0" borderId="1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4" borderId="7" xfId="1" applyFont="1" applyFill="1" applyBorder="1" applyAlignment="1">
      <alignment horizontal="center"/>
    </xf>
    <xf numFmtId="0" fontId="1" fillId="4" borderId="6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6" xfId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172" fontId="1" fillId="6" borderId="16" xfId="2" applyNumberFormat="1" applyFont="1" applyFill="1" applyBorder="1" applyAlignment="1">
      <alignment horizontal="right"/>
    </xf>
    <xf numFmtId="0" fontId="1" fillId="0" borderId="15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19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1" fillId="4" borderId="1" xfId="1" applyFont="1" applyFill="1" applyBorder="1" applyAlignment="1">
      <alignment horizontal="right"/>
    </xf>
    <xf numFmtId="0" fontId="1" fillId="4" borderId="0" xfId="1" applyFont="1" applyFill="1" applyAlignment="1">
      <alignment horizontal="center"/>
    </xf>
    <xf numFmtId="0" fontId="1" fillId="5" borderId="1" xfId="1" applyFont="1" applyFill="1" applyBorder="1" applyAlignment="1">
      <alignment horizontal="right"/>
    </xf>
    <xf numFmtId="0" fontId="1" fillId="5" borderId="0" xfId="1" applyFont="1" applyFill="1" applyAlignment="1">
      <alignment horizontal="center"/>
    </xf>
    <xf numFmtId="0" fontId="1" fillId="0" borderId="1" xfId="1" applyFont="1" applyBorder="1" applyAlignment="1">
      <alignment horizontal="center"/>
    </xf>
    <xf numFmtId="172" fontId="1" fillId="0" borderId="0" xfId="2" applyNumberFormat="1" applyFont="1" applyBorder="1" applyAlignment="1">
      <alignment horizontal="right"/>
    </xf>
    <xf numFmtId="43" fontId="1" fillId="0" borderId="0" xfId="2" applyFont="1" applyBorder="1" applyAlignment="1">
      <alignment horizontal="right"/>
    </xf>
    <xf numFmtId="173" fontId="1" fillId="0" borderId="0" xfId="2" applyNumberFormat="1" applyFont="1" applyBorder="1" applyAlignment="1">
      <alignment horizontal="right"/>
    </xf>
    <xf numFmtId="0" fontId="1" fillId="0" borderId="1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1" fillId="5" borderId="4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1" fillId="5" borderId="3" xfId="1" applyFont="1" applyFill="1" applyBorder="1" applyAlignment="1">
      <alignment horizontal="center"/>
    </xf>
    <xf numFmtId="37" fontId="2" fillId="0" borderId="2" xfId="1" applyNumberFormat="1" applyFont="1" applyBorder="1"/>
    <xf numFmtId="0" fontId="1" fillId="4" borderId="2" xfId="1" applyFont="1" applyFill="1" applyBorder="1" applyAlignment="1">
      <alignment horizontal="center"/>
    </xf>
    <xf numFmtId="37" fontId="2" fillId="4" borderId="0" xfId="1" applyNumberFormat="1" applyFont="1" applyFill="1" applyAlignment="1">
      <alignment horizontal="center" wrapText="1"/>
    </xf>
    <xf numFmtId="0" fontId="2" fillId="4" borderId="0" xfId="1" applyFont="1" applyFill="1" applyAlignment="1">
      <alignment horizontal="center"/>
    </xf>
    <xf numFmtId="0" fontId="1" fillId="5" borderId="2" xfId="1" applyFont="1" applyFill="1" applyBorder="1" applyAlignment="1">
      <alignment horizontal="center"/>
    </xf>
    <xf numFmtId="0" fontId="2" fillId="5" borderId="0" xfId="1" applyFont="1" applyFill="1" applyAlignment="1">
      <alignment horizontal="center" wrapText="1"/>
    </xf>
    <xf numFmtId="0" fontId="2" fillId="5" borderId="0" xfId="1" applyFont="1" applyFill="1" applyAlignment="1">
      <alignment horizontal="center"/>
    </xf>
    <xf numFmtId="14" fontId="2" fillId="0" borderId="15" xfId="1" applyNumberFormat="1" applyFont="1" applyBorder="1" applyAlignment="1">
      <alignment horizontal="center"/>
    </xf>
    <xf numFmtId="14" fontId="2" fillId="0" borderId="0" xfId="1" applyNumberFormat="1" applyFont="1" applyAlignment="1">
      <alignment horizontal="center"/>
    </xf>
    <xf numFmtId="14" fontId="2" fillId="0" borderId="2" xfId="1" applyNumberFormat="1" applyFont="1" applyBorder="1" applyAlignment="1">
      <alignment horizontal="center"/>
    </xf>
    <xf numFmtId="14" fontId="2" fillId="4" borderId="2" xfId="1" applyNumberFormat="1" applyFont="1" applyFill="1" applyBorder="1" applyAlignment="1">
      <alignment horizontal="center"/>
    </xf>
    <xf numFmtId="14" fontId="2" fillId="4" borderId="0" xfId="1" applyNumberFormat="1" applyFont="1" applyFill="1" applyAlignment="1">
      <alignment horizontal="center"/>
    </xf>
    <xf numFmtId="14" fontId="2" fillId="5" borderId="2" xfId="1" applyNumberFormat="1" applyFont="1" applyFill="1" applyBorder="1" applyAlignment="1">
      <alignment horizontal="center"/>
    </xf>
    <xf numFmtId="14" fontId="2" fillId="5" borderId="0" xfId="1" applyNumberFormat="1" applyFont="1" applyFill="1" applyAlignment="1">
      <alignment horizontal="center"/>
    </xf>
    <xf numFmtId="0" fontId="2" fillId="0" borderId="20" xfId="1" applyFont="1" applyBorder="1" applyAlignment="1">
      <alignment horizontal="center"/>
    </xf>
    <xf numFmtId="174" fontId="2" fillId="0" borderId="0" xfId="1" applyNumberFormat="1" applyFont="1"/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5" borderId="1" xfId="1" applyNumberFormat="1" applyFont="1" applyFill="1" applyBorder="1" applyAlignment="1">
      <alignment horizontal="center"/>
    </xf>
    <xf numFmtId="7" fontId="1" fillId="0" borderId="0" xfId="1" applyNumberFormat="1" applyFont="1" applyAlignment="1">
      <alignment horizontal="center"/>
    </xf>
    <xf numFmtId="7" fontId="1" fillId="0" borderId="0" xfId="4" applyNumberFormat="1" applyFont="1" applyFill="1" applyBorder="1" applyAlignment="1">
      <alignment horizontal="center"/>
    </xf>
    <xf numFmtId="7" fontId="1" fillId="4" borderId="0" xfId="1" applyNumberFormat="1" applyFont="1" applyFill="1" applyAlignment="1">
      <alignment horizontal="center"/>
    </xf>
    <xf numFmtId="7" fontId="1" fillId="5" borderId="0" xfId="1" applyNumberFormat="1" applyFont="1" applyFill="1" applyAlignment="1">
      <alignment horizontal="center"/>
    </xf>
    <xf numFmtId="7" fontId="1" fillId="0" borderId="0" xfId="1" applyNumberFormat="1" applyFont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left"/>
    </xf>
    <xf numFmtId="0" fontId="1" fillId="0" borderId="0" xfId="1" applyFont="1"/>
    <xf numFmtId="10" fontId="2" fillId="0" borderId="0" xfId="3" applyNumberFormat="1" applyFont="1" applyFill="1"/>
    <xf numFmtId="0" fontId="2" fillId="0" borderId="0" xfId="1" applyFont="1" applyAlignment="1">
      <alignment vertical="top"/>
    </xf>
    <xf numFmtId="44" fontId="2" fillId="0" borderId="0" xfId="4" applyFont="1" applyBorder="1"/>
    <xf numFmtId="37" fontId="2" fillId="0" borderId="0" xfId="1" applyNumberFormat="1" applyFont="1" applyAlignment="1">
      <alignment horizontal="left" vertical="top"/>
    </xf>
    <xf numFmtId="0" fontId="4" fillId="3" borderId="1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1" fillId="0" borderId="21" xfId="3" applyNumberFormat="1" applyFont="1" applyBorder="1"/>
    <xf numFmtId="175" fontId="1" fillId="0" borderId="6" xfId="4" applyNumberFormat="1" applyFont="1" applyBorder="1"/>
    <xf numFmtId="37" fontId="1" fillId="0" borderId="22" xfId="1" applyNumberFormat="1" applyFont="1" applyBorder="1"/>
    <xf numFmtId="0" fontId="2" fillId="0" borderId="25" xfId="1" applyFont="1" applyBorder="1"/>
    <xf numFmtId="173" fontId="2" fillId="0" borderId="26" xfId="2" applyNumberFormat="1" applyFont="1" applyBorder="1"/>
    <xf numFmtId="43" fontId="2" fillId="0" borderId="0" xfId="1" applyNumberFormat="1" applyFont="1"/>
    <xf numFmtId="164" fontId="2" fillId="0" borderId="21" xfId="3" applyNumberFormat="1" applyFont="1" applyBorder="1"/>
    <xf numFmtId="175" fontId="2" fillId="0" borderId="6" xfId="4" applyNumberFormat="1" applyFont="1" applyBorder="1"/>
    <xf numFmtId="171" fontId="2" fillId="0" borderId="22" xfId="2" applyNumberFormat="1" applyFont="1" applyBorder="1"/>
    <xf numFmtId="164" fontId="2" fillId="0" borderId="25" xfId="3" applyNumberFormat="1" applyFont="1" applyBorder="1"/>
    <xf numFmtId="175" fontId="2" fillId="0" borderId="0" xfId="4" applyNumberFormat="1" applyFont="1" applyBorder="1"/>
    <xf numFmtId="171" fontId="2" fillId="0" borderId="26" xfId="2" applyNumberFormat="1" applyFont="1" applyBorder="1"/>
    <xf numFmtId="168" fontId="2" fillId="0" borderId="6" xfId="1" applyNumberFormat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right"/>
    </xf>
    <xf numFmtId="0" fontId="1" fillId="0" borderId="23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24" xfId="1" applyFont="1" applyBorder="1" applyAlignment="1">
      <alignment horizontal="right"/>
    </xf>
    <xf numFmtId="0" fontId="11" fillId="8" borderId="3" xfId="1" applyFont="1" applyFill="1" applyBorder="1" applyAlignment="1">
      <alignment horizontal="center" wrapText="1"/>
    </xf>
    <xf numFmtId="0" fontId="11" fillId="8" borderId="0" xfId="1" applyFont="1" applyFill="1" applyAlignment="1">
      <alignment horizontal="center"/>
    </xf>
    <xf numFmtId="14" fontId="1" fillId="0" borderId="0" xfId="1" applyNumberFormat="1" applyFont="1" applyAlignment="1">
      <alignment horizontal="center"/>
    </xf>
    <xf numFmtId="0" fontId="1" fillId="8" borderId="0" xfId="1" applyFont="1" applyFill="1" applyAlignment="1">
      <alignment horizontal="center"/>
    </xf>
    <xf numFmtId="166" fontId="2" fillId="5" borderId="0" xfId="1" applyNumberFormat="1" applyFont="1" applyFill="1"/>
    <xf numFmtId="0" fontId="12" fillId="5" borderId="0" xfId="1" applyFont="1" applyFill="1"/>
    <xf numFmtId="0" fontId="1" fillId="5" borderId="0" xfId="1" applyFont="1" applyFill="1" applyAlignment="1">
      <alignment horizontal="right"/>
    </xf>
    <xf numFmtId="37" fontId="1" fillId="5" borderId="0" xfId="1" applyNumberFormat="1" applyFont="1" applyFill="1" applyAlignment="1">
      <alignment horizontal="left"/>
    </xf>
    <xf numFmtId="0" fontId="2" fillId="5" borderId="9" xfId="1" applyFont="1" applyFill="1" applyBorder="1"/>
    <xf numFmtId="0" fontId="3" fillId="5" borderId="0" xfId="1" applyFont="1" applyFill="1"/>
    <xf numFmtId="170" fontId="2" fillId="5" borderId="0" xfId="1" applyNumberFormat="1" applyFont="1" applyFill="1"/>
    <xf numFmtId="173" fontId="2" fillId="5" borderId="0" xfId="2" applyNumberFormat="1" applyFont="1" applyFill="1" applyBorder="1" applyAlignment="1">
      <alignment horizontal="right"/>
    </xf>
    <xf numFmtId="166" fontId="2" fillId="5" borderId="27" xfId="1" applyNumberFormat="1" applyFont="1" applyFill="1" applyBorder="1"/>
    <xf numFmtId="166" fontId="2" fillId="5" borderId="3" xfId="1" applyNumberFormat="1" applyFont="1" applyFill="1" applyBorder="1"/>
    <xf numFmtId="170" fontId="2" fillId="5" borderId="12" xfId="1" applyNumberFormat="1" applyFont="1" applyFill="1" applyBorder="1"/>
    <xf numFmtId="0" fontId="2" fillId="5" borderId="8" xfId="1" applyFont="1" applyFill="1" applyBorder="1" applyAlignment="1">
      <alignment horizontal="center"/>
    </xf>
    <xf numFmtId="166" fontId="2" fillId="5" borderId="6" xfId="1" applyNumberFormat="1" applyFont="1" applyFill="1" applyBorder="1"/>
    <xf numFmtId="170" fontId="2" fillId="5" borderId="6" xfId="1" applyNumberFormat="1" applyFont="1" applyFill="1" applyBorder="1"/>
    <xf numFmtId="166" fontId="2" fillId="5" borderId="28" xfId="1" applyNumberFormat="1" applyFont="1" applyFill="1" applyBorder="1"/>
    <xf numFmtId="170" fontId="2" fillId="5" borderId="15" xfId="1" applyNumberFormat="1" applyFont="1" applyFill="1" applyBorder="1"/>
    <xf numFmtId="0" fontId="2" fillId="5" borderId="6" xfId="1" applyFont="1" applyFill="1" applyBorder="1" applyAlignment="1">
      <alignment horizontal="center"/>
    </xf>
    <xf numFmtId="166" fontId="2" fillId="5" borderId="8" xfId="1" applyNumberFormat="1" applyFont="1" applyFill="1" applyBorder="1"/>
    <xf numFmtId="170" fontId="2" fillId="5" borderId="8" xfId="1" applyNumberFormat="1" applyFont="1" applyFill="1" applyBorder="1"/>
    <xf numFmtId="168" fontId="2" fillId="5" borderId="6" xfId="1" applyNumberFormat="1" applyFont="1" applyFill="1" applyBorder="1" applyAlignment="1">
      <alignment horizontal="center"/>
    </xf>
    <xf numFmtId="168" fontId="2" fillId="5" borderId="0" xfId="1" applyNumberFormat="1" applyFont="1" applyFill="1" applyAlignment="1">
      <alignment horizontal="center"/>
    </xf>
    <xf numFmtId="166" fontId="2" fillId="5" borderId="5" xfId="1" applyNumberFormat="1" applyFont="1" applyFill="1" applyBorder="1"/>
    <xf numFmtId="168" fontId="2" fillId="5" borderId="29" xfId="1" applyNumberFormat="1" applyFont="1" applyFill="1" applyBorder="1" applyAlignment="1">
      <alignment horizontal="center"/>
    </xf>
    <xf numFmtId="176" fontId="12" fillId="5" borderId="0" xfId="1" applyNumberFormat="1" applyFont="1" applyFill="1"/>
    <xf numFmtId="166" fontId="2" fillId="5" borderId="0" xfId="1" applyNumberFormat="1" applyFont="1" applyFill="1" applyAlignment="1">
      <alignment horizontal="center"/>
    </xf>
    <xf numFmtId="0" fontId="1" fillId="5" borderId="19" xfId="1" applyFont="1" applyFill="1" applyBorder="1" applyAlignment="1">
      <alignment horizontal="right"/>
    </xf>
    <xf numFmtId="0" fontId="1" fillId="5" borderId="30" xfId="1" applyFont="1" applyFill="1" applyBorder="1" applyAlignment="1">
      <alignment horizontal="right"/>
    </xf>
    <xf numFmtId="0" fontId="1" fillId="5" borderId="20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166" fontId="1" fillId="5" borderId="0" xfId="1" applyNumberFormat="1" applyFont="1" applyFill="1" applyAlignment="1">
      <alignment horizontal="center"/>
    </xf>
    <xf numFmtId="14" fontId="1" fillId="5" borderId="0" xfId="1" applyNumberFormat="1" applyFont="1" applyFill="1" applyAlignment="1">
      <alignment horizontal="center"/>
    </xf>
    <xf numFmtId="0" fontId="1" fillId="5" borderId="0" xfId="1" applyFont="1" applyFill="1" applyAlignment="1">
      <alignment horizontal="centerContinuous"/>
    </xf>
    <xf numFmtId="0" fontId="1" fillId="5" borderId="0" xfId="1" applyFont="1" applyFill="1"/>
    <xf numFmtId="169" fontId="2" fillId="5" borderId="0" xfId="1" applyNumberFormat="1" applyFont="1" applyFill="1"/>
    <xf numFmtId="0" fontId="1" fillId="5" borderId="8" xfId="1" applyFont="1" applyFill="1" applyBorder="1" applyAlignment="1">
      <alignment horizontal="centerContinuous"/>
    </xf>
    <xf numFmtId="166" fontId="2" fillId="5" borderId="31" xfId="1" applyNumberFormat="1" applyFont="1" applyFill="1" applyBorder="1"/>
    <xf numFmtId="0" fontId="1" fillId="5" borderId="9" xfId="1" applyFont="1" applyFill="1" applyBorder="1"/>
    <xf numFmtId="166" fontId="1" fillId="5" borderId="0" xfId="1" applyNumberFormat="1" applyFont="1" applyFill="1"/>
    <xf numFmtId="0" fontId="5" fillId="0" borderId="0" xfId="1" applyFont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quotePrefix="1" applyFont="1" applyAlignment="1">
      <alignment horizontal="center"/>
    </xf>
    <xf numFmtId="0" fontId="7" fillId="0" borderId="0" xfId="1" applyFont="1" applyAlignment="1">
      <alignment horizontal="center"/>
    </xf>
    <xf numFmtId="175" fontId="6" fillId="0" borderId="0" xfId="4" applyNumberFormat="1" applyFont="1"/>
    <xf numFmtId="175" fontId="6" fillId="0" borderId="0" xfId="4" applyNumberFormat="1" applyFont="1" applyFill="1"/>
    <xf numFmtId="5" fontId="6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applyFont="1"/>
    <xf numFmtId="0" fontId="13" fillId="0" borderId="0" xfId="1" applyFont="1"/>
    <xf numFmtId="37" fontId="8" fillId="0" borderId="32" xfId="1" applyNumberFormat="1" applyFont="1" applyBorder="1"/>
    <xf numFmtId="37" fontId="6" fillId="0" borderId="0" xfId="1" applyNumberFormat="1" applyFont="1"/>
    <xf numFmtId="37" fontId="8" fillId="0" borderId="0" xfId="1" applyNumberFormat="1" applyFont="1"/>
    <xf numFmtId="37" fontId="6" fillId="0" borderId="6" xfId="1" applyNumberFormat="1" applyFont="1" applyBorder="1"/>
    <xf numFmtId="43" fontId="6" fillId="0" borderId="0" xfId="1" applyNumberFormat="1" applyFont="1"/>
    <xf numFmtId="0" fontId="8" fillId="0" borderId="0" xfId="1" applyFont="1" applyAlignment="1">
      <alignment horizontal="left" indent="2"/>
    </xf>
    <xf numFmtId="44" fontId="13" fillId="0" borderId="0" xfId="4" applyFont="1"/>
    <xf numFmtId="175" fontId="6" fillId="0" borderId="0" xfId="1" applyNumberFormat="1" applyFont="1"/>
    <xf numFmtId="171" fontId="6" fillId="0" borderId="0" xfId="2" applyNumberFormat="1" applyFont="1" applyFill="1"/>
    <xf numFmtId="9" fontId="6" fillId="0" borderId="0" xfId="1" applyNumberFormat="1" applyFont="1"/>
    <xf numFmtId="43" fontId="6" fillId="0" borderId="0" xfId="2" applyFont="1"/>
    <xf numFmtId="5" fontId="8" fillId="0" borderId="11" xfId="1" applyNumberFormat="1" applyFont="1" applyBorder="1"/>
    <xf numFmtId="0" fontId="8" fillId="0" borderId="0" xfId="1" quotePrefix="1" applyFont="1"/>
    <xf numFmtId="0" fontId="6" fillId="0" borderId="0" xfId="1" quotePrefix="1" applyFont="1"/>
    <xf numFmtId="5" fontId="8" fillId="0" borderId="0" xfId="4" applyNumberFormat="1" applyFont="1" applyFill="1"/>
    <xf numFmtId="5" fontId="8" fillId="0" borderId="0" xfId="4" applyNumberFormat="1" applyFont="1"/>
    <xf numFmtId="10" fontId="8" fillId="0" borderId="0" xfId="3" applyNumberFormat="1" applyFont="1" applyFill="1"/>
    <xf numFmtId="10" fontId="8" fillId="0" borderId="0" xfId="3" applyNumberFormat="1" applyFont="1"/>
    <xf numFmtId="0" fontId="15" fillId="0" borderId="0" xfId="1" applyFont="1"/>
    <xf numFmtId="0" fontId="18" fillId="0" borderId="0" xfId="1" applyFont="1"/>
    <xf numFmtId="0" fontId="18" fillId="0" borderId="0" xfId="1" applyFont="1" applyAlignment="1">
      <alignment horizontal="center"/>
    </xf>
    <xf numFmtId="7" fontId="19" fillId="5" borderId="0" xfId="1" applyNumberFormat="1" applyFont="1" applyFill="1"/>
    <xf numFmtId="0" fontId="15" fillId="7" borderId="8" xfId="1" applyFont="1" applyFill="1" applyBorder="1" applyAlignment="1">
      <alignment horizontal="centerContinuous"/>
    </xf>
    <xf numFmtId="172" fontId="1" fillId="6" borderId="33" xfId="2" applyNumberFormat="1" applyFont="1" applyFill="1" applyBorder="1" applyAlignment="1">
      <alignment horizontal="center"/>
    </xf>
    <xf numFmtId="7" fontId="14" fillId="0" borderId="6" xfId="1" applyNumberFormat="1" applyFont="1" applyBorder="1"/>
    <xf numFmtId="164" fontId="16" fillId="0" borderId="33" xfId="3" applyNumberFormat="1" applyFont="1" applyBorder="1"/>
    <xf numFmtId="164" fontId="16" fillId="0" borderId="33" xfId="3" applyNumberFormat="1" applyFont="1" applyFill="1" applyBorder="1"/>
    <xf numFmtId="7" fontId="14" fillId="0" borderId="0" xfId="1" applyNumberFormat="1" applyFont="1"/>
    <xf numFmtId="167" fontId="14" fillId="0" borderId="0" xfId="1" applyNumberFormat="1" applyFont="1"/>
    <xf numFmtId="7" fontId="17" fillId="0" borderId="6" xfId="1" applyNumberFormat="1" applyFont="1" applyBorder="1"/>
    <xf numFmtId="167" fontId="17" fillId="0" borderId="6" xfId="1" applyNumberFormat="1" applyFont="1" applyBorder="1"/>
    <xf numFmtId="7" fontId="17" fillId="0" borderId="0" xfId="1" applyNumberFormat="1" applyFont="1"/>
    <xf numFmtId="167" fontId="17" fillId="0" borderId="0" xfId="1" applyNumberFormat="1" applyFont="1"/>
    <xf numFmtId="164" fontId="16" fillId="0" borderId="22" xfId="3" applyNumberFormat="1" applyFont="1" applyBorder="1"/>
    <xf numFmtId="7" fontId="14" fillId="0" borderId="8" xfId="1" applyNumberFormat="1" applyFont="1" applyBorder="1"/>
    <xf numFmtId="167" fontId="14" fillId="0" borderId="8" xfId="1" applyNumberFormat="1" applyFont="1" applyBorder="1"/>
    <xf numFmtId="167" fontId="14" fillId="0" borderId="6" xfId="1" applyNumberFormat="1" applyFont="1" applyBorder="1"/>
    <xf numFmtId="39" fontId="20" fillId="0" borderId="6" xfId="1" applyNumberFormat="1" applyFont="1" applyBorder="1"/>
    <xf numFmtId="167" fontId="20" fillId="0" borderId="6" xfId="1" applyNumberFormat="1" applyFont="1" applyBorder="1"/>
    <xf numFmtId="0" fontId="4" fillId="3" borderId="3" xfId="1" applyFont="1" applyFill="1" applyBorder="1" applyAlignment="1">
      <alignment horizontal="center"/>
    </xf>
    <xf numFmtId="0" fontId="16" fillId="5" borderId="0" xfId="1" applyFont="1" applyFill="1"/>
    <xf numFmtId="37" fontId="1" fillId="0" borderId="0" xfId="1" applyNumberFormat="1" applyFont="1" applyAlignment="1">
      <alignment horizontal="left" wrapText="1"/>
    </xf>
    <xf numFmtId="0" fontId="2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</cellXfs>
  <cellStyles count="5">
    <cellStyle name="Comma 2" xfId="2" xr:uid="{80B345CB-2EA8-4EC9-AB6F-75D1ED208648}"/>
    <cellStyle name="Currency 2" xfId="4" xr:uid="{5D95CE70-A9B1-4821-98CD-D4D710A3DB77}"/>
    <cellStyle name="Normal" xfId="0" builtinId="0"/>
    <cellStyle name="Normal 2" xfId="1" xr:uid="{3E245F58-9B04-4AEF-B38A-CF9AA17F269E}"/>
    <cellStyle name="Percent 2" xfId="3" xr:uid="{4E8A7AD0-1B54-462A-B8A3-A0CBD49A0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/Regulatory_Affairs/PGA%20-%20WASHINGTON/2025/Rate%20Development/NWN%202025-26%20PGA%20WA%20Rate%20Development%20September%20Fil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Refile\NWN%202025-26%20PGA%20WA%20Rate%20Development%20September%20Refile%20with%20OLD%20UPCs.xlsx" TargetMode="External"/><Relationship Id="rId1" Type="http://schemas.openxmlformats.org/officeDocument/2006/relationships/externalLinkPath" Target="/Regulatory_Affairs/PGA%20-%20WASHINGTON/2025/Rate%20Development/Refile/NWN%202025-26%20PGA%20WA%20Rate%20Development%20September%20Refile%20with%20OLD%20UPC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file:///\\gasco.com\share\GROUPS\Regulatory_Affairs\PGA%20-%20WASHINGTON\2025\Rate%20Development\NWN%202025-26%20PGA%20WA%20Rate%20Development%20September%20Fili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file:///\\gasco.com\share\GROUPS\Regulatory_Affairs\Current%20Rates\2_Washington\CCA%20Cost%20Recovery%20Mechanism%20-%20January%201%202025%20Filing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NWN%202025-26%20PGA%20Summary%20Effects%20September%20filing_W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September\NWN%202025-26%20PGA%20Gas%20Cost%20Development_September%20Filing_WA.xlsx" TargetMode="External"/><Relationship Id="rId1" Type="http://schemas.openxmlformats.org/officeDocument/2006/relationships/externalLinkPath" Target="file:///\\gasco.com\share\GROUPS\Regulatory_Affairs\PGA%20-%20WASHINGTON\2025\September\NWN%202025-26%20PGA%20Gas%20Cost%20Development_September%20Filing_WA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Accounting%20-%20Regulatory\Earnings%20Test%20&amp;%20CBR%20Models\2024\WA%20CBR\01_2024%20Washington%20Commission%20Basis%20Report%20model.xlsx" TargetMode="External"/><Relationship Id="rId1" Type="http://schemas.openxmlformats.org/officeDocument/2006/relationships/externalLinkPath" Target="file:///\\gasco.com\share\GROUPS\Regulatory_Affairs\Accounting%20-%20Regulatory\Earnings%20Test%20&amp;%20CBR%20Models\2024\WA%20CBR\01_2024%20Washington%20Commission%20Basis%20Report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Temporaries"/>
      <sheetName val="Permanent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 refreshError="1"/>
      <sheetData sheetId="1">
        <row r="16">
          <cell r="B16">
            <v>0.40640999999999999</v>
          </cell>
        </row>
        <row r="18">
          <cell r="B18">
            <v>0.10032000000000001</v>
          </cell>
        </row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</row>
        <row r="14">
          <cell r="J14">
            <v>18807.400000000001</v>
          </cell>
        </row>
        <row r="15">
          <cell r="J15">
            <v>59991191.600000001</v>
          </cell>
        </row>
        <row r="16">
          <cell r="J16">
            <v>21359578.800000001</v>
          </cell>
        </row>
        <row r="17">
          <cell r="J17">
            <v>192102.2</v>
          </cell>
        </row>
        <row r="18">
          <cell r="J18">
            <v>34823.1</v>
          </cell>
        </row>
        <row r="19">
          <cell r="J19">
            <v>1665389.3</v>
          </cell>
        </row>
        <row r="20">
          <cell r="J20">
            <v>2698480.8</v>
          </cell>
        </row>
        <row r="21">
          <cell r="J21">
            <v>331379.44452066539</v>
          </cell>
        </row>
        <row r="22">
          <cell r="J22">
            <v>593486.75547933462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123242.73967014518</v>
          </cell>
        </row>
        <row r="28">
          <cell r="J28">
            <v>284875.42061605473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820212.7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>
        <row r="8">
          <cell r="K8">
            <v>1620</v>
          </cell>
        </row>
      </sheetData>
      <sheetData sheetId="6">
        <row r="13">
          <cell r="D13">
            <v>0.29749999999999999</v>
          </cell>
          <cell r="W13">
            <v>0.29243999999999998</v>
          </cell>
        </row>
        <row r="14">
          <cell r="D14">
            <v>0.27344999999999997</v>
          </cell>
          <cell r="W14">
            <v>0.22691</v>
          </cell>
        </row>
        <row r="15">
          <cell r="D15">
            <v>0.22096000000000002</v>
          </cell>
          <cell r="W15">
            <v>0.17731999999999998</v>
          </cell>
        </row>
        <row r="16">
          <cell r="D16">
            <v>0.20892999999999998</v>
          </cell>
          <cell r="W16">
            <v>0.16456000000000004</v>
          </cell>
        </row>
        <row r="17">
          <cell r="D17">
            <v>0.15035000000000001</v>
          </cell>
          <cell r="W17">
            <v>0.10452</v>
          </cell>
        </row>
        <row r="18">
          <cell r="D18">
            <v>0.26727000000000001</v>
          </cell>
          <cell r="W18">
            <v>0.29042999999999997</v>
          </cell>
        </row>
        <row r="19">
          <cell r="D19">
            <v>0.19066999999999998</v>
          </cell>
          <cell r="W19">
            <v>0.14546999999999999</v>
          </cell>
        </row>
        <row r="20">
          <cell r="D20">
            <v>0.18178999999999998</v>
          </cell>
          <cell r="W20">
            <v>0.13657999999999998</v>
          </cell>
        </row>
        <row r="21">
          <cell r="D21">
            <v>0.14201</v>
          </cell>
          <cell r="W21">
            <v>9.6619999999999984E-2</v>
          </cell>
        </row>
        <row r="22">
          <cell r="D22">
            <v>0.13903999999999997</v>
          </cell>
          <cell r="W22">
            <v>9.3590000000000007E-2</v>
          </cell>
        </row>
        <row r="23">
          <cell r="D23">
            <v>0.14699999999999999</v>
          </cell>
          <cell r="W23">
            <v>0.13558999999999999</v>
          </cell>
        </row>
        <row r="24">
          <cell r="D24">
            <v>0.13892999999999997</v>
          </cell>
          <cell r="W24">
            <v>0.12733</v>
          </cell>
        </row>
        <row r="25">
          <cell r="D25">
            <v>0.10593</v>
          </cell>
          <cell r="W25">
            <v>9.262999999999999E-2</v>
          </cell>
        </row>
        <row r="26">
          <cell r="D26">
            <v>0.10284999999999997</v>
          </cell>
          <cell r="W26">
            <v>8.9550000000000018E-2</v>
          </cell>
        </row>
        <row r="27">
          <cell r="D27">
            <v>0.26258999999999999</v>
          </cell>
          <cell r="W27">
            <v>0.26261000000000001</v>
          </cell>
        </row>
        <row r="28">
          <cell r="D28">
            <v>0.26011000000000001</v>
          </cell>
          <cell r="W28">
            <v>0.26005</v>
          </cell>
        </row>
        <row r="29">
          <cell r="D29">
            <v>0.26074999999999998</v>
          </cell>
          <cell r="W29">
            <v>0.26072000000000001</v>
          </cell>
        </row>
        <row r="30">
          <cell r="D30">
            <v>0.25850000000000001</v>
          </cell>
          <cell r="W30">
            <v>0.25839000000000001</v>
          </cell>
        </row>
        <row r="31">
          <cell r="D31">
            <v>0.15741999999999998</v>
          </cell>
          <cell r="W31">
            <v>0.11216000000000004</v>
          </cell>
        </row>
        <row r="32">
          <cell r="D32">
            <v>0.15304999999999999</v>
          </cell>
          <cell r="W32">
            <v>0.10781000000000002</v>
          </cell>
        </row>
        <row r="33">
          <cell r="D33">
            <v>0.14438999999999999</v>
          </cell>
          <cell r="W33">
            <v>9.916999999999998E-2</v>
          </cell>
        </row>
        <row r="34">
          <cell r="D34">
            <v>0.13869000000000001</v>
          </cell>
          <cell r="W34">
            <v>9.3500000000000028E-2</v>
          </cell>
        </row>
        <row r="35">
          <cell r="D35">
            <v>0.13108</v>
          </cell>
          <cell r="W35">
            <v>8.5880000000000012E-2</v>
          </cell>
        </row>
        <row r="36">
          <cell r="D36">
            <v>0.12156999999999998</v>
          </cell>
          <cell r="W36">
            <v>7.6420000000000016E-2</v>
          </cell>
        </row>
        <row r="37">
          <cell r="D37">
            <v>0.13253999999999996</v>
          </cell>
          <cell r="W37">
            <v>8.7280000000000024E-2</v>
          </cell>
        </row>
        <row r="38">
          <cell r="D38">
            <v>0.13088999999999998</v>
          </cell>
          <cell r="W38">
            <v>8.5579999999999989E-2</v>
          </cell>
        </row>
        <row r="39">
          <cell r="D39">
            <v>0.12760999999999997</v>
          </cell>
          <cell r="W39">
            <v>8.2180000000000031E-2</v>
          </cell>
        </row>
        <row r="40">
          <cell r="D40">
            <v>0.12544999999999998</v>
          </cell>
          <cell r="W40">
            <v>7.9979999999999996E-2</v>
          </cell>
        </row>
        <row r="41">
          <cell r="D41">
            <v>0.12257999999999999</v>
          </cell>
          <cell r="W41">
            <v>7.7000000000000013E-2</v>
          </cell>
        </row>
        <row r="42">
          <cell r="D42">
            <v>0.11898</v>
          </cell>
          <cell r="W42">
            <v>7.3289999999999994E-2</v>
          </cell>
        </row>
        <row r="43">
          <cell r="D43">
            <v>0.24890000000000001</v>
          </cell>
          <cell r="W43">
            <v>0.2485</v>
          </cell>
        </row>
        <row r="44">
          <cell r="D44">
            <v>0.24815999999999999</v>
          </cell>
          <cell r="W44">
            <v>0.24773000000000001</v>
          </cell>
        </row>
        <row r="45">
          <cell r="D45">
            <v>0.24668999999999999</v>
          </cell>
          <cell r="W45">
            <v>0.24618000000000001</v>
          </cell>
        </row>
        <row r="46">
          <cell r="D46">
            <v>0.24573</v>
          </cell>
          <cell r="W46">
            <v>0.24515000000000001</v>
          </cell>
        </row>
        <row r="47">
          <cell r="D47">
            <v>0.24443000000000001</v>
          </cell>
          <cell r="W47">
            <v>0.24379999999999999</v>
          </cell>
        </row>
        <row r="48">
          <cell r="D48">
            <v>0.24282999999999999</v>
          </cell>
          <cell r="W48">
            <v>0.24210999999999999</v>
          </cell>
        </row>
        <row r="49">
          <cell r="D49">
            <v>0.24934999999999999</v>
          </cell>
          <cell r="W49">
            <v>0.24896000000000001</v>
          </cell>
        </row>
        <row r="50">
          <cell r="D50">
            <v>0.24856</v>
          </cell>
          <cell r="W50">
            <v>0.24814</v>
          </cell>
        </row>
        <row r="51">
          <cell r="D51">
            <v>0.24698999999999999</v>
          </cell>
          <cell r="W51">
            <v>0.2465</v>
          </cell>
        </row>
        <row r="52">
          <cell r="D52">
            <v>0.24596000000000001</v>
          </cell>
          <cell r="W52">
            <v>0.24540999999999999</v>
          </cell>
        </row>
        <row r="53">
          <cell r="D53">
            <v>0.24459</v>
          </cell>
          <cell r="W53">
            <v>0.24398</v>
          </cell>
        </row>
        <row r="54">
          <cell r="D54">
            <v>0.24287</v>
          </cell>
          <cell r="W54">
            <v>0.24218000000000001</v>
          </cell>
        </row>
        <row r="55">
          <cell r="D55">
            <v>0.10987</v>
          </cell>
          <cell r="W55">
            <v>9.7640000000000005E-2</v>
          </cell>
        </row>
        <row r="56">
          <cell r="D56">
            <v>0.10666</v>
          </cell>
          <cell r="W56">
            <v>9.4349999999999989E-2</v>
          </cell>
        </row>
        <row r="57">
          <cell r="D57">
            <v>0.10023999999999997</v>
          </cell>
          <cell r="W57">
            <v>8.7799999999999989E-2</v>
          </cell>
        </row>
        <row r="58">
          <cell r="D58">
            <v>9.6029999999999976E-2</v>
          </cell>
          <cell r="W58">
            <v>8.3490000000000009E-2</v>
          </cell>
        </row>
        <row r="59">
          <cell r="D59">
            <v>9.0409999999999963E-2</v>
          </cell>
          <cell r="W59">
            <v>7.7759999999999996E-2</v>
          </cell>
        </row>
        <row r="60">
          <cell r="D60">
            <v>8.3339999999999997E-2</v>
          </cell>
          <cell r="W60">
            <v>7.0589999999999986E-2</v>
          </cell>
        </row>
        <row r="61">
          <cell r="D61">
            <v>9.4369999999999982E-2</v>
          </cell>
          <cell r="W61">
            <v>8.0899999999999972E-2</v>
          </cell>
        </row>
        <row r="62">
          <cell r="D62">
            <v>9.286999999999998E-2</v>
          </cell>
          <cell r="W62">
            <v>7.9390000000000016E-2</v>
          </cell>
        </row>
        <row r="63">
          <cell r="D63">
            <v>8.9900000000000008E-2</v>
          </cell>
          <cell r="W63">
            <v>7.6409999999999978E-2</v>
          </cell>
        </row>
        <row r="64">
          <cell r="D64">
            <v>8.792999999999998E-2</v>
          </cell>
          <cell r="W64">
            <v>7.4449999999999988E-2</v>
          </cell>
        </row>
        <row r="65">
          <cell r="D65">
            <v>8.5309999999999997E-2</v>
          </cell>
          <cell r="W65">
            <v>7.1839999999999987E-2</v>
          </cell>
        </row>
        <row r="66">
          <cell r="D66">
            <v>8.2059999999999994E-2</v>
          </cell>
          <cell r="W66">
            <v>6.8589999999999984E-2</v>
          </cell>
        </row>
        <row r="67">
          <cell r="D67">
            <v>0.24907000000000001</v>
          </cell>
          <cell r="W67">
            <v>0.24864</v>
          </cell>
        </row>
        <row r="68">
          <cell r="D68">
            <v>0.24831</v>
          </cell>
          <cell r="W68">
            <v>0.24786</v>
          </cell>
        </row>
        <row r="69">
          <cell r="D69">
            <v>0.24678</v>
          </cell>
          <cell r="W69">
            <v>0.24626999999999999</v>
          </cell>
        </row>
        <row r="70">
          <cell r="D70">
            <v>0.24578</v>
          </cell>
          <cell r="W70">
            <v>0.24524000000000001</v>
          </cell>
        </row>
        <row r="71">
          <cell r="D71">
            <v>0.24443999999999999</v>
          </cell>
          <cell r="W71">
            <v>0.24385000000000001</v>
          </cell>
        </row>
        <row r="72">
          <cell r="D72">
            <v>0.24276999999999999</v>
          </cell>
          <cell r="W72">
            <v>0.24212</v>
          </cell>
        </row>
        <row r="73">
          <cell r="D73">
            <v>0.24917</v>
          </cell>
          <cell r="W73">
            <v>0.24862999999999999</v>
          </cell>
        </row>
        <row r="74">
          <cell r="D74">
            <v>0.24840999999999999</v>
          </cell>
          <cell r="W74">
            <v>0.24784999999999999</v>
          </cell>
        </row>
        <row r="75">
          <cell r="D75">
            <v>0.24687000000000001</v>
          </cell>
          <cell r="W75">
            <v>0.24626999999999999</v>
          </cell>
        </row>
        <row r="76">
          <cell r="D76">
            <v>0.24586</v>
          </cell>
          <cell r="W76">
            <v>0.24524000000000001</v>
          </cell>
        </row>
        <row r="77">
          <cell r="D77">
            <v>0.24451999999999999</v>
          </cell>
          <cell r="W77">
            <v>0.24385000000000001</v>
          </cell>
        </row>
        <row r="78">
          <cell r="D78">
            <v>0.24285000000000001</v>
          </cell>
          <cell r="W78">
            <v>0.24212</v>
          </cell>
        </row>
        <row r="79">
          <cell r="D79">
            <v>0.24193999999999999</v>
          </cell>
          <cell r="W79">
            <v>0.24127000000000001</v>
          </cell>
        </row>
        <row r="80">
          <cell r="D80">
            <v>0.24193999999999999</v>
          </cell>
          <cell r="W80">
            <v>0.24127000000000001</v>
          </cell>
        </row>
      </sheetData>
      <sheetData sheetId="7">
        <row r="13">
          <cell r="F13">
            <v>2.4000000000000001E-4</v>
          </cell>
          <cell r="H13">
            <v>2.4000000000001798E-4</v>
          </cell>
        </row>
        <row r="14">
          <cell r="H14">
            <v>1.6000000000004899E-4</v>
          </cell>
        </row>
        <row r="15">
          <cell r="H15">
            <v>1.100000000000545E-4</v>
          </cell>
        </row>
        <row r="16">
          <cell r="H16">
            <v>9.9999999999988987E-5</v>
          </cell>
        </row>
        <row r="17">
          <cell r="H17">
            <v>9.0000000000034497E-5</v>
          </cell>
        </row>
        <row r="18">
          <cell r="H18">
            <v>2.5999999999998247E-4</v>
          </cell>
        </row>
        <row r="19">
          <cell r="H19">
            <v>8.0000000000024496E-5</v>
          </cell>
        </row>
        <row r="20">
          <cell r="H20">
            <v>7.0000000000014495E-5</v>
          </cell>
        </row>
        <row r="21">
          <cell r="H21">
            <v>7.0000000000014495E-5</v>
          </cell>
        </row>
        <row r="22">
          <cell r="H22">
            <v>6.0000000000004494E-5</v>
          </cell>
        </row>
        <row r="23">
          <cell r="H23">
            <v>7.0000000000014495E-5</v>
          </cell>
        </row>
        <row r="24">
          <cell r="H24">
            <v>6.0000000000004494E-5</v>
          </cell>
        </row>
        <row r="25">
          <cell r="H25">
            <v>7.0000000000014495E-5</v>
          </cell>
        </row>
        <row r="26">
          <cell r="H26">
            <v>6.0000000000004494E-5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4.0000000000012248E-5</v>
          </cell>
        </row>
        <row r="32">
          <cell r="H32">
            <v>4.0000000000012248E-5</v>
          </cell>
        </row>
        <row r="33">
          <cell r="H33">
            <v>3.0000000000002247E-5</v>
          </cell>
        </row>
        <row r="34">
          <cell r="H34">
            <v>2.0000000000006124E-5</v>
          </cell>
        </row>
        <row r="35">
          <cell r="H35">
            <v>2.0000000000006124E-5</v>
          </cell>
        </row>
        <row r="36">
          <cell r="H36">
            <v>9.9999999999995925E-6</v>
          </cell>
        </row>
        <row r="37">
          <cell r="H37">
            <v>4.9999999999994493E-5</v>
          </cell>
        </row>
        <row r="38">
          <cell r="H38">
            <v>4.0000000000012248E-5</v>
          </cell>
        </row>
        <row r="39">
          <cell r="H39">
            <v>3.0000000000002247E-5</v>
          </cell>
        </row>
        <row r="40">
          <cell r="H40">
            <v>2.0000000000006124E-5</v>
          </cell>
        </row>
        <row r="41">
          <cell r="H41">
            <v>1.9999999999999185E-5</v>
          </cell>
        </row>
        <row r="42">
          <cell r="H42">
            <v>9.9999999999995925E-6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3.0000000000002247E-5</v>
          </cell>
        </row>
        <row r="56">
          <cell r="H56">
            <v>3.0000000000002247E-5</v>
          </cell>
        </row>
        <row r="57">
          <cell r="H57">
            <v>2.0000000000006124E-5</v>
          </cell>
        </row>
        <row r="58">
          <cell r="H58">
            <v>2.0000000000006124E-5</v>
          </cell>
        </row>
        <row r="59">
          <cell r="H59">
            <v>1.0000000000003062E-5</v>
          </cell>
        </row>
        <row r="60">
          <cell r="H60">
            <v>0</v>
          </cell>
        </row>
        <row r="61">
          <cell r="H61">
            <v>4.0000000000012248E-5</v>
          </cell>
        </row>
        <row r="62">
          <cell r="H62">
            <v>4.0000000000012248E-5</v>
          </cell>
        </row>
        <row r="63">
          <cell r="H63">
            <v>3.0000000000002247E-5</v>
          </cell>
        </row>
        <row r="64">
          <cell r="H64">
            <v>2.0000000000006124E-5</v>
          </cell>
        </row>
        <row r="65">
          <cell r="H65">
            <v>1.0000000000003062E-5</v>
          </cell>
        </row>
        <row r="66">
          <cell r="H66">
            <v>9.9999999999995925E-6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6">
          <cell r="C26">
            <v>1.98</v>
          </cell>
        </row>
      </sheetData>
      <sheetData sheetId="15">
        <row r="34">
          <cell r="J34" t="str">
            <v>$10.00/th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</row>
        <row r="14">
          <cell r="J14">
            <v>18807.400000000001</v>
          </cell>
        </row>
        <row r="15">
          <cell r="J15">
            <v>59991191.600000001</v>
          </cell>
        </row>
        <row r="16">
          <cell r="J16">
            <v>21359578.800000001</v>
          </cell>
        </row>
        <row r="17">
          <cell r="J17">
            <v>192102.2</v>
          </cell>
        </row>
        <row r="18">
          <cell r="J18">
            <v>34823.1</v>
          </cell>
        </row>
        <row r="19">
          <cell r="J19">
            <v>1665389.3</v>
          </cell>
        </row>
        <row r="20">
          <cell r="J20">
            <v>2698480.8</v>
          </cell>
        </row>
        <row r="21">
          <cell r="J21">
            <v>331379.44452066539</v>
          </cell>
        </row>
        <row r="22">
          <cell r="J22">
            <v>593486.75547933462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123242.73967014518</v>
          </cell>
        </row>
        <row r="28">
          <cell r="J28">
            <v>284875.42061605473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820212.7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/>
      <sheetData sheetId="6">
        <row r="13">
          <cell r="D13">
            <v>1.6683000000000003</v>
          </cell>
        </row>
        <row r="14">
          <cell r="D14">
            <v>1.672639999999999</v>
          </cell>
        </row>
        <row r="15">
          <cell r="D15">
            <v>1.3152700000000002</v>
          </cell>
        </row>
        <row r="16">
          <cell r="D16">
            <v>1.2785399999999996</v>
          </cell>
        </row>
        <row r="17">
          <cell r="D17">
            <v>1.2303099999999996</v>
          </cell>
        </row>
        <row r="18">
          <cell r="D18">
            <v>1.11591</v>
          </cell>
        </row>
        <row r="19">
          <cell r="D19">
            <v>1.0394899999999998</v>
          </cell>
        </row>
        <row r="20">
          <cell r="D20">
            <v>0.98116000000000014</v>
          </cell>
        </row>
        <row r="21">
          <cell r="D21">
            <v>0.94622000000000028</v>
          </cell>
        </row>
        <row r="22">
          <cell r="D22">
            <v>0.89908999999999961</v>
          </cell>
        </row>
        <row r="23">
          <cell r="D23">
            <v>0.96427000000000007</v>
          </cell>
        </row>
        <row r="24">
          <cell r="D24">
            <v>0.91047000000000022</v>
          </cell>
        </row>
        <row r="25">
          <cell r="D25">
            <v>0.90245000000000009</v>
          </cell>
        </row>
        <row r="26">
          <cell r="D26">
            <v>0.8560899999999998</v>
          </cell>
        </row>
        <row r="27">
          <cell r="D27">
            <v>0.64044000000000001</v>
          </cell>
        </row>
        <row r="28">
          <cell r="D28">
            <v>0.5930200000000001</v>
          </cell>
        </row>
        <row r="29">
          <cell r="D29">
            <v>0.62856000000000001</v>
          </cell>
        </row>
        <row r="30">
          <cell r="D30">
            <v>0.58256000000000019</v>
          </cell>
        </row>
        <row r="31">
          <cell r="D31">
            <v>0.79625999999999986</v>
          </cell>
        </row>
        <row r="32">
          <cell r="D32">
            <v>0.77026999999999957</v>
          </cell>
        </row>
        <row r="33">
          <cell r="D33">
            <v>0.71862999999999988</v>
          </cell>
        </row>
        <row r="34">
          <cell r="D34">
            <v>0.68461000000000016</v>
          </cell>
        </row>
        <row r="35">
          <cell r="D35">
            <v>0.63927</v>
          </cell>
        </row>
        <row r="36">
          <cell r="D36">
            <v>0.58259000000000005</v>
          </cell>
        </row>
        <row r="37">
          <cell r="D37">
            <v>0.73169000000000006</v>
          </cell>
        </row>
        <row r="38">
          <cell r="D38">
            <v>0.71257999999999988</v>
          </cell>
        </row>
        <row r="39">
          <cell r="D39">
            <v>0.67456999999999967</v>
          </cell>
        </row>
        <row r="40">
          <cell r="D40">
            <v>0.64957000000000009</v>
          </cell>
        </row>
        <row r="41">
          <cell r="D41">
            <v>0.61626000000000036</v>
          </cell>
        </row>
        <row r="42">
          <cell r="D42">
            <v>0.57454999999999989</v>
          </cell>
        </row>
        <row r="43">
          <cell r="D43">
            <v>0.40332000000000001</v>
          </cell>
        </row>
        <row r="44">
          <cell r="D44">
            <v>0.38640000000000002</v>
          </cell>
        </row>
        <row r="45">
          <cell r="D45">
            <v>0.35268999999999995</v>
          </cell>
        </row>
        <row r="46">
          <cell r="D46">
            <v>0.33054000000000006</v>
          </cell>
        </row>
        <row r="47">
          <cell r="D47">
            <v>0.30097000000000007</v>
          </cell>
        </row>
        <row r="48">
          <cell r="D48">
            <v>0.26403000000000004</v>
          </cell>
        </row>
        <row r="49">
          <cell r="D49">
            <v>0.40095999999999998</v>
          </cell>
        </row>
        <row r="50">
          <cell r="D50">
            <v>0.38426999999999989</v>
          </cell>
        </row>
        <row r="51">
          <cell r="D51">
            <v>0.35105000000000003</v>
          </cell>
        </row>
        <row r="52">
          <cell r="D52">
            <v>0.32922000000000012</v>
          </cell>
        </row>
        <row r="53">
          <cell r="D53">
            <v>0.30008999999999997</v>
          </cell>
        </row>
        <row r="54">
          <cell r="D54">
            <v>0.26369000000000009</v>
          </cell>
        </row>
        <row r="55">
          <cell r="D55">
            <v>0.71133000000000013</v>
          </cell>
        </row>
        <row r="56">
          <cell r="D56">
            <v>0.69042999999999966</v>
          </cell>
        </row>
        <row r="57">
          <cell r="D57">
            <v>0.64878000000000013</v>
          </cell>
        </row>
        <row r="58">
          <cell r="D58">
            <v>0.62140999999999991</v>
          </cell>
        </row>
        <row r="59">
          <cell r="D59">
            <v>0.58492999999999984</v>
          </cell>
        </row>
        <row r="60">
          <cell r="D60">
            <v>0.53925000000000001</v>
          </cell>
        </row>
        <row r="61">
          <cell r="D61">
            <v>0.69063999999999992</v>
          </cell>
        </row>
        <row r="62">
          <cell r="D62">
            <v>0.67198999999999998</v>
          </cell>
        </row>
        <row r="63">
          <cell r="D63">
            <v>0.63488999999999995</v>
          </cell>
        </row>
        <row r="64">
          <cell r="D64">
            <v>0.61047999999999969</v>
          </cell>
        </row>
        <row r="65">
          <cell r="D65">
            <v>0.57791000000000003</v>
          </cell>
        </row>
        <row r="66">
          <cell r="D66">
            <v>0.53723999999999983</v>
          </cell>
        </row>
        <row r="67">
          <cell r="D67">
            <v>0.39076</v>
          </cell>
        </row>
        <row r="68">
          <cell r="D68">
            <v>0.37516000000000005</v>
          </cell>
        </row>
        <row r="69">
          <cell r="D69">
            <v>0.34404999999999997</v>
          </cell>
        </row>
        <row r="70">
          <cell r="D70">
            <v>0.3236</v>
          </cell>
        </row>
        <row r="71">
          <cell r="D71">
            <v>0.29632999999999998</v>
          </cell>
        </row>
        <row r="72">
          <cell r="D72">
            <v>0.26221000000000005</v>
          </cell>
        </row>
        <row r="73">
          <cell r="D73">
            <v>0.39346999999999999</v>
          </cell>
        </row>
        <row r="74">
          <cell r="D74">
            <v>0.37758000000000003</v>
          </cell>
        </row>
        <row r="75">
          <cell r="D75">
            <v>0.34592000000000001</v>
          </cell>
        </row>
        <row r="76">
          <cell r="D76">
            <v>0.32511000000000001</v>
          </cell>
        </row>
        <row r="77">
          <cell r="D77">
            <v>0.29735999999999996</v>
          </cell>
        </row>
        <row r="78">
          <cell r="D78">
            <v>0.26266000000000006</v>
          </cell>
        </row>
        <row r="79">
          <cell r="D79">
            <v>0.24684999999999996</v>
          </cell>
        </row>
        <row r="80">
          <cell r="D80">
            <v>0.24684999999999996</v>
          </cell>
        </row>
      </sheetData>
      <sheetData sheetId="7">
        <row r="13">
          <cell r="J13">
            <v>-4.5029999999999987E-2</v>
          </cell>
          <cell r="K13">
            <v>0.14388999999999999</v>
          </cell>
          <cell r="L13">
            <v>-1.7799999999999999E-3</v>
          </cell>
          <cell r="M13">
            <v>0</v>
          </cell>
          <cell r="N13">
            <v>2.0049999999999998E-2</v>
          </cell>
          <cell r="O13">
            <v>3.2299999999999998E-3</v>
          </cell>
          <cell r="P13">
            <v>-2.3000000000000001E-4</v>
          </cell>
          <cell r="Q13">
            <v>0</v>
          </cell>
          <cell r="R13">
            <v>1.8579999999999999E-2</v>
          </cell>
          <cell r="S13">
            <v>0</v>
          </cell>
          <cell r="T13">
            <v>3.0000000000000001E-5</v>
          </cell>
          <cell r="U13">
            <v>3.7949999999999998E-2</v>
          </cell>
          <cell r="V13">
            <v>0.24073</v>
          </cell>
          <cell r="AW13">
            <v>0</v>
          </cell>
          <cell r="AX13">
            <v>0.11046</v>
          </cell>
          <cell r="AY13">
            <v>2.0070000000000001E-2</v>
          </cell>
          <cell r="AZ13">
            <v>1.396E-2</v>
          </cell>
          <cell r="BB13">
            <v>-1.1100000000000001E-3</v>
          </cell>
          <cell r="BC13">
            <v>0</v>
          </cell>
          <cell r="BD13">
            <v>4.2000000000000002E-4</v>
          </cell>
          <cell r="BE13">
            <v>3.7949999999999998E-2</v>
          </cell>
          <cell r="BF13">
            <v>0.24073</v>
          </cell>
        </row>
        <row r="14">
          <cell r="J14">
            <v>-4.5029999999999987E-2</v>
          </cell>
          <cell r="K14">
            <v>9.6509999999999999E-2</v>
          </cell>
          <cell r="L14">
            <v>-1.17E-3</v>
          </cell>
          <cell r="M14">
            <v>0</v>
          </cell>
          <cell r="N14">
            <v>1.345E-2</v>
          </cell>
          <cell r="O14">
            <v>2.1800000000000001E-3</v>
          </cell>
          <cell r="P14">
            <v>-1.6000000000000001E-4</v>
          </cell>
          <cell r="Q14">
            <v>0</v>
          </cell>
          <cell r="R14">
            <v>1.244E-2</v>
          </cell>
          <cell r="S14">
            <v>0</v>
          </cell>
          <cell r="T14">
            <v>0</v>
          </cell>
          <cell r="U14">
            <v>3.2939999999999997E-2</v>
          </cell>
          <cell r="V14">
            <v>0.24073</v>
          </cell>
          <cell r="AW14">
            <v>0</v>
          </cell>
          <cell r="AX14">
            <v>9.5829999999999999E-2</v>
          </cell>
          <cell r="AY14">
            <v>1.7399999999999999E-2</v>
          </cell>
          <cell r="AZ14">
            <v>1.2109999999999999E-2</v>
          </cell>
          <cell r="BB14">
            <v>-9.6000000000000002E-4</v>
          </cell>
          <cell r="BC14">
            <v>0</v>
          </cell>
          <cell r="BD14">
            <v>3.8000000000000002E-4</v>
          </cell>
          <cell r="BE14">
            <v>3.2939999999999997E-2</v>
          </cell>
          <cell r="BF14">
            <v>0.24073</v>
          </cell>
        </row>
        <row r="15">
          <cell r="J15">
            <v>-4.5029999999999987E-2</v>
          </cell>
          <cell r="K15">
            <v>6.6089999999999996E-2</v>
          </cell>
          <cell r="L15">
            <v>-8.1999999999999998E-4</v>
          </cell>
          <cell r="M15">
            <v>0</v>
          </cell>
          <cell r="N15">
            <v>9.2099999999999994E-3</v>
          </cell>
          <cell r="O15">
            <v>1.48E-3</v>
          </cell>
          <cell r="P15">
            <v>-1.1E-4</v>
          </cell>
          <cell r="Q15">
            <v>3.2000000000000003E-4</v>
          </cell>
          <cell r="R15">
            <v>8.5299999999999994E-3</v>
          </cell>
          <cell r="S15">
            <v>0</v>
          </cell>
          <cell r="T15">
            <v>2.0000000000000002E-5</v>
          </cell>
          <cell r="U15">
            <v>2.188E-2</v>
          </cell>
          <cell r="V15">
            <v>0.24073</v>
          </cell>
          <cell r="AW15">
            <v>3.6000000000000002E-4</v>
          </cell>
          <cell r="AX15">
            <v>6.368E-2</v>
          </cell>
          <cell r="AY15">
            <v>1.157E-2</v>
          </cell>
          <cell r="AZ15">
            <v>8.0499999999999999E-3</v>
          </cell>
          <cell r="BB15">
            <v>-6.4000000000000005E-4</v>
          </cell>
          <cell r="BC15">
            <v>0</v>
          </cell>
          <cell r="BD15">
            <v>3.1E-4</v>
          </cell>
          <cell r="BE15">
            <v>2.188E-2</v>
          </cell>
          <cell r="BF15">
            <v>0.24073</v>
          </cell>
        </row>
        <row r="16">
          <cell r="J16">
            <v>-4.5029999999999987E-2</v>
          </cell>
          <cell r="K16">
            <v>5.8250000000000003E-2</v>
          </cell>
          <cell r="L16">
            <v>-7.2000000000000005E-4</v>
          </cell>
          <cell r="M16">
            <v>0</v>
          </cell>
          <cell r="N16">
            <v>8.1200000000000005E-3</v>
          </cell>
          <cell r="O16">
            <v>1.31E-3</v>
          </cell>
          <cell r="P16">
            <v>-1E-4</v>
          </cell>
          <cell r="Q16">
            <v>0</v>
          </cell>
          <cell r="R16">
            <v>7.5199999999999998E-3</v>
          </cell>
          <cell r="S16">
            <v>0</v>
          </cell>
          <cell r="T16">
            <v>2.0000000000000002E-5</v>
          </cell>
          <cell r="U16">
            <v>1.9439999999999999E-2</v>
          </cell>
          <cell r="V16">
            <v>0.24073</v>
          </cell>
          <cell r="AW16">
            <v>0</v>
          </cell>
          <cell r="AX16">
            <v>5.6590000000000001E-2</v>
          </cell>
          <cell r="AY16">
            <v>1.0279999999999999E-2</v>
          </cell>
          <cell r="AZ16">
            <v>7.1500000000000001E-3</v>
          </cell>
          <cell r="BB16">
            <v>-5.6999999999999998E-4</v>
          </cell>
          <cell r="BC16">
            <v>0</v>
          </cell>
          <cell r="BD16">
            <v>2.9E-4</v>
          </cell>
          <cell r="BE16">
            <v>1.9439999999999999E-2</v>
          </cell>
          <cell r="BF16">
            <v>0.24073</v>
          </cell>
        </row>
        <row r="17">
          <cell r="J17">
            <v>-4.5029999999999987E-2</v>
          </cell>
          <cell r="K17">
            <v>0</v>
          </cell>
          <cell r="L17">
            <v>0</v>
          </cell>
          <cell r="M17">
            <v>0</v>
          </cell>
          <cell r="N17">
            <v>7.5100000000000002E-3</v>
          </cell>
          <cell r="O17">
            <v>1.2099999999999999E-3</v>
          </cell>
          <cell r="P17">
            <v>-9.0000000000000006E-5</v>
          </cell>
          <cell r="Q17">
            <v>0</v>
          </cell>
          <cell r="R17">
            <v>6.9499999999999996E-3</v>
          </cell>
          <cell r="S17">
            <v>3.5E-4</v>
          </cell>
          <cell r="T17">
            <v>2.0000000000000002E-5</v>
          </cell>
          <cell r="U17">
            <v>1.7850000000000001E-2</v>
          </cell>
          <cell r="V17">
            <v>0.24073</v>
          </cell>
          <cell r="AW17">
            <v>0</v>
          </cell>
          <cell r="AX17">
            <v>0</v>
          </cell>
          <cell r="AY17">
            <v>9.4400000000000005E-3</v>
          </cell>
          <cell r="AZ17">
            <v>6.5599999999999999E-3</v>
          </cell>
          <cell r="BB17">
            <v>-5.1999999999999995E-4</v>
          </cell>
          <cell r="BC17">
            <v>1.0300000000000001E-3</v>
          </cell>
          <cell r="BD17">
            <v>2.4000000000000001E-4</v>
          </cell>
          <cell r="BE17">
            <v>1.7850000000000001E-2</v>
          </cell>
          <cell r="BF17">
            <v>0.24073</v>
          </cell>
        </row>
        <row r="18">
          <cell r="J18">
            <v>-4.5029999999999987E-2</v>
          </cell>
          <cell r="K18">
            <v>0.14729</v>
          </cell>
          <cell r="L18">
            <v>-1.8400000000000001E-3</v>
          </cell>
          <cell r="M18">
            <v>0</v>
          </cell>
          <cell r="N18">
            <v>2.053E-2</v>
          </cell>
          <cell r="O18">
            <v>3.3E-3</v>
          </cell>
          <cell r="P18">
            <v>-2.3000000000000001E-4</v>
          </cell>
          <cell r="Q18">
            <v>0</v>
          </cell>
          <cell r="R18">
            <v>1.9009999999999999E-2</v>
          </cell>
          <cell r="S18">
            <v>0</v>
          </cell>
          <cell r="T18">
            <v>3.0000000000000001E-5</v>
          </cell>
          <cell r="U18">
            <v>3.1620000000000002E-2</v>
          </cell>
          <cell r="V18">
            <v>0.24073</v>
          </cell>
          <cell r="AW18">
            <v>0</v>
          </cell>
          <cell r="AX18">
            <v>9.2050000000000007E-2</v>
          </cell>
          <cell r="AY18">
            <v>1.6719999999999999E-2</v>
          </cell>
          <cell r="AZ18">
            <v>1.163E-2</v>
          </cell>
          <cell r="BB18">
            <v>-9.3000000000000005E-4</v>
          </cell>
          <cell r="BC18">
            <v>0</v>
          </cell>
          <cell r="BD18">
            <v>4.2999999999999999E-4</v>
          </cell>
          <cell r="BE18">
            <v>3.1620000000000002E-2</v>
          </cell>
          <cell r="BF18">
            <v>0.24073</v>
          </cell>
        </row>
        <row r="19">
          <cell r="J19">
            <v>-4.5029999999999987E-2</v>
          </cell>
          <cell r="K19">
            <v>4.6289999999999998E-2</v>
          </cell>
          <cell r="L19">
            <v>-5.6999999999999998E-4</v>
          </cell>
          <cell r="M19">
            <v>0</v>
          </cell>
          <cell r="N19">
            <v>6.45E-3</v>
          </cell>
          <cell r="O19">
            <v>1.0399999999999999E-3</v>
          </cell>
          <cell r="P19">
            <v>-8.0000000000000007E-5</v>
          </cell>
          <cell r="Q19">
            <v>0</v>
          </cell>
          <cell r="R19">
            <v>5.9800000000000001E-3</v>
          </cell>
          <cell r="S19">
            <v>0</v>
          </cell>
          <cell r="T19">
            <v>1.0000000000000001E-5</v>
          </cell>
          <cell r="U19">
            <v>1.5630000000000002E-2</v>
          </cell>
          <cell r="V19">
            <v>0.24073</v>
          </cell>
          <cell r="AW19">
            <v>0</v>
          </cell>
          <cell r="AX19">
            <v>4.5500000000000006E-2</v>
          </cell>
          <cell r="AY19">
            <v>8.2699999999999996E-3</v>
          </cell>
          <cell r="AZ19">
            <v>5.7499999999999999E-3</v>
          </cell>
          <cell r="BB19">
            <v>-4.6000000000000001E-4</v>
          </cell>
          <cell r="BC19">
            <v>0</v>
          </cell>
          <cell r="BD19">
            <v>2.3000000000000001E-4</v>
          </cell>
          <cell r="BE19">
            <v>1.5630000000000002E-2</v>
          </cell>
          <cell r="BF19">
            <v>0.24073</v>
          </cell>
        </row>
        <row r="20">
          <cell r="J20">
            <v>-4.5029999999999987E-2</v>
          </cell>
          <cell r="K20">
            <v>4.079E-2</v>
          </cell>
          <cell r="L20">
            <v>-5.1000000000000004E-4</v>
          </cell>
          <cell r="M20">
            <v>0</v>
          </cell>
          <cell r="N20">
            <v>5.6800000000000002E-3</v>
          </cell>
          <cell r="O20">
            <v>9.2000000000000003E-4</v>
          </cell>
          <cell r="P20">
            <v>-6.9999999999999994E-5</v>
          </cell>
          <cell r="Q20">
            <v>0</v>
          </cell>
          <cell r="R20">
            <v>5.2700000000000004E-3</v>
          </cell>
          <cell r="S20">
            <v>0</v>
          </cell>
          <cell r="T20">
            <v>1.0000000000000001E-5</v>
          </cell>
          <cell r="U20">
            <v>1.3769999999999999E-2</v>
          </cell>
          <cell r="V20">
            <v>0.24073</v>
          </cell>
          <cell r="AW20">
            <v>0</v>
          </cell>
          <cell r="AX20">
            <v>4.0090000000000001E-2</v>
          </cell>
          <cell r="AY20">
            <v>7.2899999999999996E-3</v>
          </cell>
          <cell r="AZ20">
            <v>5.0699999999999999E-3</v>
          </cell>
          <cell r="BB20">
            <v>-4.0000000000000002E-4</v>
          </cell>
          <cell r="BC20">
            <v>0</v>
          </cell>
          <cell r="BD20">
            <v>2.2000000000000001E-4</v>
          </cell>
          <cell r="BE20">
            <v>1.3769999999999999E-2</v>
          </cell>
          <cell r="BF20">
            <v>0.24073</v>
          </cell>
        </row>
        <row r="21">
          <cell r="J21">
            <v>-4.5029999999999987E-2</v>
          </cell>
          <cell r="K21">
            <v>0</v>
          </cell>
          <cell r="L21">
            <v>0</v>
          </cell>
          <cell r="M21">
            <v>0</v>
          </cell>
          <cell r="N21">
            <v>5.8500000000000002E-3</v>
          </cell>
          <cell r="O21">
            <v>9.3999999999999997E-4</v>
          </cell>
          <cell r="P21">
            <v>-6.9999999999999994E-5</v>
          </cell>
          <cell r="Q21">
            <v>0</v>
          </cell>
          <cell r="R21">
            <v>5.4200000000000003E-3</v>
          </cell>
          <cell r="S21">
            <v>3.5E-4</v>
          </cell>
          <cell r="T21">
            <v>1.0000000000000001E-5</v>
          </cell>
          <cell r="U21">
            <v>1.34E-2</v>
          </cell>
          <cell r="V21">
            <v>0.24073</v>
          </cell>
          <cell r="AW21">
            <v>0</v>
          </cell>
          <cell r="AX21">
            <v>0</v>
          </cell>
          <cell r="AY21">
            <v>7.0800000000000004E-3</v>
          </cell>
          <cell r="AZ21">
            <v>4.9300000000000004E-3</v>
          </cell>
          <cell r="BB21">
            <v>-3.8999999999999999E-4</v>
          </cell>
          <cell r="BC21">
            <v>1.0300000000000001E-3</v>
          </cell>
          <cell r="BD21">
            <v>2.1000000000000001E-4</v>
          </cell>
          <cell r="BE21">
            <v>1.34E-2</v>
          </cell>
          <cell r="BF21">
            <v>0.24073</v>
          </cell>
        </row>
        <row r="22">
          <cell r="J22">
            <v>-4.5029999999999987E-2</v>
          </cell>
          <cell r="K22">
            <v>0</v>
          </cell>
          <cell r="L22">
            <v>0</v>
          </cell>
          <cell r="M22">
            <v>0</v>
          </cell>
          <cell r="N22">
            <v>5.1500000000000001E-3</v>
          </cell>
          <cell r="O22">
            <v>8.3000000000000001E-4</v>
          </cell>
          <cell r="P22">
            <v>-6.0000000000000002E-5</v>
          </cell>
          <cell r="Q22">
            <v>0</v>
          </cell>
          <cell r="R22">
            <v>4.7800000000000004E-3</v>
          </cell>
          <cell r="S22">
            <v>3.5E-4</v>
          </cell>
          <cell r="T22">
            <v>1.0000000000000001E-5</v>
          </cell>
          <cell r="U22">
            <v>1.1809999999999999E-2</v>
          </cell>
          <cell r="V22">
            <v>0.24073</v>
          </cell>
          <cell r="AW22">
            <v>0</v>
          </cell>
          <cell r="AX22">
            <v>0</v>
          </cell>
          <cell r="AY22">
            <v>6.2399999999999999E-3</v>
          </cell>
          <cell r="AZ22">
            <v>4.3400000000000001E-3</v>
          </cell>
          <cell r="BB22">
            <v>-3.4000000000000002E-4</v>
          </cell>
          <cell r="BC22">
            <v>1.0300000000000001E-3</v>
          </cell>
          <cell r="BD22">
            <v>2.1000000000000001E-4</v>
          </cell>
          <cell r="BE22">
            <v>1.1809999999999999E-2</v>
          </cell>
          <cell r="BF22">
            <v>0.24073</v>
          </cell>
        </row>
        <row r="23">
          <cell r="J23">
            <v>-1.2729999999999991E-2</v>
          </cell>
          <cell r="K23">
            <v>4.233E-2</v>
          </cell>
          <cell r="L23">
            <v>-5.1999999999999995E-4</v>
          </cell>
          <cell r="M23">
            <v>0</v>
          </cell>
          <cell r="N23">
            <v>6.0000000000000001E-3</v>
          </cell>
          <cell r="O23">
            <v>9.7000000000000005E-4</v>
          </cell>
          <cell r="P23">
            <v>-6.9999999999999994E-5</v>
          </cell>
          <cell r="Q23">
            <v>0</v>
          </cell>
          <cell r="R23">
            <v>5.7800000000000004E-3</v>
          </cell>
          <cell r="S23">
            <v>0</v>
          </cell>
          <cell r="T23">
            <v>0</v>
          </cell>
          <cell r="U23">
            <v>1.4829999999999999E-2</v>
          </cell>
          <cell r="V23">
            <v>0.24073</v>
          </cell>
          <cell r="AW23">
            <v>0</v>
          </cell>
          <cell r="AX23">
            <v>4.0620000000000003E-2</v>
          </cell>
          <cell r="AY23">
            <v>7.5199999999999998E-3</v>
          </cell>
          <cell r="AZ23">
            <v>5.4599999999999996E-3</v>
          </cell>
          <cell r="BB23">
            <v>-4.2999999999999999E-4</v>
          </cell>
          <cell r="BC23">
            <v>0</v>
          </cell>
          <cell r="BD23">
            <v>0</v>
          </cell>
          <cell r="BE23">
            <v>1.4829999999999999E-2</v>
          </cell>
          <cell r="BF23">
            <v>0.24073</v>
          </cell>
        </row>
        <row r="24">
          <cell r="J24">
            <v>-1.2729999999999991E-2</v>
          </cell>
          <cell r="K24">
            <v>3.7289999999999997E-2</v>
          </cell>
          <cell r="L24">
            <v>-4.6000000000000001E-4</v>
          </cell>
          <cell r="M24">
            <v>0</v>
          </cell>
          <cell r="N24">
            <v>5.28E-3</v>
          </cell>
          <cell r="O24">
            <v>8.4999999999999995E-4</v>
          </cell>
          <cell r="P24">
            <v>-6.0000000000000002E-5</v>
          </cell>
          <cell r="Q24">
            <v>0</v>
          </cell>
          <cell r="R24">
            <v>5.0899999999999999E-3</v>
          </cell>
          <cell r="S24">
            <v>0</v>
          </cell>
          <cell r="T24">
            <v>0</v>
          </cell>
          <cell r="U24">
            <v>1.307E-2</v>
          </cell>
          <cell r="V24">
            <v>0.24073</v>
          </cell>
          <cell r="AW24">
            <v>0</v>
          </cell>
          <cell r="AX24">
            <v>3.5799999999999998E-2</v>
          </cell>
          <cell r="AY24">
            <v>6.6300000000000005E-3</v>
          </cell>
          <cell r="AZ24">
            <v>4.81E-3</v>
          </cell>
          <cell r="BB24">
            <v>-3.8000000000000002E-4</v>
          </cell>
          <cell r="BC24">
            <v>0</v>
          </cell>
          <cell r="BD24">
            <v>0</v>
          </cell>
          <cell r="BE24">
            <v>1.307E-2</v>
          </cell>
          <cell r="BF24">
            <v>0.24073</v>
          </cell>
        </row>
        <row r="25">
          <cell r="J25">
            <v>-1.2729999999999991E-2</v>
          </cell>
          <cell r="K25">
            <v>0</v>
          </cell>
          <cell r="L25">
            <v>0</v>
          </cell>
          <cell r="M25">
            <v>0</v>
          </cell>
          <cell r="N25">
            <v>5.6699999999999997E-3</v>
          </cell>
          <cell r="O25">
            <v>9.1E-4</v>
          </cell>
          <cell r="P25">
            <v>-6.9999999999999994E-5</v>
          </cell>
          <cell r="Q25">
            <v>0</v>
          </cell>
          <cell r="R25">
            <v>5.47E-3</v>
          </cell>
          <cell r="S25">
            <v>3.5E-4</v>
          </cell>
          <cell r="T25">
            <v>0</v>
          </cell>
          <cell r="U25">
            <v>1.4030000000000001E-2</v>
          </cell>
          <cell r="V25">
            <v>0.24073</v>
          </cell>
          <cell r="AW25">
            <v>0</v>
          </cell>
          <cell r="AX25">
            <v>0</v>
          </cell>
          <cell r="AY25">
            <v>7.1199999999999996E-3</v>
          </cell>
          <cell r="AZ25">
            <v>5.1599999999999997E-3</v>
          </cell>
          <cell r="BB25">
            <v>-4.0999999999999999E-4</v>
          </cell>
          <cell r="BC25">
            <v>1.0300000000000001E-3</v>
          </cell>
          <cell r="BD25">
            <v>0</v>
          </cell>
          <cell r="BE25">
            <v>1.4030000000000001E-2</v>
          </cell>
          <cell r="BF25">
            <v>0.24073</v>
          </cell>
        </row>
        <row r="26">
          <cell r="J26">
            <v>-1.2729999999999991E-2</v>
          </cell>
          <cell r="K26">
            <v>0</v>
          </cell>
          <cell r="L26">
            <v>0</v>
          </cell>
          <cell r="M26">
            <v>0</v>
          </cell>
          <cell r="N26">
            <v>5.0000000000000001E-3</v>
          </cell>
          <cell r="O26">
            <v>8.0999999999999996E-4</v>
          </cell>
          <cell r="P26">
            <v>-6.0000000000000002E-5</v>
          </cell>
          <cell r="Q26">
            <v>0</v>
          </cell>
          <cell r="R26">
            <v>4.8199999999999996E-3</v>
          </cell>
          <cell r="S26">
            <v>3.5E-4</v>
          </cell>
          <cell r="T26">
            <v>0</v>
          </cell>
          <cell r="U26">
            <v>1.2359999999999999E-2</v>
          </cell>
          <cell r="V26">
            <v>0.24073</v>
          </cell>
          <cell r="AW26">
            <v>0</v>
          </cell>
          <cell r="AX26">
            <v>0</v>
          </cell>
          <cell r="AY26">
            <v>6.2700000000000004E-3</v>
          </cell>
          <cell r="AZ26">
            <v>4.5500000000000002E-3</v>
          </cell>
          <cell r="BB26">
            <v>-3.6000000000000002E-4</v>
          </cell>
          <cell r="BC26">
            <v>1.0300000000000001E-3</v>
          </cell>
          <cell r="BD26">
            <v>0</v>
          </cell>
          <cell r="BE26">
            <v>1.2359999999999999E-2</v>
          </cell>
          <cell r="BF26">
            <v>0.24073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-8.0000000000000007E-5</v>
          </cell>
          <cell r="Q27">
            <v>0</v>
          </cell>
          <cell r="R27">
            <v>6.1599999999999997E-3</v>
          </cell>
          <cell r="S27">
            <v>3.5E-4</v>
          </cell>
          <cell r="T27">
            <v>1.0000000000000001E-5</v>
          </cell>
          <cell r="U27">
            <v>1.5440000000000001E-2</v>
          </cell>
          <cell r="V27">
            <v>0.24073</v>
          </cell>
          <cell r="AW27">
            <v>0</v>
          </cell>
          <cell r="AX27">
            <v>0</v>
          </cell>
          <cell r="AY27">
            <v>0</v>
          </cell>
          <cell r="AZ27">
            <v>5.6899999999999997E-3</v>
          </cell>
          <cell r="BB27">
            <v>-4.4999999999999999E-4</v>
          </cell>
          <cell r="BC27">
            <v>1.0300000000000001E-3</v>
          </cell>
          <cell r="BD27">
            <v>1.4999999999999999E-4</v>
          </cell>
          <cell r="BE27">
            <v>1.5440000000000001E-2</v>
          </cell>
          <cell r="BF27">
            <v>0.24073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-6.9999999999999994E-5</v>
          </cell>
          <cell r="Q28">
            <v>0</v>
          </cell>
          <cell r="R28">
            <v>5.4299999999999999E-3</v>
          </cell>
          <cell r="S28">
            <v>3.5E-4</v>
          </cell>
          <cell r="T28">
            <v>1.0000000000000001E-5</v>
          </cell>
          <cell r="U28">
            <v>1.3599999999999999E-2</v>
          </cell>
          <cell r="V28">
            <v>0.24073</v>
          </cell>
          <cell r="AW28">
            <v>0</v>
          </cell>
          <cell r="AX28">
            <v>0</v>
          </cell>
          <cell r="AY28">
            <v>0</v>
          </cell>
          <cell r="AZ28">
            <v>5.0099999999999997E-3</v>
          </cell>
          <cell r="BB28">
            <v>-4.0000000000000002E-4</v>
          </cell>
          <cell r="BC28">
            <v>1.0300000000000001E-3</v>
          </cell>
          <cell r="BD28">
            <v>1.3999999999999999E-4</v>
          </cell>
          <cell r="BE28">
            <v>1.3599999999999999E-2</v>
          </cell>
          <cell r="BF28">
            <v>0.24073</v>
          </cell>
        </row>
        <row r="29"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-6.9999999999999994E-5</v>
          </cell>
          <cell r="Q29">
            <v>0</v>
          </cell>
          <cell r="R29">
            <v>5.5300000000000002E-3</v>
          </cell>
          <cell r="S29">
            <v>3.5E-4</v>
          </cell>
          <cell r="T29">
            <v>0</v>
          </cell>
          <cell r="U29">
            <v>1.418E-2</v>
          </cell>
          <cell r="V29">
            <v>0.24073</v>
          </cell>
          <cell r="AW29">
            <v>0</v>
          </cell>
          <cell r="AX29">
            <v>0</v>
          </cell>
          <cell r="AY29">
            <v>0</v>
          </cell>
          <cell r="AZ29">
            <v>5.2199999999999998E-3</v>
          </cell>
          <cell r="BB29">
            <v>-4.0999999999999999E-4</v>
          </cell>
          <cell r="BC29">
            <v>1.0300000000000001E-3</v>
          </cell>
          <cell r="BD29">
            <v>0</v>
          </cell>
          <cell r="BE29">
            <v>1.418E-2</v>
          </cell>
          <cell r="BF29">
            <v>0.24073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-6.0000000000000002E-5</v>
          </cell>
          <cell r="Q30">
            <v>0</v>
          </cell>
          <cell r="R30">
            <v>4.8700000000000002E-3</v>
          </cell>
          <cell r="S30">
            <v>3.5E-4</v>
          </cell>
          <cell r="T30">
            <v>0</v>
          </cell>
          <cell r="U30">
            <v>1.2500000000000001E-2</v>
          </cell>
          <cell r="V30">
            <v>0.24073</v>
          </cell>
          <cell r="AW30">
            <v>0</v>
          </cell>
          <cell r="AX30">
            <v>0</v>
          </cell>
          <cell r="AY30">
            <v>0</v>
          </cell>
          <cell r="AZ30">
            <v>4.5999999999999999E-3</v>
          </cell>
          <cell r="BB30">
            <v>-3.6000000000000002E-4</v>
          </cell>
          <cell r="BC30">
            <v>1.0300000000000001E-3</v>
          </cell>
          <cell r="BD30">
            <v>0</v>
          </cell>
          <cell r="BE30">
            <v>1.2500000000000001E-2</v>
          </cell>
          <cell r="BF30">
            <v>0.24073</v>
          </cell>
        </row>
        <row r="31">
          <cell r="J31">
            <v>-4.5029999999999987E-2</v>
          </cell>
          <cell r="K31">
            <v>2.5569999999999999E-2</v>
          </cell>
          <cell r="L31">
            <v>-3.2000000000000003E-4</v>
          </cell>
          <cell r="M31">
            <v>0</v>
          </cell>
          <cell r="N31">
            <v>3.5599999999999998E-3</v>
          </cell>
          <cell r="O31">
            <v>5.6999999999999998E-4</v>
          </cell>
          <cell r="P31">
            <v>-4.0000000000000003E-5</v>
          </cell>
          <cell r="Q31">
            <v>0</v>
          </cell>
          <cell r="R31">
            <v>3.3999999999999998E-3</v>
          </cell>
          <cell r="S31">
            <v>0</v>
          </cell>
          <cell r="T31">
            <v>1.0000000000000001E-5</v>
          </cell>
          <cell r="U31">
            <v>8.6899999999999998E-3</v>
          </cell>
          <cell r="V31">
            <v>0.24073</v>
          </cell>
          <cell r="AW31">
            <v>0</v>
          </cell>
          <cell r="AX31">
            <v>2.529E-2</v>
          </cell>
          <cell r="AY31">
            <v>4.5899999999999995E-3</v>
          </cell>
          <cell r="AZ31">
            <v>3.2000000000000002E-3</v>
          </cell>
          <cell r="BB31">
            <v>-2.5000000000000001E-4</v>
          </cell>
          <cell r="BC31">
            <v>0</v>
          </cell>
          <cell r="BD31">
            <v>1.4999999999999999E-4</v>
          </cell>
          <cell r="BE31">
            <v>8.6899999999999998E-3</v>
          </cell>
          <cell r="BF31">
            <v>0.24073</v>
          </cell>
        </row>
        <row r="32">
          <cell r="J32">
            <v>-4.5029999999999987E-2</v>
          </cell>
          <cell r="K32">
            <v>2.2880000000000001E-2</v>
          </cell>
          <cell r="L32">
            <v>-2.7999999999999998E-4</v>
          </cell>
          <cell r="M32">
            <v>0</v>
          </cell>
          <cell r="N32">
            <v>3.1900000000000001E-3</v>
          </cell>
          <cell r="O32">
            <v>5.1000000000000004E-4</v>
          </cell>
          <cell r="P32">
            <v>-4.0000000000000003E-5</v>
          </cell>
          <cell r="Q32">
            <v>0</v>
          </cell>
          <cell r="R32">
            <v>3.0400000000000002E-3</v>
          </cell>
          <cell r="S32">
            <v>0</v>
          </cell>
          <cell r="T32">
            <v>1.0000000000000001E-5</v>
          </cell>
          <cell r="U32">
            <v>7.7799999999999996E-3</v>
          </cell>
          <cell r="V32">
            <v>0.24073</v>
          </cell>
          <cell r="AW32">
            <v>0</v>
          </cell>
          <cell r="AX32">
            <v>2.264E-2</v>
          </cell>
          <cell r="AY32">
            <v>4.1099999999999999E-3</v>
          </cell>
          <cell r="AZ32">
            <v>2.8600000000000001E-3</v>
          </cell>
          <cell r="BB32">
            <v>-2.3000000000000001E-4</v>
          </cell>
          <cell r="BC32">
            <v>0</v>
          </cell>
          <cell r="BD32">
            <v>1.3999999999999999E-4</v>
          </cell>
          <cell r="BE32">
            <v>7.7799999999999996E-3</v>
          </cell>
          <cell r="BF32">
            <v>0.24073</v>
          </cell>
        </row>
        <row r="33">
          <cell r="J33">
            <v>-4.5029999999999987E-2</v>
          </cell>
          <cell r="K33">
            <v>1.755E-2</v>
          </cell>
          <cell r="L33">
            <v>-2.2000000000000001E-4</v>
          </cell>
          <cell r="M33">
            <v>0</v>
          </cell>
          <cell r="N33">
            <v>2.4499999999999999E-3</v>
          </cell>
          <cell r="O33">
            <v>3.8999999999999999E-4</v>
          </cell>
          <cell r="P33">
            <v>-3.0000000000000001E-5</v>
          </cell>
          <cell r="Q33">
            <v>0</v>
          </cell>
          <cell r="R33">
            <v>2.33E-3</v>
          </cell>
          <cell r="S33">
            <v>0</v>
          </cell>
          <cell r="T33">
            <v>1.0000000000000001E-5</v>
          </cell>
          <cell r="U33">
            <v>5.9699999999999996E-3</v>
          </cell>
          <cell r="V33">
            <v>0.24073</v>
          </cell>
          <cell r="AW33">
            <v>0</v>
          </cell>
          <cell r="AX33">
            <v>1.7359999999999997E-2</v>
          </cell>
          <cell r="AY33">
            <v>3.15E-3</v>
          </cell>
          <cell r="AZ33">
            <v>2.1900000000000001E-3</v>
          </cell>
          <cell r="BB33">
            <v>-1.7000000000000001E-4</v>
          </cell>
          <cell r="BC33">
            <v>0</v>
          </cell>
          <cell r="BD33">
            <v>1.3999999999999999E-4</v>
          </cell>
          <cell r="BE33">
            <v>5.9699999999999996E-3</v>
          </cell>
          <cell r="BF33">
            <v>0.24073</v>
          </cell>
        </row>
        <row r="34">
          <cell r="J34">
            <v>-4.5029999999999987E-2</v>
          </cell>
          <cell r="K34">
            <v>1.404E-2</v>
          </cell>
          <cell r="L34">
            <v>-1.7000000000000001E-4</v>
          </cell>
          <cell r="M34">
            <v>0</v>
          </cell>
          <cell r="N34">
            <v>1.9599999999999999E-3</v>
          </cell>
          <cell r="O34">
            <v>3.2000000000000003E-4</v>
          </cell>
          <cell r="P34">
            <v>-2.0000000000000002E-5</v>
          </cell>
          <cell r="Q34">
            <v>0</v>
          </cell>
          <cell r="R34">
            <v>1.8699999999999999E-3</v>
          </cell>
          <cell r="S34">
            <v>0</v>
          </cell>
          <cell r="T34">
            <v>1.0000000000000001E-5</v>
          </cell>
          <cell r="U34">
            <v>4.7699999999999999E-3</v>
          </cell>
          <cell r="V34">
            <v>0.24073</v>
          </cell>
          <cell r="AW34">
            <v>0</v>
          </cell>
          <cell r="AX34">
            <v>1.3890000000000001E-2</v>
          </cell>
          <cell r="AY34">
            <v>2.5300000000000001E-3</v>
          </cell>
          <cell r="AZ34">
            <v>1.7600000000000001E-3</v>
          </cell>
          <cell r="BB34">
            <v>-1.3999999999999999E-4</v>
          </cell>
          <cell r="BC34">
            <v>0</v>
          </cell>
          <cell r="BD34">
            <v>1.2999999999999999E-4</v>
          </cell>
          <cell r="BE34">
            <v>4.7699999999999999E-3</v>
          </cell>
          <cell r="BF34">
            <v>0.24073</v>
          </cell>
        </row>
        <row r="35">
          <cell r="J35">
            <v>-4.5029999999999987E-2</v>
          </cell>
          <cell r="K35">
            <v>9.3600000000000003E-3</v>
          </cell>
          <cell r="L35">
            <v>-1.2E-4</v>
          </cell>
          <cell r="M35">
            <v>0</v>
          </cell>
          <cell r="N35">
            <v>1.2999999999999999E-3</v>
          </cell>
          <cell r="O35">
            <v>2.1000000000000001E-4</v>
          </cell>
          <cell r="P35">
            <v>-2.0000000000000002E-5</v>
          </cell>
          <cell r="Q35">
            <v>0</v>
          </cell>
          <cell r="R35">
            <v>1.24E-3</v>
          </cell>
          <cell r="S35">
            <v>0</v>
          </cell>
          <cell r="T35">
            <v>1.0000000000000001E-5</v>
          </cell>
          <cell r="U35">
            <v>3.1800000000000001E-3</v>
          </cell>
          <cell r="V35">
            <v>0.24073</v>
          </cell>
          <cell r="AW35">
            <v>0</v>
          </cell>
          <cell r="AX35">
            <v>9.2599999999999991E-3</v>
          </cell>
          <cell r="AY35">
            <v>1.6800000000000001E-3</v>
          </cell>
          <cell r="AZ35">
            <v>1.17E-3</v>
          </cell>
          <cell r="BB35">
            <v>-9.0000000000000006E-5</v>
          </cell>
          <cell r="BC35">
            <v>0</v>
          </cell>
          <cell r="BD35">
            <v>1.2999999999999999E-4</v>
          </cell>
          <cell r="BE35">
            <v>3.1800000000000001E-3</v>
          </cell>
          <cell r="BF35">
            <v>0.24073</v>
          </cell>
        </row>
        <row r="36">
          <cell r="J36">
            <v>-4.5029999999999987E-2</v>
          </cell>
          <cell r="K36">
            <v>3.5100000000000001E-3</v>
          </cell>
          <cell r="L36">
            <v>-4.0000000000000003E-5</v>
          </cell>
          <cell r="M36">
            <v>0</v>
          </cell>
          <cell r="N36">
            <v>4.8999999999999998E-4</v>
          </cell>
          <cell r="O36">
            <v>8.0000000000000007E-5</v>
          </cell>
          <cell r="P36">
            <v>-1.0000000000000001E-5</v>
          </cell>
          <cell r="Q36">
            <v>0</v>
          </cell>
          <cell r="R36">
            <v>4.6999999999999999E-4</v>
          </cell>
          <cell r="S36">
            <v>0</v>
          </cell>
          <cell r="T36">
            <v>1.0000000000000001E-5</v>
          </cell>
          <cell r="U36">
            <v>1.1900000000000001E-3</v>
          </cell>
          <cell r="V36">
            <v>0.24073</v>
          </cell>
          <cell r="AW36">
            <v>0</v>
          </cell>
          <cell r="AX36">
            <v>3.47E-3</v>
          </cell>
          <cell r="AY36">
            <v>6.2999999999999992E-4</v>
          </cell>
          <cell r="AZ36">
            <v>4.4000000000000002E-4</v>
          </cell>
          <cell r="BB36">
            <v>-3.0000000000000001E-5</v>
          </cell>
          <cell r="BC36">
            <v>0</v>
          </cell>
          <cell r="BD36">
            <v>1.2E-4</v>
          </cell>
          <cell r="BE36">
            <v>1.1900000000000001E-3</v>
          </cell>
          <cell r="BF36">
            <v>0.24073</v>
          </cell>
        </row>
        <row r="37">
          <cell r="J37">
            <v>-4.5029999999999987E-2</v>
          </cell>
          <cell r="K37">
            <v>0</v>
          </cell>
          <cell r="L37">
            <v>0</v>
          </cell>
          <cell r="M37">
            <v>0</v>
          </cell>
          <cell r="N37">
            <v>3.7499999999999999E-3</v>
          </cell>
          <cell r="O37">
            <v>5.9999999999999995E-4</v>
          </cell>
          <cell r="P37">
            <v>-4.0000000000000003E-5</v>
          </cell>
          <cell r="Q37">
            <v>0</v>
          </cell>
          <cell r="R37">
            <v>3.47E-3</v>
          </cell>
          <cell r="S37">
            <v>3.5E-4</v>
          </cell>
          <cell r="T37">
            <v>0</v>
          </cell>
          <cell r="U37">
            <v>8.43E-3</v>
          </cell>
          <cell r="V37">
            <v>0.24073</v>
          </cell>
          <cell r="AW37">
            <v>0</v>
          </cell>
          <cell r="AX37">
            <v>0</v>
          </cell>
          <cell r="AY37">
            <v>4.45E-3</v>
          </cell>
          <cell r="AZ37">
            <v>3.0999999999999999E-3</v>
          </cell>
          <cell r="BB37">
            <v>-2.5000000000000001E-4</v>
          </cell>
          <cell r="BC37">
            <v>1.0300000000000001E-3</v>
          </cell>
          <cell r="BD37">
            <v>3.0000000000000001E-5</v>
          </cell>
          <cell r="BE37">
            <v>8.43E-3</v>
          </cell>
          <cell r="BF37">
            <v>0.24073</v>
          </cell>
        </row>
        <row r="38">
          <cell r="J38">
            <v>-4.5029999999999987E-2</v>
          </cell>
          <cell r="K38">
            <v>0</v>
          </cell>
          <cell r="L38">
            <v>0</v>
          </cell>
          <cell r="M38">
            <v>0</v>
          </cell>
          <cell r="N38">
            <v>3.3600000000000001E-3</v>
          </cell>
          <cell r="O38">
            <v>5.4000000000000001E-4</v>
          </cell>
          <cell r="P38">
            <v>-4.0000000000000003E-5</v>
          </cell>
          <cell r="Q38">
            <v>0</v>
          </cell>
          <cell r="R38">
            <v>3.1099999999999999E-3</v>
          </cell>
          <cell r="S38">
            <v>3.5E-4</v>
          </cell>
          <cell r="T38">
            <v>0</v>
          </cell>
          <cell r="U38">
            <v>7.5399999999999998E-3</v>
          </cell>
          <cell r="V38">
            <v>0.24073</v>
          </cell>
          <cell r="AW38">
            <v>0</v>
          </cell>
          <cell r="AX38">
            <v>0</v>
          </cell>
          <cell r="AY38">
            <v>3.9900000000000005E-3</v>
          </cell>
          <cell r="AZ38">
            <v>2.7699999999999999E-3</v>
          </cell>
          <cell r="BB38">
            <v>-2.2000000000000001E-4</v>
          </cell>
          <cell r="BC38">
            <v>1.0300000000000001E-3</v>
          </cell>
          <cell r="BD38">
            <v>3.0000000000000001E-5</v>
          </cell>
          <cell r="BE38">
            <v>7.5399999999999998E-3</v>
          </cell>
          <cell r="BF38">
            <v>0.24073</v>
          </cell>
        </row>
        <row r="39">
          <cell r="J39">
            <v>-4.5029999999999987E-2</v>
          </cell>
          <cell r="K39">
            <v>0</v>
          </cell>
          <cell r="L39">
            <v>0</v>
          </cell>
          <cell r="M39">
            <v>0</v>
          </cell>
          <cell r="N39">
            <v>2.5699999999999998E-3</v>
          </cell>
          <cell r="O39">
            <v>4.0999999999999999E-4</v>
          </cell>
          <cell r="P39">
            <v>-3.0000000000000001E-5</v>
          </cell>
          <cell r="Q39">
            <v>0</v>
          </cell>
          <cell r="R39">
            <v>2.3800000000000002E-3</v>
          </cell>
          <cell r="S39">
            <v>3.5E-4</v>
          </cell>
          <cell r="T39">
            <v>0</v>
          </cell>
          <cell r="U39">
            <v>5.7800000000000004E-3</v>
          </cell>
          <cell r="V39">
            <v>0.24073</v>
          </cell>
          <cell r="AW39">
            <v>0</v>
          </cell>
          <cell r="AX39">
            <v>0</v>
          </cell>
          <cell r="AY39">
            <v>3.0600000000000002E-3</v>
          </cell>
          <cell r="AZ39">
            <v>2.1299999999999999E-3</v>
          </cell>
          <cell r="BB39">
            <v>-1.7000000000000001E-4</v>
          </cell>
          <cell r="BC39">
            <v>1.0300000000000001E-3</v>
          </cell>
          <cell r="BD39">
            <v>3.0000000000000001E-5</v>
          </cell>
          <cell r="BE39">
            <v>5.7800000000000004E-3</v>
          </cell>
          <cell r="BF39">
            <v>0.24073</v>
          </cell>
        </row>
        <row r="40">
          <cell r="J40">
            <v>-4.5029999999999987E-2</v>
          </cell>
          <cell r="K40">
            <v>0</v>
          </cell>
          <cell r="L40">
            <v>0</v>
          </cell>
          <cell r="M40">
            <v>0</v>
          </cell>
          <cell r="N40">
            <v>2.0600000000000002E-3</v>
          </cell>
          <cell r="O40">
            <v>3.3E-4</v>
          </cell>
          <cell r="P40">
            <v>-2.0000000000000002E-5</v>
          </cell>
          <cell r="Q40">
            <v>0</v>
          </cell>
          <cell r="R40">
            <v>1.91E-3</v>
          </cell>
          <cell r="S40">
            <v>3.5E-4</v>
          </cell>
          <cell r="T40">
            <v>0</v>
          </cell>
          <cell r="U40">
            <v>4.6299999999999996E-3</v>
          </cell>
          <cell r="V40">
            <v>0.24073</v>
          </cell>
          <cell r="AW40">
            <v>0</v>
          </cell>
          <cell r="AX40">
            <v>0</v>
          </cell>
          <cell r="AY40">
            <v>2.4499999999999999E-3</v>
          </cell>
          <cell r="AZ40">
            <v>1.6999999999999999E-3</v>
          </cell>
          <cell r="BB40">
            <v>-1.3999999999999999E-4</v>
          </cell>
          <cell r="BC40">
            <v>1.0300000000000001E-3</v>
          </cell>
          <cell r="BD40">
            <v>3.0000000000000001E-5</v>
          </cell>
          <cell r="BE40">
            <v>4.6299999999999996E-3</v>
          </cell>
          <cell r="BF40">
            <v>0.24073</v>
          </cell>
        </row>
        <row r="41">
          <cell r="J41">
            <v>-4.5029999999999987E-2</v>
          </cell>
          <cell r="K41">
            <v>0</v>
          </cell>
          <cell r="L41">
            <v>0</v>
          </cell>
          <cell r="M41">
            <v>0</v>
          </cell>
          <cell r="N41">
            <v>1.3699999999999999E-3</v>
          </cell>
          <cell r="O41">
            <v>2.2000000000000001E-4</v>
          </cell>
          <cell r="P41">
            <v>-2.0000000000000002E-5</v>
          </cell>
          <cell r="Q41">
            <v>0</v>
          </cell>
          <cell r="R41">
            <v>1.2700000000000001E-3</v>
          </cell>
          <cell r="S41">
            <v>3.5E-4</v>
          </cell>
          <cell r="T41">
            <v>0</v>
          </cell>
          <cell r="U41">
            <v>3.0899999999999999E-3</v>
          </cell>
          <cell r="V41">
            <v>0.24073</v>
          </cell>
          <cell r="AW41">
            <v>0</v>
          </cell>
          <cell r="AX41">
            <v>0</v>
          </cell>
          <cell r="AY41">
            <v>1.6300000000000002E-3</v>
          </cell>
          <cell r="AZ41">
            <v>1.14E-3</v>
          </cell>
          <cell r="BB41">
            <v>-9.0000000000000006E-5</v>
          </cell>
          <cell r="BC41">
            <v>1.0300000000000001E-3</v>
          </cell>
          <cell r="BD41">
            <v>3.0000000000000001E-5</v>
          </cell>
          <cell r="BE41">
            <v>3.0899999999999999E-3</v>
          </cell>
          <cell r="BF41">
            <v>0.24073</v>
          </cell>
        </row>
        <row r="42">
          <cell r="J42">
            <v>-4.5029999999999987E-2</v>
          </cell>
          <cell r="K42">
            <v>0</v>
          </cell>
          <cell r="L42">
            <v>0</v>
          </cell>
          <cell r="M42">
            <v>0</v>
          </cell>
          <cell r="N42">
            <v>5.1000000000000004E-4</v>
          </cell>
          <cell r="O42">
            <v>8.0000000000000007E-5</v>
          </cell>
          <cell r="P42">
            <v>-1.0000000000000001E-5</v>
          </cell>
          <cell r="Q42">
            <v>0</v>
          </cell>
          <cell r="R42">
            <v>4.8000000000000001E-4</v>
          </cell>
          <cell r="S42">
            <v>3.5E-4</v>
          </cell>
          <cell r="T42">
            <v>0</v>
          </cell>
          <cell r="U42">
            <v>1.16E-3</v>
          </cell>
          <cell r="V42">
            <v>0.24073</v>
          </cell>
          <cell r="AW42">
            <v>0</v>
          </cell>
          <cell r="AX42">
            <v>0</v>
          </cell>
          <cell r="AY42">
            <v>6.0999999999999997E-4</v>
          </cell>
          <cell r="AZ42">
            <v>4.2999999999999999E-4</v>
          </cell>
          <cell r="BB42">
            <v>-3.0000000000000001E-5</v>
          </cell>
          <cell r="BC42">
            <v>1.0300000000000001E-3</v>
          </cell>
          <cell r="BD42">
            <v>3.0000000000000001E-5</v>
          </cell>
          <cell r="BE42">
            <v>1.16E-3</v>
          </cell>
          <cell r="BF42">
            <v>0.24073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-3.0000000000000001E-5</v>
          </cell>
          <cell r="Q43">
            <v>0</v>
          </cell>
          <cell r="R43">
            <v>2.1900000000000001E-3</v>
          </cell>
          <cell r="S43">
            <v>3.5E-4</v>
          </cell>
          <cell r="T43">
            <v>2.0000000000000002E-5</v>
          </cell>
          <cell r="U43">
            <v>5.2399999999999999E-3</v>
          </cell>
          <cell r="V43">
            <v>0.24073</v>
          </cell>
          <cell r="AW43">
            <v>0</v>
          </cell>
          <cell r="AX43">
            <v>0</v>
          </cell>
          <cell r="AY43">
            <v>0</v>
          </cell>
          <cell r="AZ43">
            <v>1.9300000000000001E-3</v>
          </cell>
          <cell r="BB43">
            <v>-1.4999999999999999E-4</v>
          </cell>
          <cell r="BC43">
            <v>1.0300000000000001E-3</v>
          </cell>
          <cell r="BD43">
            <v>1.2E-4</v>
          </cell>
          <cell r="BE43">
            <v>5.2399999999999999E-3</v>
          </cell>
          <cell r="BF43">
            <v>0.24073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-2.0000000000000002E-5</v>
          </cell>
          <cell r="Q44">
            <v>0</v>
          </cell>
          <cell r="R44">
            <v>1.9599999999999999E-3</v>
          </cell>
          <cell r="S44">
            <v>3.5E-4</v>
          </cell>
          <cell r="T44">
            <v>2.0000000000000002E-5</v>
          </cell>
          <cell r="U44">
            <v>4.6899999999999997E-3</v>
          </cell>
          <cell r="V44">
            <v>0.24073</v>
          </cell>
          <cell r="AW44">
            <v>0</v>
          </cell>
          <cell r="AX44">
            <v>0</v>
          </cell>
          <cell r="AY44">
            <v>0</v>
          </cell>
          <cell r="AZ44">
            <v>1.73E-3</v>
          </cell>
          <cell r="BB44">
            <v>-1.3999999999999999E-4</v>
          </cell>
          <cell r="BC44">
            <v>1.0300000000000001E-3</v>
          </cell>
          <cell r="BD44">
            <v>1.2E-4</v>
          </cell>
          <cell r="BE44">
            <v>4.6899999999999997E-3</v>
          </cell>
          <cell r="BF44">
            <v>0.24073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-2.0000000000000002E-5</v>
          </cell>
          <cell r="Q45">
            <v>0</v>
          </cell>
          <cell r="R45">
            <v>1.5E-3</v>
          </cell>
          <cell r="S45">
            <v>3.5E-4</v>
          </cell>
          <cell r="T45">
            <v>2.0000000000000002E-5</v>
          </cell>
          <cell r="U45">
            <v>3.5999999999999999E-3</v>
          </cell>
          <cell r="V45">
            <v>0.24073</v>
          </cell>
          <cell r="AW45">
            <v>0</v>
          </cell>
          <cell r="AX45">
            <v>0</v>
          </cell>
          <cell r="AY45">
            <v>0</v>
          </cell>
          <cell r="AZ45">
            <v>1.33E-3</v>
          </cell>
          <cell r="BB45">
            <v>-1.1E-4</v>
          </cell>
          <cell r="BC45">
            <v>1.0300000000000001E-3</v>
          </cell>
          <cell r="BD45">
            <v>1.1E-4</v>
          </cell>
          <cell r="BE45">
            <v>3.5999999999999999E-3</v>
          </cell>
          <cell r="BF45">
            <v>0.24073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-2.0000000000000002E-5</v>
          </cell>
          <cell r="Q46">
            <v>0</v>
          </cell>
          <cell r="R46">
            <v>1.1999999999999999E-3</v>
          </cell>
          <cell r="S46">
            <v>3.5E-4</v>
          </cell>
          <cell r="T46">
            <v>1.0000000000000001E-5</v>
          </cell>
          <cell r="U46">
            <v>2.8800000000000002E-3</v>
          </cell>
          <cell r="V46">
            <v>0.24073</v>
          </cell>
          <cell r="AW46">
            <v>0</v>
          </cell>
          <cell r="AX46">
            <v>0</v>
          </cell>
          <cell r="AY46">
            <v>0</v>
          </cell>
          <cell r="AZ46">
            <v>1.06E-3</v>
          </cell>
          <cell r="BB46">
            <v>-8.0000000000000007E-5</v>
          </cell>
          <cell r="BC46">
            <v>1.0300000000000001E-3</v>
          </cell>
          <cell r="BD46">
            <v>1.1E-4</v>
          </cell>
          <cell r="BE46">
            <v>2.8800000000000002E-3</v>
          </cell>
          <cell r="BF46">
            <v>0.24073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-1.0000000000000001E-5</v>
          </cell>
          <cell r="Q47">
            <v>0</v>
          </cell>
          <cell r="R47">
            <v>8.0000000000000004E-4</v>
          </cell>
          <cell r="S47">
            <v>3.5E-4</v>
          </cell>
          <cell r="T47">
            <v>1.0000000000000001E-5</v>
          </cell>
          <cell r="U47">
            <v>1.92E-3</v>
          </cell>
          <cell r="V47">
            <v>0.24073</v>
          </cell>
          <cell r="AW47">
            <v>0</v>
          </cell>
          <cell r="AX47">
            <v>0</v>
          </cell>
          <cell r="AY47">
            <v>0</v>
          </cell>
          <cell r="AZ47">
            <v>7.1000000000000002E-4</v>
          </cell>
          <cell r="BB47">
            <v>-6.0000000000000002E-5</v>
          </cell>
          <cell r="BC47">
            <v>1.0300000000000001E-3</v>
          </cell>
          <cell r="BD47">
            <v>1E-4</v>
          </cell>
          <cell r="BE47">
            <v>1.92E-3</v>
          </cell>
          <cell r="BF47">
            <v>0.24073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2.9999999999999997E-4</v>
          </cell>
          <cell r="S48">
            <v>3.5E-4</v>
          </cell>
          <cell r="T48">
            <v>1.0000000000000001E-5</v>
          </cell>
          <cell r="U48">
            <v>7.2000000000000005E-4</v>
          </cell>
          <cell r="V48">
            <v>0.24073</v>
          </cell>
          <cell r="AW48">
            <v>0</v>
          </cell>
          <cell r="AX48">
            <v>0</v>
          </cell>
          <cell r="AY48">
            <v>0</v>
          </cell>
          <cell r="AZ48">
            <v>2.7E-4</v>
          </cell>
          <cell r="BB48">
            <v>-2.0000000000000002E-5</v>
          </cell>
          <cell r="BC48">
            <v>1.0300000000000001E-3</v>
          </cell>
          <cell r="BD48">
            <v>1E-4</v>
          </cell>
          <cell r="BE48">
            <v>7.2000000000000005E-4</v>
          </cell>
          <cell r="BF48">
            <v>0.24073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-3.0000000000000001E-5</v>
          </cell>
          <cell r="Q49">
            <v>0</v>
          </cell>
          <cell r="R49">
            <v>2.31E-3</v>
          </cell>
          <cell r="S49">
            <v>3.5E-4</v>
          </cell>
          <cell r="T49">
            <v>1.0000000000000001E-5</v>
          </cell>
          <cell r="U49">
            <v>5.5900000000000004E-3</v>
          </cell>
          <cell r="V49">
            <v>0.24073</v>
          </cell>
          <cell r="AW49">
            <v>0</v>
          </cell>
          <cell r="AX49">
            <v>0</v>
          </cell>
          <cell r="AY49">
            <v>0</v>
          </cell>
          <cell r="AZ49">
            <v>2.0600000000000002E-3</v>
          </cell>
          <cell r="BB49">
            <v>-1.6000000000000001E-4</v>
          </cell>
          <cell r="BC49">
            <v>1.0300000000000001E-3</v>
          </cell>
          <cell r="BD49">
            <v>1E-4</v>
          </cell>
          <cell r="BE49">
            <v>5.5900000000000004E-3</v>
          </cell>
          <cell r="BF49">
            <v>0.24073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-3.0000000000000001E-5</v>
          </cell>
          <cell r="Q50">
            <v>0</v>
          </cell>
          <cell r="R50">
            <v>2.0699999999999998E-3</v>
          </cell>
          <cell r="S50">
            <v>3.5E-4</v>
          </cell>
          <cell r="T50">
            <v>1.0000000000000001E-5</v>
          </cell>
          <cell r="U50">
            <v>5.0099999999999997E-3</v>
          </cell>
          <cell r="V50">
            <v>0.24073</v>
          </cell>
          <cell r="AW50">
            <v>0</v>
          </cell>
          <cell r="AX50">
            <v>0</v>
          </cell>
          <cell r="AY50">
            <v>0</v>
          </cell>
          <cell r="AZ50">
            <v>1.8400000000000001E-3</v>
          </cell>
          <cell r="BB50">
            <v>-1.4999999999999999E-4</v>
          </cell>
          <cell r="BC50">
            <v>1.0300000000000001E-3</v>
          </cell>
          <cell r="BD50">
            <v>1E-4</v>
          </cell>
          <cell r="BE50">
            <v>5.0099999999999997E-3</v>
          </cell>
          <cell r="BF50">
            <v>0.24073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-2.0000000000000002E-5</v>
          </cell>
          <cell r="Q51">
            <v>0</v>
          </cell>
          <cell r="R51">
            <v>1.5900000000000001E-3</v>
          </cell>
          <cell r="S51">
            <v>3.5E-4</v>
          </cell>
          <cell r="T51">
            <v>1.0000000000000001E-5</v>
          </cell>
          <cell r="U51">
            <v>3.8400000000000001E-3</v>
          </cell>
          <cell r="V51">
            <v>0.24073</v>
          </cell>
          <cell r="AW51">
            <v>0</v>
          </cell>
          <cell r="AX51">
            <v>0</v>
          </cell>
          <cell r="AY51">
            <v>0</v>
          </cell>
          <cell r="AZ51">
            <v>1.41E-3</v>
          </cell>
          <cell r="BB51">
            <v>-1.1E-4</v>
          </cell>
          <cell r="BC51">
            <v>1.0300000000000001E-3</v>
          </cell>
          <cell r="BD51">
            <v>9.0000000000000006E-5</v>
          </cell>
          <cell r="BE51">
            <v>3.8400000000000001E-3</v>
          </cell>
          <cell r="BF51">
            <v>0.24073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-2.0000000000000002E-5</v>
          </cell>
          <cell r="Q52">
            <v>0</v>
          </cell>
          <cell r="R52">
            <v>1.2700000000000001E-3</v>
          </cell>
          <cell r="S52">
            <v>3.5E-4</v>
          </cell>
          <cell r="T52">
            <v>1.0000000000000001E-5</v>
          </cell>
          <cell r="U52">
            <v>3.0699999999999998E-3</v>
          </cell>
          <cell r="V52">
            <v>0.24073</v>
          </cell>
          <cell r="AW52">
            <v>0</v>
          </cell>
          <cell r="AX52">
            <v>0</v>
          </cell>
          <cell r="AY52">
            <v>0</v>
          </cell>
          <cell r="AZ52">
            <v>1.1299999999999999E-3</v>
          </cell>
          <cell r="BB52">
            <v>-9.0000000000000006E-5</v>
          </cell>
          <cell r="BC52">
            <v>1.0300000000000001E-3</v>
          </cell>
          <cell r="BD52">
            <v>9.0000000000000006E-5</v>
          </cell>
          <cell r="BE52">
            <v>3.0699999999999998E-3</v>
          </cell>
          <cell r="BF52">
            <v>0.24073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-1.0000000000000001E-5</v>
          </cell>
          <cell r="Q53">
            <v>0</v>
          </cell>
          <cell r="R53">
            <v>8.4999999999999995E-4</v>
          </cell>
          <cell r="S53">
            <v>3.5E-4</v>
          </cell>
          <cell r="T53">
            <v>1.0000000000000001E-5</v>
          </cell>
          <cell r="U53">
            <v>2.0500000000000002E-3</v>
          </cell>
          <cell r="V53">
            <v>0.24073</v>
          </cell>
          <cell r="AW53">
            <v>0</v>
          </cell>
          <cell r="AX53">
            <v>0</v>
          </cell>
          <cell r="AY53">
            <v>0</v>
          </cell>
          <cell r="AZ53">
            <v>7.5000000000000002E-4</v>
          </cell>
          <cell r="BB53">
            <v>-6.0000000000000002E-5</v>
          </cell>
          <cell r="BC53">
            <v>1.0300000000000001E-3</v>
          </cell>
          <cell r="BD53">
            <v>9.0000000000000006E-5</v>
          </cell>
          <cell r="BE53">
            <v>2.0500000000000002E-3</v>
          </cell>
          <cell r="BF53">
            <v>0.24073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3.2000000000000003E-4</v>
          </cell>
          <cell r="S54">
            <v>3.5E-4</v>
          </cell>
          <cell r="T54">
            <v>1.0000000000000001E-5</v>
          </cell>
          <cell r="U54">
            <v>7.6999999999999996E-4</v>
          </cell>
          <cell r="V54">
            <v>0.24073</v>
          </cell>
          <cell r="AW54">
            <v>0</v>
          </cell>
          <cell r="AX54">
            <v>0</v>
          </cell>
          <cell r="AY54">
            <v>0</v>
          </cell>
          <cell r="AZ54">
            <v>2.7999999999999998E-4</v>
          </cell>
          <cell r="BB54">
            <v>-2.0000000000000002E-5</v>
          </cell>
          <cell r="BC54">
            <v>1.0300000000000001E-3</v>
          </cell>
          <cell r="BD54">
            <v>8.0000000000000007E-5</v>
          </cell>
          <cell r="BE54">
            <v>7.6999999999999996E-4</v>
          </cell>
          <cell r="BF54">
            <v>0.24073</v>
          </cell>
        </row>
        <row r="55">
          <cell r="J55">
            <v>-1.2729999999999991E-2</v>
          </cell>
          <cell r="K55">
            <v>1.9529999999999999E-2</v>
          </cell>
          <cell r="L55">
            <v>-2.4000000000000001E-4</v>
          </cell>
          <cell r="M55">
            <v>0</v>
          </cell>
          <cell r="N55">
            <v>2.7200000000000002E-3</v>
          </cell>
          <cell r="O55">
            <v>4.4000000000000002E-4</v>
          </cell>
          <cell r="P55">
            <v>-3.0000000000000001E-5</v>
          </cell>
          <cell r="Q55">
            <v>0</v>
          </cell>
          <cell r="R55">
            <v>2.5200000000000001E-3</v>
          </cell>
          <cell r="S55">
            <v>0</v>
          </cell>
          <cell r="T55">
            <v>1.0000000000000001E-5</v>
          </cell>
          <cell r="U55">
            <v>6.4200000000000004E-3</v>
          </cell>
          <cell r="V55">
            <v>0.24073</v>
          </cell>
          <cell r="AW55">
            <v>0</v>
          </cell>
          <cell r="AX55">
            <v>1.8700000000000001E-2</v>
          </cell>
          <cell r="AY55">
            <v>3.4000000000000002E-3</v>
          </cell>
          <cell r="AZ55">
            <v>2.3600000000000001E-3</v>
          </cell>
          <cell r="BB55">
            <v>-1.9000000000000001E-4</v>
          </cell>
          <cell r="BC55">
            <v>0</v>
          </cell>
          <cell r="BD55">
            <v>1.8000000000000001E-4</v>
          </cell>
          <cell r="BE55">
            <v>6.4200000000000004E-3</v>
          </cell>
          <cell r="BF55">
            <v>0.24073</v>
          </cell>
        </row>
        <row r="56">
          <cell r="J56">
            <v>-1.2729999999999991E-2</v>
          </cell>
          <cell r="K56">
            <v>1.7479999999999999E-2</v>
          </cell>
          <cell r="L56">
            <v>-2.2000000000000001E-4</v>
          </cell>
          <cell r="M56">
            <v>0</v>
          </cell>
          <cell r="N56">
            <v>2.4399999999999999E-3</v>
          </cell>
          <cell r="O56">
            <v>3.8999999999999999E-4</v>
          </cell>
          <cell r="P56">
            <v>-3.0000000000000001E-5</v>
          </cell>
          <cell r="Q56">
            <v>0</v>
          </cell>
          <cell r="R56">
            <v>2.2599999999999999E-3</v>
          </cell>
          <cell r="S56">
            <v>0</v>
          </cell>
          <cell r="T56">
            <v>1.0000000000000001E-5</v>
          </cell>
          <cell r="U56">
            <v>5.7499999999999999E-3</v>
          </cell>
          <cell r="V56">
            <v>0.24073</v>
          </cell>
          <cell r="AW56">
            <v>0</v>
          </cell>
          <cell r="AX56">
            <v>1.6740000000000001E-2</v>
          </cell>
          <cell r="AY56">
            <v>3.0400000000000002E-3</v>
          </cell>
          <cell r="AZ56">
            <v>2.1199999999999999E-3</v>
          </cell>
          <cell r="BB56">
            <v>-1.7000000000000001E-4</v>
          </cell>
          <cell r="BC56">
            <v>0</v>
          </cell>
          <cell r="BD56">
            <v>1.8000000000000001E-4</v>
          </cell>
          <cell r="BE56">
            <v>5.7499999999999999E-3</v>
          </cell>
          <cell r="BF56">
            <v>0.24073</v>
          </cell>
        </row>
        <row r="57">
          <cell r="J57">
            <v>-1.2729999999999991E-2</v>
          </cell>
          <cell r="K57">
            <v>1.34E-2</v>
          </cell>
          <cell r="L57">
            <v>-1.7000000000000001E-4</v>
          </cell>
          <cell r="M57">
            <v>0</v>
          </cell>
          <cell r="N57">
            <v>1.8699999999999999E-3</v>
          </cell>
          <cell r="O57">
            <v>2.9999999999999997E-4</v>
          </cell>
          <cell r="P57">
            <v>-2.0000000000000002E-5</v>
          </cell>
          <cell r="Q57">
            <v>0</v>
          </cell>
          <cell r="R57">
            <v>1.73E-3</v>
          </cell>
          <cell r="S57">
            <v>0</v>
          </cell>
          <cell r="T57">
            <v>1.0000000000000001E-5</v>
          </cell>
          <cell r="U57">
            <v>4.4099999999999999E-3</v>
          </cell>
          <cell r="V57">
            <v>0.24073</v>
          </cell>
          <cell r="AW57">
            <v>0</v>
          </cell>
          <cell r="AX57">
            <v>1.2840000000000001E-2</v>
          </cell>
          <cell r="AY57">
            <v>2.33E-3</v>
          </cell>
          <cell r="AZ57">
            <v>1.6199999999999999E-3</v>
          </cell>
          <cell r="BB57">
            <v>-1.2999999999999999E-4</v>
          </cell>
          <cell r="BC57">
            <v>0</v>
          </cell>
          <cell r="BD57">
            <v>1.7000000000000001E-4</v>
          </cell>
          <cell r="BE57">
            <v>4.4099999999999999E-3</v>
          </cell>
          <cell r="BF57">
            <v>0.24073</v>
          </cell>
        </row>
        <row r="58">
          <cell r="J58">
            <v>-1.2729999999999991E-2</v>
          </cell>
          <cell r="K58">
            <v>1.072E-2</v>
          </cell>
          <cell r="L58">
            <v>-1.2999999999999999E-4</v>
          </cell>
          <cell r="M58">
            <v>0</v>
          </cell>
          <cell r="N58">
            <v>1.49E-3</v>
          </cell>
          <cell r="O58">
            <v>2.4000000000000001E-4</v>
          </cell>
          <cell r="P58">
            <v>-2.0000000000000002E-5</v>
          </cell>
          <cell r="Q58">
            <v>0</v>
          </cell>
          <cell r="R58">
            <v>1.3799999999999999E-3</v>
          </cell>
          <cell r="S58">
            <v>0</v>
          </cell>
          <cell r="T58">
            <v>1.0000000000000001E-5</v>
          </cell>
          <cell r="U58">
            <v>3.5300000000000002E-3</v>
          </cell>
          <cell r="V58">
            <v>0.24073</v>
          </cell>
          <cell r="AW58">
            <v>0</v>
          </cell>
          <cell r="AX58">
            <v>1.026E-2</v>
          </cell>
          <cell r="AY58">
            <v>1.8699999999999999E-3</v>
          </cell>
          <cell r="AZ58">
            <v>1.2999999999999999E-3</v>
          </cell>
          <cell r="BB58">
            <v>-1E-4</v>
          </cell>
          <cell r="BC58">
            <v>0</v>
          </cell>
          <cell r="BD58">
            <v>1.7000000000000001E-4</v>
          </cell>
          <cell r="BE58">
            <v>3.5300000000000002E-3</v>
          </cell>
          <cell r="BF58">
            <v>0.24073</v>
          </cell>
        </row>
        <row r="59">
          <cell r="J59">
            <v>-1.2729999999999991E-2</v>
          </cell>
          <cell r="K59">
            <v>7.1500000000000001E-3</v>
          </cell>
          <cell r="L59">
            <v>-9.0000000000000006E-5</v>
          </cell>
          <cell r="M59">
            <v>0</v>
          </cell>
          <cell r="N59">
            <v>1E-3</v>
          </cell>
          <cell r="O59">
            <v>1.6000000000000001E-4</v>
          </cell>
          <cell r="P59">
            <v>-1.0000000000000001E-5</v>
          </cell>
          <cell r="Q59">
            <v>0</v>
          </cell>
          <cell r="R59">
            <v>9.2000000000000003E-4</v>
          </cell>
          <cell r="S59">
            <v>0</v>
          </cell>
          <cell r="T59">
            <v>1.0000000000000001E-5</v>
          </cell>
          <cell r="U59">
            <v>2.3500000000000001E-3</v>
          </cell>
          <cell r="V59">
            <v>0.24073</v>
          </cell>
          <cell r="AW59">
            <v>0</v>
          </cell>
          <cell r="AX59">
            <v>6.8499999999999993E-3</v>
          </cell>
          <cell r="AY59">
            <v>1.25E-3</v>
          </cell>
          <cell r="AZ59">
            <v>8.7000000000000001E-4</v>
          </cell>
          <cell r="BB59">
            <v>-6.9999999999999994E-5</v>
          </cell>
          <cell r="BC59">
            <v>0</v>
          </cell>
          <cell r="BD59">
            <v>1.6000000000000001E-4</v>
          </cell>
          <cell r="BE59">
            <v>2.3500000000000001E-3</v>
          </cell>
          <cell r="BF59">
            <v>0.24073</v>
          </cell>
        </row>
        <row r="60">
          <cell r="J60">
            <v>-1.2729999999999991E-2</v>
          </cell>
          <cell r="K60">
            <v>2.6800000000000001E-3</v>
          </cell>
          <cell r="L60">
            <v>-3.0000000000000001E-5</v>
          </cell>
          <cell r="M60">
            <v>0</v>
          </cell>
          <cell r="N60">
            <v>3.6999999999999999E-4</v>
          </cell>
          <cell r="O60">
            <v>6.0000000000000002E-5</v>
          </cell>
          <cell r="P60">
            <v>0</v>
          </cell>
          <cell r="Q60">
            <v>0</v>
          </cell>
          <cell r="R60">
            <v>3.5E-4</v>
          </cell>
          <cell r="S60">
            <v>0</v>
          </cell>
          <cell r="T60">
            <v>1.0000000000000001E-5</v>
          </cell>
          <cell r="U60">
            <v>8.8000000000000003E-4</v>
          </cell>
          <cell r="V60">
            <v>0.24073</v>
          </cell>
          <cell r="AW60">
            <v>0</v>
          </cell>
          <cell r="AX60">
            <v>2.5600000000000002E-3</v>
          </cell>
          <cell r="AY60">
            <v>4.6000000000000001E-4</v>
          </cell>
          <cell r="AZ60">
            <v>3.2000000000000003E-4</v>
          </cell>
          <cell r="BB60">
            <v>-3.0000000000000001E-5</v>
          </cell>
          <cell r="BC60">
            <v>0</v>
          </cell>
          <cell r="BD60">
            <v>1.4999999999999999E-4</v>
          </cell>
          <cell r="BE60">
            <v>8.8000000000000003E-4</v>
          </cell>
          <cell r="BF60">
            <v>0.24073</v>
          </cell>
        </row>
        <row r="61">
          <cell r="J61">
            <v>-1.2729999999999991E-2</v>
          </cell>
          <cell r="K61">
            <v>0</v>
          </cell>
          <cell r="L61">
            <v>0</v>
          </cell>
          <cell r="M61">
            <v>0</v>
          </cell>
          <cell r="N61">
            <v>3.1900000000000001E-3</v>
          </cell>
          <cell r="O61">
            <v>5.1999999999999995E-4</v>
          </cell>
          <cell r="P61">
            <v>-4.0000000000000003E-5</v>
          </cell>
          <cell r="Q61">
            <v>0</v>
          </cell>
          <cell r="R61">
            <v>2.96E-3</v>
          </cell>
          <cell r="S61">
            <v>3.5E-4</v>
          </cell>
          <cell r="T61">
            <v>1.0000000000000001E-5</v>
          </cell>
          <cell r="U61">
            <v>7.6400000000000001E-3</v>
          </cell>
          <cell r="V61">
            <v>0.24073</v>
          </cell>
          <cell r="AW61">
            <v>0</v>
          </cell>
          <cell r="AX61">
            <v>0</v>
          </cell>
          <cell r="AY61">
            <v>4.0400000000000002E-3</v>
          </cell>
          <cell r="AZ61">
            <v>2.81E-3</v>
          </cell>
          <cell r="BB61">
            <v>-2.2000000000000001E-4</v>
          </cell>
          <cell r="BC61">
            <v>1.0300000000000001E-3</v>
          </cell>
          <cell r="BD61">
            <v>6.9999999999999994E-5</v>
          </cell>
          <cell r="BE61">
            <v>7.6400000000000001E-3</v>
          </cell>
          <cell r="BF61">
            <v>0.24073</v>
          </cell>
        </row>
        <row r="62">
          <cell r="J62">
            <v>-1.2729999999999991E-2</v>
          </cell>
          <cell r="K62">
            <v>0</v>
          </cell>
          <cell r="L62">
            <v>0</v>
          </cell>
          <cell r="M62">
            <v>0</v>
          </cell>
          <cell r="N62">
            <v>2.8600000000000001E-3</v>
          </cell>
          <cell r="O62">
            <v>4.6000000000000001E-4</v>
          </cell>
          <cell r="P62">
            <v>-3.0000000000000001E-5</v>
          </cell>
          <cell r="Q62">
            <v>0</v>
          </cell>
          <cell r="R62">
            <v>2.65E-3</v>
          </cell>
          <cell r="S62">
            <v>3.5E-4</v>
          </cell>
          <cell r="T62">
            <v>0</v>
          </cell>
          <cell r="U62">
            <v>6.8300000000000001E-3</v>
          </cell>
          <cell r="V62">
            <v>0.24073</v>
          </cell>
          <cell r="AW62">
            <v>0</v>
          </cell>
          <cell r="AX62">
            <v>0</v>
          </cell>
          <cell r="AY62">
            <v>3.62E-3</v>
          </cell>
          <cell r="AZ62">
            <v>2.5200000000000001E-3</v>
          </cell>
          <cell r="BB62">
            <v>-2.0000000000000001E-4</v>
          </cell>
          <cell r="BC62">
            <v>1.0300000000000001E-3</v>
          </cell>
          <cell r="BD62">
            <v>6.9999999999999994E-5</v>
          </cell>
          <cell r="BE62">
            <v>6.8300000000000001E-3</v>
          </cell>
          <cell r="BF62">
            <v>0.24073</v>
          </cell>
        </row>
        <row r="63">
          <cell r="J63">
            <v>-1.2729999999999991E-2</v>
          </cell>
          <cell r="K63">
            <v>0</v>
          </cell>
          <cell r="L63">
            <v>0</v>
          </cell>
          <cell r="M63">
            <v>0</v>
          </cell>
          <cell r="N63">
            <v>2.1900000000000001E-3</v>
          </cell>
          <cell r="O63">
            <v>3.5E-4</v>
          </cell>
          <cell r="P63">
            <v>-2.0000000000000002E-5</v>
          </cell>
          <cell r="Q63">
            <v>0</v>
          </cell>
          <cell r="R63">
            <v>2.0300000000000001E-3</v>
          </cell>
          <cell r="S63">
            <v>3.5E-4</v>
          </cell>
          <cell r="T63">
            <v>0</v>
          </cell>
          <cell r="U63">
            <v>5.2399999999999999E-3</v>
          </cell>
          <cell r="V63">
            <v>0.24073</v>
          </cell>
          <cell r="AW63">
            <v>0</v>
          </cell>
          <cell r="AX63">
            <v>0</v>
          </cell>
          <cell r="AY63">
            <v>2.7799999999999999E-3</v>
          </cell>
          <cell r="AZ63">
            <v>1.9300000000000001E-3</v>
          </cell>
          <cell r="BB63">
            <v>-1.4999999999999999E-4</v>
          </cell>
          <cell r="BC63">
            <v>1.0300000000000001E-3</v>
          </cell>
          <cell r="BD63">
            <v>6.9999999999999994E-5</v>
          </cell>
          <cell r="BE63">
            <v>5.2399999999999999E-3</v>
          </cell>
          <cell r="BF63">
            <v>0.24073</v>
          </cell>
        </row>
        <row r="64">
          <cell r="J64">
            <v>-1.2729999999999991E-2</v>
          </cell>
          <cell r="K64">
            <v>0</v>
          </cell>
          <cell r="L64">
            <v>0</v>
          </cell>
          <cell r="M64">
            <v>0</v>
          </cell>
          <cell r="N64">
            <v>1.75E-3</v>
          </cell>
          <cell r="O64">
            <v>2.7999999999999998E-4</v>
          </cell>
          <cell r="P64">
            <v>-2.0000000000000002E-5</v>
          </cell>
          <cell r="Q64">
            <v>0</v>
          </cell>
          <cell r="R64">
            <v>1.6299999999999999E-3</v>
          </cell>
          <cell r="S64">
            <v>3.5E-4</v>
          </cell>
          <cell r="T64">
            <v>0</v>
          </cell>
          <cell r="U64">
            <v>4.1900000000000001E-3</v>
          </cell>
          <cell r="V64">
            <v>0.24073</v>
          </cell>
          <cell r="AW64">
            <v>0</v>
          </cell>
          <cell r="AX64">
            <v>0</v>
          </cell>
          <cell r="AY64">
            <v>2.2199999999999998E-3</v>
          </cell>
          <cell r="AZ64">
            <v>1.5399999999999999E-3</v>
          </cell>
          <cell r="BB64">
            <v>-1.2E-4</v>
          </cell>
          <cell r="BC64">
            <v>1.0300000000000001E-3</v>
          </cell>
          <cell r="BD64">
            <v>6.9999999999999994E-5</v>
          </cell>
          <cell r="BE64">
            <v>4.1900000000000001E-3</v>
          </cell>
          <cell r="BF64">
            <v>0.24073</v>
          </cell>
        </row>
        <row r="65">
          <cell r="J65">
            <v>-1.2729999999999991E-2</v>
          </cell>
          <cell r="K65">
            <v>0</v>
          </cell>
          <cell r="L65">
            <v>0</v>
          </cell>
          <cell r="M65">
            <v>0</v>
          </cell>
          <cell r="N65">
            <v>1.17E-3</v>
          </cell>
          <cell r="O65">
            <v>1.9000000000000001E-4</v>
          </cell>
          <cell r="P65">
            <v>-1.0000000000000001E-5</v>
          </cell>
          <cell r="Q65">
            <v>0</v>
          </cell>
          <cell r="R65">
            <v>1.08E-3</v>
          </cell>
          <cell r="S65">
            <v>3.5E-4</v>
          </cell>
          <cell r="T65">
            <v>0</v>
          </cell>
          <cell r="U65">
            <v>2.7899999999999999E-3</v>
          </cell>
          <cell r="V65">
            <v>0.24073</v>
          </cell>
          <cell r="AW65">
            <v>0</v>
          </cell>
          <cell r="AX65">
            <v>0</v>
          </cell>
          <cell r="AY65">
            <v>1.47E-3</v>
          </cell>
          <cell r="AZ65">
            <v>1.0300000000000001E-3</v>
          </cell>
          <cell r="BB65">
            <v>-8.0000000000000007E-5</v>
          </cell>
          <cell r="BC65">
            <v>1.0300000000000001E-3</v>
          </cell>
          <cell r="BD65">
            <v>6.9999999999999994E-5</v>
          </cell>
          <cell r="BE65">
            <v>2.7899999999999999E-3</v>
          </cell>
          <cell r="BF65">
            <v>0.24073</v>
          </cell>
        </row>
        <row r="66">
          <cell r="J66">
            <v>-1.2729999999999991E-2</v>
          </cell>
          <cell r="K66">
            <v>0</v>
          </cell>
          <cell r="L66">
            <v>0</v>
          </cell>
          <cell r="M66">
            <v>0</v>
          </cell>
          <cell r="N66">
            <v>4.4000000000000002E-4</v>
          </cell>
          <cell r="O66">
            <v>6.9999999999999994E-5</v>
          </cell>
          <cell r="P66">
            <v>0</v>
          </cell>
          <cell r="Q66">
            <v>0</v>
          </cell>
          <cell r="R66">
            <v>4.0999999999999999E-4</v>
          </cell>
          <cell r="S66">
            <v>3.5E-4</v>
          </cell>
          <cell r="T66">
            <v>0</v>
          </cell>
          <cell r="U66">
            <v>1.0499999999999999E-3</v>
          </cell>
          <cell r="V66">
            <v>0.24073</v>
          </cell>
          <cell r="AW66">
            <v>0</v>
          </cell>
          <cell r="AX66">
            <v>0</v>
          </cell>
          <cell r="AY66">
            <v>5.5999999999999995E-4</v>
          </cell>
          <cell r="AZ66">
            <v>3.8999999999999999E-4</v>
          </cell>
          <cell r="BB66">
            <v>-3.0000000000000001E-5</v>
          </cell>
          <cell r="BC66">
            <v>1.0300000000000001E-3</v>
          </cell>
          <cell r="BD66">
            <v>6.0000000000000002E-5</v>
          </cell>
          <cell r="BE66">
            <v>1.0499999999999999E-3</v>
          </cell>
          <cell r="BF66">
            <v>0.24073</v>
          </cell>
        </row>
        <row r="67"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-3.0000000000000001E-5</v>
          </cell>
          <cell r="Q67">
            <v>0</v>
          </cell>
          <cell r="R67">
            <v>2.1299999999999999E-3</v>
          </cell>
          <cell r="S67">
            <v>3.5E-4</v>
          </cell>
          <cell r="T67">
            <v>0</v>
          </cell>
          <cell r="U67">
            <v>5.4599999999999996E-3</v>
          </cell>
          <cell r="V67">
            <v>0.24073</v>
          </cell>
          <cell r="AW67">
            <v>0</v>
          </cell>
          <cell r="AX67">
            <v>0</v>
          </cell>
          <cell r="AY67">
            <v>0</v>
          </cell>
          <cell r="AZ67">
            <v>2.0100000000000001E-3</v>
          </cell>
          <cell r="BB67">
            <v>-1.6000000000000001E-4</v>
          </cell>
          <cell r="BC67">
            <v>1.0300000000000001E-3</v>
          </cell>
          <cell r="BD67">
            <v>0</v>
          </cell>
          <cell r="BE67">
            <v>5.4599999999999996E-3</v>
          </cell>
          <cell r="BF67">
            <v>0.24073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-2.0000000000000002E-5</v>
          </cell>
          <cell r="Q68">
            <v>0</v>
          </cell>
          <cell r="R68">
            <v>1.91E-3</v>
          </cell>
          <cell r="S68">
            <v>3.5E-4</v>
          </cell>
          <cell r="T68">
            <v>0</v>
          </cell>
          <cell r="U68">
            <v>4.8900000000000002E-3</v>
          </cell>
          <cell r="V68">
            <v>0.24073</v>
          </cell>
          <cell r="AW68">
            <v>0</v>
          </cell>
          <cell r="AX68">
            <v>0</v>
          </cell>
          <cell r="AY68">
            <v>0</v>
          </cell>
          <cell r="AZ68">
            <v>1.8E-3</v>
          </cell>
          <cell r="BB68">
            <v>-1.3999999999999999E-4</v>
          </cell>
          <cell r="BC68">
            <v>1.0300000000000001E-3</v>
          </cell>
          <cell r="BD68">
            <v>0</v>
          </cell>
          <cell r="BE68">
            <v>4.8900000000000002E-3</v>
          </cell>
          <cell r="BF68">
            <v>0.24073</v>
          </cell>
        </row>
        <row r="69"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-2.0000000000000002E-5</v>
          </cell>
          <cell r="Q69">
            <v>0</v>
          </cell>
          <cell r="R69">
            <v>1.4599999999999999E-3</v>
          </cell>
          <cell r="S69">
            <v>3.5E-4</v>
          </cell>
          <cell r="T69">
            <v>0</v>
          </cell>
          <cell r="U69">
            <v>3.7499999999999999E-3</v>
          </cell>
          <cell r="V69">
            <v>0.24073</v>
          </cell>
          <cell r="AW69">
            <v>0</v>
          </cell>
          <cell r="AX69">
            <v>0</v>
          </cell>
          <cell r="AY69">
            <v>0</v>
          </cell>
          <cell r="AZ69">
            <v>1.3799999999999999E-3</v>
          </cell>
          <cell r="BB69">
            <v>-1.1E-4</v>
          </cell>
          <cell r="BC69">
            <v>1.0300000000000001E-3</v>
          </cell>
          <cell r="BD69">
            <v>0</v>
          </cell>
          <cell r="BE69">
            <v>3.7499999999999999E-3</v>
          </cell>
          <cell r="BF69">
            <v>0.24073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-1.0000000000000001E-5</v>
          </cell>
          <cell r="Q70">
            <v>0</v>
          </cell>
          <cell r="R70">
            <v>1.17E-3</v>
          </cell>
          <cell r="S70">
            <v>3.5E-4</v>
          </cell>
          <cell r="T70">
            <v>0</v>
          </cell>
          <cell r="U70">
            <v>3.0000000000000001E-3</v>
          </cell>
          <cell r="V70">
            <v>0.24073</v>
          </cell>
          <cell r="AW70">
            <v>0</v>
          </cell>
          <cell r="AX70">
            <v>0</v>
          </cell>
          <cell r="AY70">
            <v>0</v>
          </cell>
          <cell r="AZ70">
            <v>1.1100000000000001E-3</v>
          </cell>
          <cell r="BB70">
            <v>-9.0000000000000006E-5</v>
          </cell>
          <cell r="BC70">
            <v>1.0300000000000001E-3</v>
          </cell>
          <cell r="BD70">
            <v>0</v>
          </cell>
          <cell r="BE70">
            <v>3.0000000000000001E-3</v>
          </cell>
          <cell r="BF70">
            <v>0.24073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-1.0000000000000001E-5</v>
          </cell>
          <cell r="Q71">
            <v>0</v>
          </cell>
          <cell r="R71">
            <v>7.7999999999999999E-4</v>
          </cell>
          <cell r="S71">
            <v>3.5E-4</v>
          </cell>
          <cell r="T71">
            <v>0</v>
          </cell>
          <cell r="U71">
            <v>2E-3</v>
          </cell>
          <cell r="V71">
            <v>0.24073</v>
          </cell>
          <cell r="AW71">
            <v>0</v>
          </cell>
          <cell r="AX71">
            <v>0</v>
          </cell>
          <cell r="AY71">
            <v>0</v>
          </cell>
          <cell r="AZ71">
            <v>7.3999999999999999E-4</v>
          </cell>
          <cell r="BB71">
            <v>-6.0000000000000002E-5</v>
          </cell>
          <cell r="BC71">
            <v>1.0300000000000001E-3</v>
          </cell>
          <cell r="BD71">
            <v>0</v>
          </cell>
          <cell r="BE71">
            <v>2E-3</v>
          </cell>
          <cell r="BF71">
            <v>0.24073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2.9E-4</v>
          </cell>
          <cell r="S72">
            <v>3.5E-4</v>
          </cell>
          <cell r="T72">
            <v>0</v>
          </cell>
          <cell r="U72">
            <v>7.5000000000000002E-4</v>
          </cell>
          <cell r="V72">
            <v>0.24073</v>
          </cell>
          <cell r="AW72">
            <v>0</v>
          </cell>
          <cell r="AX72">
            <v>0</v>
          </cell>
          <cell r="AY72">
            <v>0</v>
          </cell>
          <cell r="AZ72">
            <v>2.7999999999999998E-4</v>
          </cell>
          <cell r="BB72">
            <v>-2.0000000000000002E-5</v>
          </cell>
          <cell r="BC72">
            <v>1.0300000000000001E-3</v>
          </cell>
          <cell r="BD72">
            <v>0</v>
          </cell>
          <cell r="BE72">
            <v>7.5000000000000002E-4</v>
          </cell>
          <cell r="BF72">
            <v>0.24073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-3.0000000000000001E-5</v>
          </cell>
          <cell r="Q73">
            <v>0</v>
          </cell>
          <cell r="R73">
            <v>2.1099999999999999E-3</v>
          </cell>
          <cell r="S73">
            <v>3.5E-4</v>
          </cell>
          <cell r="T73">
            <v>1.0000000000000001E-5</v>
          </cell>
          <cell r="U73">
            <v>5.4599999999999996E-3</v>
          </cell>
          <cell r="V73">
            <v>0.24073</v>
          </cell>
          <cell r="AW73">
            <v>0</v>
          </cell>
          <cell r="AX73">
            <v>0</v>
          </cell>
          <cell r="AY73">
            <v>0</v>
          </cell>
          <cell r="AZ73">
            <v>2.0100000000000001E-3</v>
          </cell>
          <cell r="BB73">
            <v>-1.6000000000000001E-4</v>
          </cell>
          <cell r="BC73">
            <v>1.0300000000000001E-3</v>
          </cell>
          <cell r="BD73">
            <v>1E-4</v>
          </cell>
          <cell r="BE73">
            <v>5.4599999999999996E-3</v>
          </cell>
          <cell r="BF73">
            <v>0.24073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-2.0000000000000002E-5</v>
          </cell>
          <cell r="Q74">
            <v>0</v>
          </cell>
          <cell r="R74">
            <v>1.89E-3</v>
          </cell>
          <cell r="S74">
            <v>3.5E-4</v>
          </cell>
          <cell r="T74">
            <v>1.0000000000000001E-5</v>
          </cell>
          <cell r="U74">
            <v>4.8900000000000002E-3</v>
          </cell>
          <cell r="V74">
            <v>0.24073</v>
          </cell>
          <cell r="AW74">
            <v>0</v>
          </cell>
          <cell r="AX74">
            <v>0</v>
          </cell>
          <cell r="AY74">
            <v>0</v>
          </cell>
          <cell r="AZ74">
            <v>1.8E-3</v>
          </cell>
          <cell r="BB74">
            <v>-1.3999999999999999E-4</v>
          </cell>
          <cell r="BC74">
            <v>1.0300000000000001E-3</v>
          </cell>
          <cell r="BD74">
            <v>1E-4</v>
          </cell>
          <cell r="BE74">
            <v>4.8900000000000002E-3</v>
          </cell>
          <cell r="BF74">
            <v>0.24073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-2.0000000000000002E-5</v>
          </cell>
          <cell r="Q75">
            <v>0</v>
          </cell>
          <cell r="R75">
            <v>1.4499999999999999E-3</v>
          </cell>
          <cell r="S75">
            <v>3.5E-4</v>
          </cell>
          <cell r="T75">
            <v>1.0000000000000001E-5</v>
          </cell>
          <cell r="U75">
            <v>3.7499999999999999E-3</v>
          </cell>
          <cell r="V75">
            <v>0.24073</v>
          </cell>
          <cell r="AW75">
            <v>0</v>
          </cell>
          <cell r="AX75">
            <v>0</v>
          </cell>
          <cell r="AY75">
            <v>0</v>
          </cell>
          <cell r="AZ75">
            <v>1.3799999999999999E-3</v>
          </cell>
          <cell r="BB75">
            <v>-1.1E-4</v>
          </cell>
          <cell r="BC75">
            <v>1.0300000000000001E-3</v>
          </cell>
          <cell r="BD75">
            <v>9.0000000000000006E-5</v>
          </cell>
          <cell r="BE75">
            <v>3.7499999999999999E-3</v>
          </cell>
          <cell r="BF75">
            <v>0.24073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-1.0000000000000001E-5</v>
          </cell>
          <cell r="Q76">
            <v>0</v>
          </cell>
          <cell r="R76">
            <v>1.16E-3</v>
          </cell>
          <cell r="S76">
            <v>3.5E-4</v>
          </cell>
          <cell r="T76">
            <v>1.0000000000000001E-5</v>
          </cell>
          <cell r="U76">
            <v>3.0000000000000001E-3</v>
          </cell>
          <cell r="V76">
            <v>0.24073</v>
          </cell>
          <cell r="AW76">
            <v>0</v>
          </cell>
          <cell r="AX76">
            <v>0</v>
          </cell>
          <cell r="AY76">
            <v>0</v>
          </cell>
          <cell r="AZ76">
            <v>1.1000000000000001E-3</v>
          </cell>
          <cell r="BB76">
            <v>-9.0000000000000006E-5</v>
          </cell>
          <cell r="BC76">
            <v>1.0300000000000001E-3</v>
          </cell>
          <cell r="BD76">
            <v>9.0000000000000006E-5</v>
          </cell>
          <cell r="BE76">
            <v>3.0000000000000001E-3</v>
          </cell>
          <cell r="BF76">
            <v>0.24073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-1.0000000000000001E-5</v>
          </cell>
          <cell r="Q77">
            <v>0</v>
          </cell>
          <cell r="R77">
            <v>7.6999999999999996E-4</v>
          </cell>
          <cell r="S77">
            <v>3.5E-4</v>
          </cell>
          <cell r="T77">
            <v>1.0000000000000001E-5</v>
          </cell>
          <cell r="U77">
            <v>2E-3</v>
          </cell>
          <cell r="V77">
            <v>0.24073</v>
          </cell>
          <cell r="AW77">
            <v>0</v>
          </cell>
          <cell r="AX77">
            <v>0</v>
          </cell>
          <cell r="AY77">
            <v>0</v>
          </cell>
          <cell r="AZ77">
            <v>7.3999999999999999E-4</v>
          </cell>
          <cell r="BB77">
            <v>-6.0000000000000002E-5</v>
          </cell>
          <cell r="BC77">
            <v>1.0300000000000001E-3</v>
          </cell>
          <cell r="BD77">
            <v>8.0000000000000007E-5</v>
          </cell>
          <cell r="BE77">
            <v>2E-3</v>
          </cell>
          <cell r="BF77">
            <v>0.24073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2.9E-4</v>
          </cell>
          <cell r="S78">
            <v>3.5E-4</v>
          </cell>
          <cell r="T78">
            <v>0</v>
          </cell>
          <cell r="U78">
            <v>7.5000000000000002E-4</v>
          </cell>
          <cell r="V78">
            <v>0.24073</v>
          </cell>
          <cell r="AW78">
            <v>0</v>
          </cell>
          <cell r="AX78">
            <v>0</v>
          </cell>
          <cell r="AY78">
            <v>0</v>
          </cell>
          <cell r="AZ78">
            <v>2.7999999999999998E-4</v>
          </cell>
          <cell r="BB78">
            <v>-2.0000000000000002E-5</v>
          </cell>
          <cell r="BC78">
            <v>1.0300000000000001E-3</v>
          </cell>
          <cell r="BD78">
            <v>8.0000000000000007E-5</v>
          </cell>
          <cell r="BE78">
            <v>7.5000000000000002E-4</v>
          </cell>
          <cell r="BF78">
            <v>0.24073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3.5E-4</v>
          </cell>
          <cell r="T79">
            <v>0</v>
          </cell>
          <cell r="U79">
            <v>1.9000000000000001E-4</v>
          </cell>
          <cell r="V79">
            <v>0.24073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B79">
            <v>-1.0000000000000001E-5</v>
          </cell>
          <cell r="BC79">
            <v>1.0300000000000001E-3</v>
          </cell>
          <cell r="BD79">
            <v>0</v>
          </cell>
          <cell r="BE79">
            <v>1.9000000000000001E-4</v>
          </cell>
          <cell r="BF79">
            <v>0.24073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3.5E-4</v>
          </cell>
          <cell r="T80">
            <v>0</v>
          </cell>
          <cell r="U80">
            <v>1.9000000000000001E-4</v>
          </cell>
          <cell r="V80">
            <v>0.24073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B80">
            <v>-1.0000000000000001E-5</v>
          </cell>
          <cell r="BC80">
            <v>1.0300000000000001E-3</v>
          </cell>
          <cell r="BD80">
            <v>0</v>
          </cell>
          <cell r="BE80">
            <v>1.9000000000000001E-4</v>
          </cell>
          <cell r="BF80">
            <v>0.24073</v>
          </cell>
        </row>
        <row r="81">
          <cell r="BF81">
            <v>0.49725999999999998</v>
          </cell>
        </row>
      </sheetData>
      <sheetData sheetId="8"/>
      <sheetData sheetId="9">
        <row r="13">
          <cell r="F13">
            <v>2.4000000000000001E-4</v>
          </cell>
        </row>
        <row r="14">
          <cell r="F14">
            <v>1.6000000000000001E-4</v>
          </cell>
        </row>
        <row r="15">
          <cell r="F15">
            <v>1.1E-4</v>
          </cell>
        </row>
        <row r="16">
          <cell r="F16">
            <v>1E-4</v>
          </cell>
        </row>
        <row r="17">
          <cell r="F17">
            <v>9.0000000000000006E-5</v>
          </cell>
        </row>
        <row r="18">
          <cell r="F18">
            <v>2.5999999999999998E-4</v>
          </cell>
        </row>
        <row r="19">
          <cell r="F19">
            <v>8.0000000000000007E-5</v>
          </cell>
        </row>
        <row r="20">
          <cell r="F20">
            <v>6.9999999999999994E-5</v>
          </cell>
        </row>
        <row r="21">
          <cell r="F21">
            <v>6.9999999999999994E-5</v>
          </cell>
        </row>
        <row r="22">
          <cell r="F22">
            <v>6.0000000000000002E-5</v>
          </cell>
        </row>
        <row r="23">
          <cell r="F23">
            <v>6.9999999999999994E-5</v>
          </cell>
        </row>
        <row r="24">
          <cell r="F24">
            <v>6.0000000000000002E-5</v>
          </cell>
        </row>
        <row r="25">
          <cell r="F25">
            <v>6.9999999999999994E-5</v>
          </cell>
        </row>
        <row r="26">
          <cell r="F26">
            <v>6.0000000000000002E-5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4.0000000000000003E-5</v>
          </cell>
        </row>
        <row r="32">
          <cell r="F32">
            <v>4.0000000000000003E-5</v>
          </cell>
        </row>
        <row r="33">
          <cell r="F33">
            <v>3.0000000000000001E-5</v>
          </cell>
        </row>
        <row r="34">
          <cell r="F34">
            <v>2.0000000000000002E-5</v>
          </cell>
        </row>
        <row r="35">
          <cell r="F35">
            <v>2.0000000000000002E-5</v>
          </cell>
        </row>
        <row r="36">
          <cell r="F36">
            <v>1.0000000000000001E-5</v>
          </cell>
        </row>
        <row r="37">
          <cell r="F37">
            <v>5.0000000000000002E-5</v>
          </cell>
        </row>
        <row r="38">
          <cell r="F38">
            <v>4.0000000000000003E-5</v>
          </cell>
        </row>
        <row r="39">
          <cell r="F39">
            <v>3.0000000000000001E-5</v>
          </cell>
        </row>
        <row r="40">
          <cell r="F40">
            <v>2.0000000000000002E-5</v>
          </cell>
        </row>
        <row r="41">
          <cell r="F41">
            <v>2.0000000000000002E-5</v>
          </cell>
        </row>
        <row r="42">
          <cell r="F42">
            <v>1.0000000000000001E-5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3.0000000000000001E-5</v>
          </cell>
        </row>
        <row r="56">
          <cell r="F56">
            <v>3.0000000000000001E-5</v>
          </cell>
        </row>
        <row r="57">
          <cell r="F57">
            <v>2.0000000000000002E-5</v>
          </cell>
        </row>
        <row r="58">
          <cell r="F58">
            <v>2.0000000000000002E-5</v>
          </cell>
        </row>
        <row r="59">
          <cell r="F59">
            <v>1.0000000000000001E-5</v>
          </cell>
        </row>
        <row r="60">
          <cell r="F60">
            <v>0</v>
          </cell>
        </row>
        <row r="61">
          <cell r="F61">
            <v>4.0000000000000003E-5</v>
          </cell>
        </row>
        <row r="62">
          <cell r="F62">
            <v>4.0000000000000003E-5</v>
          </cell>
        </row>
        <row r="63">
          <cell r="F63">
            <v>3.0000000000000001E-5</v>
          </cell>
        </row>
        <row r="64">
          <cell r="F64">
            <v>2.0000000000000002E-5</v>
          </cell>
        </row>
        <row r="65">
          <cell r="F65">
            <v>1.0000000000000001E-5</v>
          </cell>
        </row>
        <row r="66">
          <cell r="F66">
            <v>1.0000000000000001E-5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</sheetData>
      <sheetData sheetId="10">
        <row r="13">
          <cell r="D13">
            <v>1.6683000000000003</v>
          </cell>
          <cell r="G13">
            <v>1.6389200000000004</v>
          </cell>
          <cell r="Q13">
            <v>1.6341000000000003</v>
          </cell>
        </row>
        <row r="14">
          <cell r="D14">
            <v>1.672639999999999</v>
          </cell>
          <cell r="G14">
            <v>1.6432599999999991</v>
          </cell>
          <cell r="Q14">
            <v>1.5968799999999992</v>
          </cell>
        </row>
        <row r="15">
          <cell r="D15">
            <v>1.3152700000000002</v>
          </cell>
          <cell r="G15">
            <v>1.2858900000000002</v>
          </cell>
          <cell r="Q15">
            <v>1.2423600000000001</v>
          </cell>
        </row>
        <row r="16">
          <cell r="D16">
            <v>1.2785399999999996</v>
          </cell>
          <cell r="G16">
            <v>1.2491599999999996</v>
          </cell>
          <cell r="Q16">
            <v>1.2048899999999996</v>
          </cell>
        </row>
        <row r="17">
          <cell r="D17">
            <v>1.2303099999999996</v>
          </cell>
          <cell r="G17">
            <v>1.2009299999999996</v>
          </cell>
          <cell r="Q17">
            <v>1.1551899999999997</v>
          </cell>
        </row>
        <row r="18">
          <cell r="D18">
            <v>1.11591</v>
          </cell>
          <cell r="G18">
            <v>1.08653</v>
          </cell>
          <cell r="Q18">
            <v>1.10995</v>
          </cell>
        </row>
        <row r="19">
          <cell r="D19">
            <v>1.0394899999999998</v>
          </cell>
          <cell r="G19">
            <v>1.0131599999999998</v>
          </cell>
          <cell r="Q19">
            <v>0.96803999999999979</v>
          </cell>
        </row>
        <row r="20">
          <cell r="D20">
            <v>0.98116000000000014</v>
          </cell>
          <cell r="G20">
            <v>0.95483000000000007</v>
          </cell>
          <cell r="Q20">
            <v>0.90969000000000011</v>
          </cell>
        </row>
        <row r="21">
          <cell r="D21">
            <v>0.94622000000000028</v>
          </cell>
          <cell r="G21">
            <v>0.91989000000000032</v>
          </cell>
          <cell r="Q21">
            <v>0.87457000000000029</v>
          </cell>
        </row>
        <row r="22">
          <cell r="D22">
            <v>0.89908999999999961</v>
          </cell>
          <cell r="G22">
            <v>0.87275999999999954</v>
          </cell>
          <cell r="Q22">
            <v>0.82736999999999949</v>
          </cell>
        </row>
        <row r="23">
          <cell r="D23">
            <v>0.96427000000000007</v>
          </cell>
          <cell r="G23">
            <v>0.93794</v>
          </cell>
          <cell r="Q23">
            <v>0.92659999999999998</v>
          </cell>
        </row>
        <row r="24">
          <cell r="D24">
            <v>0.91047000000000022</v>
          </cell>
          <cell r="G24">
            <v>0.88414000000000015</v>
          </cell>
          <cell r="Q24">
            <v>0.87260000000000026</v>
          </cell>
        </row>
        <row r="25">
          <cell r="D25">
            <v>0.90245000000000009</v>
          </cell>
          <cell r="G25">
            <v>0.87612000000000001</v>
          </cell>
          <cell r="Q25">
            <v>0.86289000000000005</v>
          </cell>
        </row>
        <row r="26">
          <cell r="D26">
            <v>0.8560899999999998</v>
          </cell>
          <cell r="G26">
            <v>0.82975999999999983</v>
          </cell>
          <cell r="Q26">
            <v>0.81651999999999991</v>
          </cell>
        </row>
        <row r="27">
          <cell r="D27">
            <v>0.64044000000000001</v>
          </cell>
          <cell r="G27">
            <v>0.64044000000000001</v>
          </cell>
          <cell r="Q27">
            <v>0.64046000000000003</v>
          </cell>
        </row>
        <row r="28">
          <cell r="D28">
            <v>0.5930200000000001</v>
          </cell>
          <cell r="G28">
            <v>0.5930200000000001</v>
          </cell>
          <cell r="Q28">
            <v>0.59296000000000015</v>
          </cell>
        </row>
        <row r="29">
          <cell r="D29">
            <v>0.62856000000000001</v>
          </cell>
          <cell r="G29">
            <v>0.62856000000000001</v>
          </cell>
          <cell r="Q29">
            <v>0.62853000000000003</v>
          </cell>
        </row>
        <row r="30">
          <cell r="D30">
            <v>0.58256000000000019</v>
          </cell>
          <cell r="G30">
            <v>0.58256000000000019</v>
          </cell>
          <cell r="Q30">
            <v>0.58245000000000013</v>
          </cell>
        </row>
        <row r="31">
          <cell r="D31">
            <v>0.79625999999999986</v>
          </cell>
          <cell r="G31">
            <v>0.76992999999999978</v>
          </cell>
          <cell r="Q31">
            <v>0.72470999999999985</v>
          </cell>
        </row>
        <row r="32">
          <cell r="D32">
            <v>0.77026999999999957</v>
          </cell>
          <cell r="G32">
            <v>0.7439399999999996</v>
          </cell>
          <cell r="Q32">
            <v>0.69873999999999969</v>
          </cell>
        </row>
        <row r="33">
          <cell r="D33">
            <v>0.71862999999999988</v>
          </cell>
          <cell r="G33">
            <v>0.69229999999999992</v>
          </cell>
          <cell r="Q33">
            <v>0.64710999999999985</v>
          </cell>
        </row>
        <row r="34">
          <cell r="D34">
            <v>0.68461000000000016</v>
          </cell>
          <cell r="G34">
            <v>0.6582800000000002</v>
          </cell>
          <cell r="Q34">
            <v>0.61311000000000027</v>
          </cell>
        </row>
        <row r="35">
          <cell r="D35">
            <v>0.63927</v>
          </cell>
          <cell r="G35">
            <v>0.61294000000000004</v>
          </cell>
          <cell r="Q35">
            <v>0.56776000000000004</v>
          </cell>
        </row>
        <row r="36">
          <cell r="D36">
            <v>0.58259000000000005</v>
          </cell>
          <cell r="G36">
            <v>0.55625999999999998</v>
          </cell>
          <cell r="Q36">
            <v>0.51111999999999991</v>
          </cell>
        </row>
        <row r="37">
          <cell r="D37">
            <v>0.73169000000000006</v>
          </cell>
          <cell r="G37">
            <v>0.70535999999999999</v>
          </cell>
          <cell r="Q37">
            <v>0.66015000000000001</v>
          </cell>
        </row>
        <row r="38">
          <cell r="D38">
            <v>0.71257999999999988</v>
          </cell>
          <cell r="G38">
            <v>0.6862499999999998</v>
          </cell>
          <cell r="Q38">
            <v>0.64097999999999988</v>
          </cell>
        </row>
        <row r="39">
          <cell r="D39">
            <v>0.67456999999999967</v>
          </cell>
          <cell r="G39">
            <v>0.64823999999999971</v>
          </cell>
          <cell r="Q39">
            <v>0.60283999999999971</v>
          </cell>
        </row>
        <row r="40">
          <cell r="D40">
            <v>0.64957000000000009</v>
          </cell>
          <cell r="G40">
            <v>0.62324000000000002</v>
          </cell>
          <cell r="Q40">
            <v>0.57779000000000003</v>
          </cell>
        </row>
        <row r="41">
          <cell r="D41">
            <v>0.61626000000000036</v>
          </cell>
          <cell r="G41">
            <v>0.58993000000000029</v>
          </cell>
          <cell r="Q41">
            <v>0.54437000000000035</v>
          </cell>
        </row>
        <row r="42">
          <cell r="D42">
            <v>0.57454999999999989</v>
          </cell>
          <cell r="G42">
            <v>0.54821999999999993</v>
          </cell>
          <cell r="Q42">
            <v>0.50253999999999988</v>
          </cell>
        </row>
        <row r="43">
          <cell r="D43">
            <v>0.40332000000000001</v>
          </cell>
          <cell r="G43">
            <v>0.40332000000000001</v>
          </cell>
          <cell r="Q43">
            <v>0.40292</v>
          </cell>
        </row>
        <row r="44">
          <cell r="D44">
            <v>0.38640000000000002</v>
          </cell>
          <cell r="G44">
            <v>0.38640000000000002</v>
          </cell>
          <cell r="Q44">
            <v>0.38597000000000004</v>
          </cell>
        </row>
        <row r="45">
          <cell r="D45">
            <v>0.35268999999999995</v>
          </cell>
          <cell r="G45">
            <v>0.35268999999999995</v>
          </cell>
          <cell r="Q45">
            <v>0.35217999999999994</v>
          </cell>
        </row>
        <row r="46">
          <cell r="D46">
            <v>0.33054000000000006</v>
          </cell>
          <cell r="G46">
            <v>0.33054000000000006</v>
          </cell>
          <cell r="Q46">
            <v>0.32996000000000003</v>
          </cell>
        </row>
        <row r="47">
          <cell r="D47">
            <v>0.30097000000000007</v>
          </cell>
          <cell r="G47">
            <v>0.30097000000000007</v>
          </cell>
          <cell r="Q47">
            <v>0.30034000000000005</v>
          </cell>
        </row>
        <row r="48">
          <cell r="D48">
            <v>0.26403000000000004</v>
          </cell>
          <cell r="G48">
            <v>0.26403000000000004</v>
          </cell>
          <cell r="Q48">
            <v>0.26331000000000004</v>
          </cell>
        </row>
        <row r="49">
          <cell r="D49">
            <v>0.40095999999999998</v>
          </cell>
          <cell r="G49">
            <v>0.40095999999999998</v>
          </cell>
          <cell r="Q49">
            <v>0.40056999999999998</v>
          </cell>
        </row>
        <row r="50">
          <cell r="D50">
            <v>0.38426999999999989</v>
          </cell>
          <cell r="G50">
            <v>0.38426999999999989</v>
          </cell>
          <cell r="Q50">
            <v>0.38384999999999991</v>
          </cell>
        </row>
        <row r="51">
          <cell r="D51">
            <v>0.35105000000000003</v>
          </cell>
          <cell r="G51">
            <v>0.35105000000000003</v>
          </cell>
          <cell r="Q51">
            <v>0.35056000000000004</v>
          </cell>
        </row>
        <row r="52">
          <cell r="D52">
            <v>0.32922000000000012</v>
          </cell>
          <cell r="G52">
            <v>0.32922000000000012</v>
          </cell>
          <cell r="Q52">
            <v>0.32867000000000013</v>
          </cell>
        </row>
        <row r="53">
          <cell r="D53">
            <v>0.30008999999999997</v>
          </cell>
          <cell r="G53">
            <v>0.30008999999999997</v>
          </cell>
          <cell r="Q53">
            <v>0.29947999999999997</v>
          </cell>
        </row>
        <row r="54">
          <cell r="D54">
            <v>0.26369000000000009</v>
          </cell>
          <cell r="G54">
            <v>0.26369000000000009</v>
          </cell>
          <cell r="Q54">
            <v>0.26300000000000012</v>
          </cell>
        </row>
        <row r="55">
          <cell r="D55">
            <v>0.71133000000000013</v>
          </cell>
          <cell r="G55">
            <v>0.68500000000000005</v>
          </cell>
          <cell r="Q55">
            <v>0.67280000000000006</v>
          </cell>
        </row>
        <row r="56">
          <cell r="D56">
            <v>0.69042999999999966</v>
          </cell>
          <cell r="G56">
            <v>0.66409999999999969</v>
          </cell>
          <cell r="Q56">
            <v>0.65181999999999962</v>
          </cell>
        </row>
        <row r="57">
          <cell r="D57">
            <v>0.64878000000000013</v>
          </cell>
          <cell r="G57">
            <v>0.62245000000000017</v>
          </cell>
          <cell r="Q57">
            <v>0.61003000000000018</v>
          </cell>
        </row>
        <row r="58">
          <cell r="D58">
            <v>0.62140999999999991</v>
          </cell>
          <cell r="G58">
            <v>0.59507999999999983</v>
          </cell>
          <cell r="Q58">
            <v>0.58255999999999986</v>
          </cell>
        </row>
        <row r="59">
          <cell r="D59">
            <v>0.58492999999999984</v>
          </cell>
          <cell r="G59">
            <v>0.55859999999999976</v>
          </cell>
          <cell r="Q59">
            <v>0.54595999999999978</v>
          </cell>
        </row>
        <row r="60">
          <cell r="D60">
            <v>0.53925000000000001</v>
          </cell>
          <cell r="G60">
            <v>0.51292000000000004</v>
          </cell>
          <cell r="Q60">
            <v>0.50017</v>
          </cell>
        </row>
        <row r="61">
          <cell r="D61">
            <v>0.69063999999999992</v>
          </cell>
          <cell r="G61">
            <v>0.66430999999999996</v>
          </cell>
          <cell r="Q61">
            <v>0.65088000000000001</v>
          </cell>
        </row>
        <row r="62">
          <cell r="D62">
            <v>0.67198999999999998</v>
          </cell>
          <cell r="G62">
            <v>0.6456599999999999</v>
          </cell>
          <cell r="Q62">
            <v>0.63222</v>
          </cell>
        </row>
        <row r="63">
          <cell r="D63">
            <v>0.63488999999999995</v>
          </cell>
          <cell r="G63">
            <v>0.60855999999999999</v>
          </cell>
          <cell r="Q63">
            <v>0.59509999999999996</v>
          </cell>
        </row>
        <row r="64">
          <cell r="D64">
            <v>0.61047999999999969</v>
          </cell>
          <cell r="G64">
            <v>0.58414999999999973</v>
          </cell>
          <cell r="Q64">
            <v>0.57068999999999981</v>
          </cell>
        </row>
        <row r="65">
          <cell r="D65">
            <v>0.57791000000000003</v>
          </cell>
          <cell r="G65">
            <v>0.55157999999999996</v>
          </cell>
          <cell r="Q65">
            <v>0.53811999999999993</v>
          </cell>
        </row>
        <row r="66">
          <cell r="D66">
            <v>0.53723999999999983</v>
          </cell>
          <cell r="G66">
            <v>0.51090999999999975</v>
          </cell>
          <cell r="Q66">
            <v>0.49744999999999978</v>
          </cell>
        </row>
        <row r="67">
          <cell r="D67">
            <v>0.39076</v>
          </cell>
          <cell r="G67">
            <v>0.39076</v>
          </cell>
          <cell r="Q67">
            <v>0.39032999999999995</v>
          </cell>
        </row>
        <row r="68">
          <cell r="D68">
            <v>0.37516000000000005</v>
          </cell>
          <cell r="G68">
            <v>0.37516000000000005</v>
          </cell>
          <cell r="Q68">
            <v>0.37471000000000004</v>
          </cell>
        </row>
        <row r="69">
          <cell r="D69">
            <v>0.34404999999999997</v>
          </cell>
          <cell r="G69">
            <v>0.34404999999999997</v>
          </cell>
          <cell r="Q69">
            <v>0.34353999999999996</v>
          </cell>
        </row>
        <row r="70">
          <cell r="D70">
            <v>0.3236</v>
          </cell>
          <cell r="G70">
            <v>0.3236</v>
          </cell>
          <cell r="Q70">
            <v>0.32306000000000001</v>
          </cell>
        </row>
        <row r="71">
          <cell r="D71">
            <v>0.29632999999999998</v>
          </cell>
          <cell r="G71">
            <v>0.29632999999999998</v>
          </cell>
          <cell r="Q71">
            <v>0.29574</v>
          </cell>
        </row>
        <row r="72">
          <cell r="D72">
            <v>0.26221000000000005</v>
          </cell>
          <cell r="G72">
            <v>0.26221000000000005</v>
          </cell>
          <cell r="Q72">
            <v>0.26156000000000007</v>
          </cell>
        </row>
        <row r="73">
          <cell r="D73">
            <v>0.39346999999999999</v>
          </cell>
          <cell r="G73">
            <v>0.39346999999999999</v>
          </cell>
          <cell r="Q73">
            <v>0.39293</v>
          </cell>
        </row>
        <row r="74">
          <cell r="D74">
            <v>0.37758000000000003</v>
          </cell>
          <cell r="G74">
            <v>0.37758000000000003</v>
          </cell>
          <cell r="Q74">
            <v>0.37702000000000002</v>
          </cell>
        </row>
        <row r="75">
          <cell r="D75">
            <v>0.34592000000000001</v>
          </cell>
          <cell r="G75">
            <v>0.34592000000000001</v>
          </cell>
          <cell r="Q75">
            <v>0.34531999999999996</v>
          </cell>
        </row>
        <row r="76">
          <cell r="D76">
            <v>0.32511000000000001</v>
          </cell>
          <cell r="G76">
            <v>0.32511000000000001</v>
          </cell>
          <cell r="Q76">
            <v>0.32449000000000006</v>
          </cell>
        </row>
        <row r="77">
          <cell r="D77">
            <v>0.29735999999999996</v>
          </cell>
          <cell r="G77">
            <v>0.29735999999999996</v>
          </cell>
          <cell r="Q77">
            <v>0.29669000000000001</v>
          </cell>
        </row>
        <row r="78">
          <cell r="D78">
            <v>0.26266000000000006</v>
          </cell>
          <cell r="G78">
            <v>0.26266000000000006</v>
          </cell>
          <cell r="Q78">
            <v>0.26193000000000005</v>
          </cell>
        </row>
        <row r="79">
          <cell r="D79">
            <v>0.24684999999999996</v>
          </cell>
          <cell r="G79">
            <v>0.24684999999999996</v>
          </cell>
          <cell r="Q79">
            <v>0.24617999999999998</v>
          </cell>
        </row>
        <row r="80">
          <cell r="D80">
            <v>0.24684999999999996</v>
          </cell>
          <cell r="G80">
            <v>0.24684999999999996</v>
          </cell>
          <cell r="Q80">
            <v>0.24617999999999998</v>
          </cell>
        </row>
        <row r="84">
          <cell r="D84" t="str">
            <v>2022-23 PGA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Avg Bill by RS"/>
      <sheetName val="Rates in detail"/>
      <sheetName val="Temporarie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71">
          <cell r="B71">
            <v>45658</v>
          </cell>
        </row>
      </sheetData>
      <sheetData sheetId="2">
        <row r="1">
          <cell r="A1" t="str">
            <v>NW Natural</v>
          </cell>
        </row>
      </sheetData>
      <sheetData sheetId="3"/>
      <sheetData sheetId="4"/>
      <sheetData sheetId="5"/>
      <sheetData sheetId="6">
        <row r="13">
          <cell r="G13">
            <v>5.5</v>
          </cell>
        </row>
      </sheetData>
      <sheetData sheetId="7">
        <row r="13">
          <cell r="D13">
            <v>1.6683000000000003</v>
          </cell>
        </row>
      </sheetData>
      <sheetData sheetId="8">
        <row r="13">
          <cell r="AB13">
            <v>-0.14299000000000001</v>
          </cell>
        </row>
      </sheetData>
      <sheetData sheetId="9">
        <row r="13">
          <cell r="H13">
            <v>2.4000000000001798E-4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4">
          <cell r="A4" t="str">
            <v>Tariff Advice 25-02: Schedule 303 Environmental Cost Recover Mechanism (ECRM)</v>
          </cell>
        </row>
        <row r="12">
          <cell r="F12">
            <v>-712922</v>
          </cell>
        </row>
        <row r="15">
          <cell r="F15">
            <v>750232</v>
          </cell>
        </row>
        <row r="18">
          <cell r="F18">
            <v>37310</v>
          </cell>
        </row>
      </sheetData>
      <sheetData sheetId="1">
        <row r="4">
          <cell r="A4" t="str">
            <v>Tariff Advice 25-04: Schedule 215 Effects on Revenue</v>
          </cell>
        </row>
        <row r="12">
          <cell r="F12">
            <v>-5308861</v>
          </cell>
        </row>
        <row r="15">
          <cell r="F15">
            <v>5425850</v>
          </cell>
        </row>
        <row r="18">
          <cell r="F18">
            <v>116989</v>
          </cell>
        </row>
      </sheetData>
      <sheetData sheetId="2">
        <row r="4">
          <cell r="A4" t="str">
            <v>Tariff Advice 25-05: Schedule 230 Effects on Revenue</v>
          </cell>
        </row>
        <row r="12">
          <cell r="F12">
            <v>-982815</v>
          </cell>
        </row>
        <row r="15">
          <cell r="F15">
            <v>903805</v>
          </cell>
        </row>
        <row r="18">
          <cell r="F18">
            <v>-79010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Tariff Advice 25-06: Residual</v>
          </cell>
        </row>
        <row r="12">
          <cell r="F12">
            <v>-67591</v>
          </cell>
        </row>
        <row r="15">
          <cell r="F15">
            <v>19184</v>
          </cell>
        </row>
        <row r="18">
          <cell r="F18">
            <v>-48407</v>
          </cell>
        </row>
      </sheetData>
      <sheetData sheetId="9">
        <row r="4">
          <cell r="A4" t="str">
            <v>Tariff Advice 25-07: Mist Recall</v>
          </cell>
        </row>
        <row r="12">
          <cell r="F12">
            <v>0</v>
          </cell>
        </row>
        <row r="15">
          <cell r="F15">
            <v>9408.9997971102639</v>
          </cell>
        </row>
        <row r="18">
          <cell r="F18">
            <v>9408.9997971102639</v>
          </cell>
        </row>
      </sheetData>
      <sheetData sheetId="10">
        <row r="4">
          <cell r="A4" t="str">
            <v>Tariff Advice 25-08: PGA Effects on Revenue</v>
          </cell>
        </row>
        <row r="18">
          <cell r="F18">
            <v>-15655265</v>
          </cell>
        </row>
        <row r="20">
          <cell r="F20">
            <v>11563573</v>
          </cell>
        </row>
        <row r="22">
          <cell r="F22">
            <v>-4091692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Winter WACOG WA"/>
      <sheetName val="Derivation of Demand rates WA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  <sheetName val="NWN 2025-26 PGA Gas Cost Develo"/>
    </sheetNames>
    <sheetDataSet>
      <sheetData sheetId="0">
        <row r="19">
          <cell r="E19">
            <v>-2424539</v>
          </cell>
        </row>
        <row r="24">
          <cell r="E24">
            <v>-243514</v>
          </cell>
        </row>
      </sheetData>
      <sheetData sheetId="1">
        <row r="36">
          <cell r="E36">
            <v>0.43569000000000002</v>
          </cell>
        </row>
      </sheetData>
      <sheetData sheetId="2">
        <row r="22">
          <cell r="F22">
            <v>1.5</v>
          </cell>
        </row>
      </sheetData>
      <sheetData sheetId="3"/>
      <sheetData sheetId="4">
        <row r="57">
          <cell r="D57">
            <v>0.41543000000000002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C15">
            <v>7.8399999999999997E-3</v>
          </cell>
        </row>
      </sheetData>
      <sheetData sheetId="18"/>
      <sheetData sheetId="19">
        <row r="10">
          <cell r="E10">
            <v>4.3568999999999997E-2</v>
          </cell>
        </row>
      </sheetData>
      <sheetData sheetId="20"/>
      <sheetData sheetId="2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 filed"/>
      <sheetName val="Executive Summary"/>
      <sheetName val="Adj Narrative"/>
      <sheetName val="Sheet1"/>
      <sheetName val="Page 1"/>
      <sheetName val="Taxes"/>
      <sheetName val="DIT Rate Base"/>
      <sheetName val="Rate Base"/>
      <sheetName val="Cost of Cap"/>
      <sheetName val="a Rev &amp; Cost"/>
      <sheetName val="Adjustments"/>
      <sheetName val="b Misc Revenues"/>
      <sheetName val="c Bonuses"/>
      <sheetName val="d Uncollectibles"/>
      <sheetName val="f Claims"/>
      <sheetName val="e Working Cap"/>
      <sheetName val="g Clearing"/>
      <sheetName val="Factors"/>
      <sheetName val="Other Rev, Dep &amp; Other Tax"/>
    </sheetNames>
    <sheetDataSet>
      <sheetData sheetId="0"/>
      <sheetData sheetId="1"/>
      <sheetData sheetId="2"/>
      <sheetData sheetId="3"/>
      <sheetData sheetId="4">
        <row r="13">
          <cell r="E13">
            <v>109949934.64991099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E615-EEDF-4E10-8C47-474845C29A35}">
  <sheetPr>
    <tabColor theme="0" tint="-0.14999847407452621"/>
    <pageSetUpPr fitToPage="1"/>
  </sheetPr>
  <dimension ref="A1:BE108"/>
  <sheetViews>
    <sheetView tabSelected="1" zoomScale="99" zoomScaleNormal="99" workbookViewId="0">
      <selection activeCell="F46" sqref="F46"/>
    </sheetView>
  </sheetViews>
  <sheetFormatPr defaultColWidth="8.453125" defaultRowHeight="14.5" x14ac:dyDescent="0.35"/>
  <cols>
    <col min="1" max="1" width="6.1796875" style="1" customWidth="1"/>
    <col min="2" max="2" width="16.1796875" style="1" customWidth="1"/>
    <col min="3" max="3" width="8.453125" style="1"/>
    <col min="4" max="4" width="14.81640625" style="1" hidden="1" customWidth="1"/>
    <col min="5" max="5" width="12.08984375" style="1" customWidth="1"/>
    <col min="6" max="8" width="12.453125" style="1" customWidth="1"/>
    <col min="9" max="9" width="13" style="1" bestFit="1" customWidth="1"/>
    <col min="10" max="11" width="12.08984375" style="1" customWidth="1"/>
    <col min="12" max="12" width="10.7265625" style="1" customWidth="1"/>
    <col min="13" max="13" width="15.90625" style="1" customWidth="1"/>
    <col min="14" max="15" width="14.54296875" style="1" customWidth="1"/>
    <col min="16" max="16" width="16.08984375" style="1" hidden="1" customWidth="1"/>
    <col min="17" max="18" width="13.453125" style="1" hidden="1" customWidth="1"/>
    <col min="19" max="19" width="13.90625" style="1" hidden="1" customWidth="1"/>
    <col min="20" max="20" width="13.90625" style="313" hidden="1" customWidth="1"/>
    <col min="21" max="21" width="27" style="313" hidden="1" customWidth="1"/>
    <col min="22" max="22" width="13.90625" style="313" hidden="1" customWidth="1"/>
    <col min="23" max="24" width="13.90625" style="1" hidden="1" customWidth="1"/>
    <col min="25" max="25" width="16.08984375" style="1" hidden="1" customWidth="1"/>
    <col min="26" max="27" width="13.90625" style="1" hidden="1" customWidth="1"/>
    <col min="28" max="28" width="16.08984375" style="1" hidden="1" customWidth="1"/>
    <col min="29" max="29" width="13.90625" style="5" hidden="1" customWidth="1"/>
    <col min="30" max="30" width="22.453125" style="5" hidden="1" customWidth="1"/>
    <col min="31" max="31" width="16.08984375" style="5" hidden="1" customWidth="1"/>
    <col min="32" max="34" width="16.08984375" style="1" hidden="1" customWidth="1"/>
    <col min="35" max="35" width="11.1796875" style="1" hidden="1" customWidth="1" collapsed="1"/>
    <col min="36" max="36" width="13" style="1" hidden="1" customWidth="1"/>
    <col min="37" max="37" width="15.1796875" style="1" hidden="1" customWidth="1"/>
    <col min="38" max="38" width="10.7265625" style="1" customWidth="1"/>
    <col min="39" max="39" width="13.453125" style="1" customWidth="1"/>
    <col min="40" max="40" width="14.36328125" style="1" customWidth="1"/>
    <col min="41" max="42" width="20.7265625" style="1" customWidth="1"/>
    <col min="43" max="46" width="20.7265625" style="1" hidden="1" customWidth="1"/>
    <col min="47" max="49" width="14.81640625" style="1" hidden="1" customWidth="1"/>
    <col min="50" max="52" width="10.6328125" style="1" hidden="1" customWidth="1"/>
    <col min="53" max="53" width="17.453125" style="4" hidden="1" customWidth="1"/>
    <col min="54" max="54" width="13.90625" style="3" hidden="1" customWidth="1"/>
    <col min="55" max="55" width="14.26953125" style="2" hidden="1" customWidth="1"/>
    <col min="56" max="56" width="14.81640625" style="2" hidden="1" customWidth="1"/>
    <col min="57" max="57" width="10.90625" style="2" hidden="1" customWidth="1"/>
    <col min="58" max="16384" width="8.453125" style="1"/>
  </cols>
  <sheetData>
    <row r="1" spans="1:57" x14ac:dyDescent="0.35">
      <c r="A1" s="193" t="str">
        <f>+'[2]Washington volumes'!A1</f>
        <v>NW Natural</v>
      </c>
      <c r="O1" s="91"/>
      <c r="R1" s="91"/>
      <c r="T1" s="6"/>
      <c r="U1" s="98"/>
      <c r="V1" s="6"/>
      <c r="AJ1" s="91"/>
      <c r="AM1" s="91"/>
    </row>
    <row r="2" spans="1:57" x14ac:dyDescent="0.35">
      <c r="A2" s="193" t="str">
        <f>+'[2]Washington volumes'!A2</f>
        <v>Rates &amp; Regulatory Affairs</v>
      </c>
      <c r="G2" s="291" t="s">
        <v>0</v>
      </c>
      <c r="H2" s="292"/>
      <c r="O2" s="91"/>
      <c r="R2" s="91"/>
      <c r="T2" s="6"/>
      <c r="U2" s="98"/>
      <c r="V2" s="6"/>
      <c r="AJ2" s="91"/>
      <c r="AK2" s="29"/>
      <c r="AM2" s="91"/>
      <c r="AN2" s="91"/>
    </row>
    <row r="3" spans="1:57" x14ac:dyDescent="0.35">
      <c r="A3" s="193" t="str">
        <f>'[2]Washington volumes'!A3</f>
        <v>2025-2026 PGA Filing - Washington: September Filing</v>
      </c>
      <c r="G3" s="293" t="s">
        <v>1</v>
      </c>
      <c r="H3" s="292">
        <f>'[2]Allocation equal ¢ per therm'!W13</f>
        <v>0.24073</v>
      </c>
      <c r="M3" s="29"/>
      <c r="N3" s="29"/>
      <c r="O3" s="91"/>
      <c r="P3" s="24"/>
      <c r="Q3" s="194"/>
      <c r="R3" s="91"/>
      <c r="S3" s="91"/>
      <c r="T3" s="98"/>
      <c r="U3" s="98"/>
      <c r="V3" s="98"/>
      <c r="W3" s="91"/>
      <c r="X3" s="91"/>
      <c r="Y3" s="91"/>
      <c r="Z3" s="91"/>
      <c r="AA3" s="91"/>
      <c r="AB3" s="91"/>
      <c r="AC3" s="95"/>
      <c r="AD3" s="95"/>
      <c r="AE3" s="95"/>
      <c r="AF3" s="91"/>
      <c r="AG3" s="91"/>
      <c r="AH3" s="91"/>
      <c r="AI3" s="51"/>
      <c r="AJ3" s="91"/>
      <c r="AK3" s="91"/>
      <c r="AL3" s="91"/>
      <c r="AM3" s="91"/>
      <c r="AN3" s="91"/>
    </row>
    <row r="4" spans="1:57" x14ac:dyDescent="0.35">
      <c r="A4" s="193" t="s">
        <v>2</v>
      </c>
      <c r="G4" s="293" t="s">
        <v>3</v>
      </c>
      <c r="H4" s="292">
        <f>'[2]Allocation equal ¢ per therm'!W13</f>
        <v>0.24073</v>
      </c>
      <c r="N4" s="29"/>
      <c r="O4" s="91"/>
      <c r="P4" s="24"/>
      <c r="R4" s="91"/>
      <c r="T4" s="26"/>
      <c r="U4" s="98"/>
      <c r="V4" s="6"/>
      <c r="AJ4" s="91"/>
      <c r="AM4" s="91"/>
      <c r="AN4" s="91"/>
    </row>
    <row r="5" spans="1:57" ht="23.5" x14ac:dyDescent="0.55000000000000004">
      <c r="A5" s="192" t="s">
        <v>4</v>
      </c>
      <c r="J5" s="191"/>
      <c r="K5" s="191"/>
      <c r="L5" s="191"/>
      <c r="M5" s="191"/>
      <c r="N5" s="190"/>
      <c r="O5" s="91"/>
      <c r="P5" s="186"/>
      <c r="Q5" s="186"/>
      <c r="R5" s="186"/>
      <c r="S5" s="186"/>
      <c r="T5" s="26"/>
      <c r="U5" s="294"/>
      <c r="V5" s="189"/>
      <c r="W5" s="186"/>
      <c r="X5" s="186"/>
      <c r="Y5" s="186"/>
      <c r="Z5" s="186"/>
      <c r="AA5" s="186"/>
      <c r="AB5" s="186"/>
      <c r="AC5" s="188"/>
      <c r="AD5" s="188"/>
      <c r="AE5" s="188"/>
      <c r="AF5" s="186"/>
      <c r="AG5" s="186"/>
      <c r="AH5" s="186"/>
      <c r="AI5" s="186"/>
      <c r="AJ5" s="187"/>
      <c r="AK5" s="186"/>
      <c r="AL5" s="186"/>
      <c r="AM5" s="91"/>
      <c r="AN5" s="190"/>
      <c r="AU5" s="295" t="s">
        <v>187</v>
      </c>
      <c r="AV5" s="295"/>
      <c r="AW5" s="295"/>
    </row>
    <row r="6" spans="1:57" ht="15" thickBot="1" x14ac:dyDescent="0.4">
      <c r="I6" s="7" t="s">
        <v>1</v>
      </c>
      <c r="K6" s="7" t="s">
        <v>3</v>
      </c>
      <c r="O6" s="186"/>
      <c r="P6" s="186"/>
      <c r="Q6" s="186"/>
      <c r="R6" s="186"/>
      <c r="S6" s="186"/>
      <c r="T6" s="26"/>
      <c r="U6" s="189"/>
      <c r="V6" s="189"/>
      <c r="W6" s="186"/>
      <c r="X6" s="186"/>
      <c r="Y6" s="186"/>
      <c r="Z6" s="186"/>
      <c r="AA6" s="186"/>
      <c r="AB6" s="186"/>
      <c r="AC6" s="188"/>
      <c r="AD6" s="188"/>
      <c r="AE6" s="188"/>
      <c r="AF6" s="186"/>
      <c r="AG6" s="186"/>
      <c r="AH6" s="186"/>
      <c r="AI6" s="186"/>
      <c r="AJ6" s="187"/>
      <c r="AK6" s="186"/>
      <c r="AL6" s="186"/>
      <c r="AM6" s="186"/>
    </row>
    <row r="7" spans="1:57" x14ac:dyDescent="0.35">
      <c r="A7" s="7">
        <v>1</v>
      </c>
      <c r="D7" s="7" t="s">
        <v>186</v>
      </c>
      <c r="F7" s="174" t="s">
        <v>5</v>
      </c>
      <c r="H7" s="174" t="s">
        <v>1</v>
      </c>
      <c r="I7" s="7" t="s">
        <v>6</v>
      </c>
      <c r="J7" s="174" t="s">
        <v>3</v>
      </c>
      <c r="K7" s="7" t="s">
        <v>6</v>
      </c>
      <c r="L7" s="7" t="s">
        <v>1</v>
      </c>
      <c r="M7" s="174"/>
      <c r="N7" s="174" t="s">
        <v>3</v>
      </c>
      <c r="O7" s="174" t="s">
        <v>3</v>
      </c>
      <c r="P7" s="183" t="s">
        <v>3</v>
      </c>
      <c r="Q7" s="174" t="s">
        <v>3</v>
      </c>
      <c r="R7" s="174" t="s">
        <v>3</v>
      </c>
      <c r="S7" s="183" t="s">
        <v>3</v>
      </c>
      <c r="T7" s="179" t="s">
        <v>3</v>
      </c>
      <c r="U7" s="179" t="s">
        <v>3</v>
      </c>
      <c r="V7" s="185" t="s">
        <v>3</v>
      </c>
      <c r="W7" s="174" t="s">
        <v>3</v>
      </c>
      <c r="X7" s="174" t="s">
        <v>3</v>
      </c>
      <c r="Y7" s="183" t="s">
        <v>3</v>
      </c>
      <c r="Z7" s="174" t="s">
        <v>3</v>
      </c>
      <c r="AA7" s="174" t="s">
        <v>3</v>
      </c>
      <c r="AB7" s="183" t="s">
        <v>3</v>
      </c>
      <c r="AC7" s="177" t="s">
        <v>3</v>
      </c>
      <c r="AD7" s="177" t="s">
        <v>3</v>
      </c>
      <c r="AE7" s="184" t="s">
        <v>3</v>
      </c>
      <c r="AF7" s="174" t="s">
        <v>3</v>
      </c>
      <c r="AG7" s="174" t="s">
        <v>3</v>
      </c>
      <c r="AH7" s="183" t="s">
        <v>3</v>
      </c>
      <c r="AI7" s="174" t="s">
        <v>3</v>
      </c>
      <c r="AJ7" s="174" t="s">
        <v>3</v>
      </c>
      <c r="AK7" s="183" t="s">
        <v>3</v>
      </c>
      <c r="AL7" s="7" t="s">
        <v>3</v>
      </c>
      <c r="AM7" s="7" t="s">
        <v>3</v>
      </c>
      <c r="AN7" s="182" t="s">
        <v>3</v>
      </c>
      <c r="AO7" s="181"/>
      <c r="AP7" s="181"/>
      <c r="AQ7" s="181"/>
      <c r="AR7" s="181"/>
      <c r="AS7" s="181"/>
      <c r="AT7" s="181"/>
      <c r="AU7" s="7" t="s">
        <v>3</v>
      </c>
      <c r="AV7" s="7" t="s">
        <v>3</v>
      </c>
      <c r="AW7" s="180" t="s">
        <v>3</v>
      </c>
    </row>
    <row r="8" spans="1:57" x14ac:dyDescent="0.35">
      <c r="A8" s="7">
        <f t="shared" ref="A8:A71" si="0">+A7+1</f>
        <v>2</v>
      </c>
      <c r="D8" s="7" t="s">
        <v>185</v>
      </c>
      <c r="E8" s="174"/>
      <c r="F8" s="174" t="s">
        <v>7</v>
      </c>
      <c r="G8" s="7" t="s">
        <v>8</v>
      </c>
      <c r="H8" s="174" t="s">
        <v>9</v>
      </c>
      <c r="I8" s="7" t="s">
        <v>8</v>
      </c>
      <c r="J8" s="174" t="s">
        <v>9</v>
      </c>
      <c r="K8" s="7" t="s">
        <v>8</v>
      </c>
      <c r="L8" s="174">
        <v>45658</v>
      </c>
      <c r="M8" s="174">
        <f t="shared" ref="M8:AK8" si="1">$AL$8</f>
        <v>46327</v>
      </c>
      <c r="N8" s="174">
        <f t="shared" si="1"/>
        <v>46327</v>
      </c>
      <c r="O8" s="174">
        <f t="shared" si="1"/>
        <v>46327</v>
      </c>
      <c r="P8" s="175">
        <f t="shared" si="1"/>
        <v>46327</v>
      </c>
      <c r="Q8" s="174">
        <f t="shared" si="1"/>
        <v>46327</v>
      </c>
      <c r="R8" s="174">
        <f t="shared" si="1"/>
        <v>46327</v>
      </c>
      <c r="S8" s="175">
        <f t="shared" si="1"/>
        <v>46327</v>
      </c>
      <c r="T8" s="179">
        <f t="shared" si="1"/>
        <v>46327</v>
      </c>
      <c r="U8" s="179">
        <f t="shared" si="1"/>
        <v>46327</v>
      </c>
      <c r="V8" s="178">
        <f t="shared" si="1"/>
        <v>46327</v>
      </c>
      <c r="W8" s="174">
        <f t="shared" si="1"/>
        <v>46327</v>
      </c>
      <c r="X8" s="174">
        <f t="shared" si="1"/>
        <v>46327</v>
      </c>
      <c r="Y8" s="175">
        <f t="shared" si="1"/>
        <v>46327</v>
      </c>
      <c r="Z8" s="174">
        <f t="shared" si="1"/>
        <v>46327</v>
      </c>
      <c r="AA8" s="174">
        <f t="shared" si="1"/>
        <v>46327</v>
      </c>
      <c r="AB8" s="175">
        <f t="shared" si="1"/>
        <v>46327</v>
      </c>
      <c r="AC8" s="177">
        <f t="shared" si="1"/>
        <v>46327</v>
      </c>
      <c r="AD8" s="177">
        <f t="shared" si="1"/>
        <v>46327</v>
      </c>
      <c r="AE8" s="176">
        <f t="shared" si="1"/>
        <v>46327</v>
      </c>
      <c r="AF8" s="174">
        <f t="shared" si="1"/>
        <v>46327</v>
      </c>
      <c r="AG8" s="174">
        <f t="shared" si="1"/>
        <v>46327</v>
      </c>
      <c r="AH8" s="175">
        <f t="shared" si="1"/>
        <v>46327</v>
      </c>
      <c r="AI8" s="174">
        <f t="shared" si="1"/>
        <v>46327</v>
      </c>
      <c r="AJ8" s="174">
        <f t="shared" si="1"/>
        <v>46327</v>
      </c>
      <c r="AK8" s="175">
        <f t="shared" si="1"/>
        <v>46327</v>
      </c>
      <c r="AL8" s="174">
        <v>46327</v>
      </c>
      <c r="AM8" s="174">
        <f>+AL8</f>
        <v>46327</v>
      </c>
      <c r="AN8" s="175">
        <f>+AM8</f>
        <v>46327</v>
      </c>
      <c r="AU8" s="174">
        <f>+AN8</f>
        <v>46327</v>
      </c>
      <c r="AV8" s="174">
        <f>+AU8</f>
        <v>46327</v>
      </c>
      <c r="AW8" s="173">
        <f>+AV8</f>
        <v>46327</v>
      </c>
    </row>
    <row r="9" spans="1:57" ht="58" x14ac:dyDescent="0.35">
      <c r="A9" s="7">
        <f t="shared" si="0"/>
        <v>3</v>
      </c>
      <c r="D9" s="7" t="s">
        <v>184</v>
      </c>
      <c r="E9" s="7" t="s">
        <v>10</v>
      </c>
      <c r="F9" s="7" t="s">
        <v>11</v>
      </c>
      <c r="G9" s="7" t="s">
        <v>11</v>
      </c>
      <c r="H9" s="7" t="s">
        <v>12</v>
      </c>
      <c r="I9" s="7" t="s">
        <v>11</v>
      </c>
      <c r="J9" s="7" t="s">
        <v>12</v>
      </c>
      <c r="K9" s="7" t="s">
        <v>11</v>
      </c>
      <c r="L9" s="7" t="s">
        <v>13</v>
      </c>
      <c r="M9" s="7" t="s">
        <v>1</v>
      </c>
      <c r="N9" s="7"/>
      <c r="O9" s="7" t="s">
        <v>183</v>
      </c>
      <c r="P9" s="145"/>
      <c r="Q9" s="7"/>
      <c r="R9" s="7" t="s">
        <v>182</v>
      </c>
      <c r="S9" s="145"/>
      <c r="T9" s="172"/>
      <c r="U9" s="171" t="s">
        <v>181</v>
      </c>
      <c r="V9" s="170"/>
      <c r="W9" s="7"/>
      <c r="X9" s="7" t="s">
        <v>180</v>
      </c>
      <c r="Y9" s="145"/>
      <c r="Z9" s="102"/>
      <c r="AA9" s="102" t="s">
        <v>179</v>
      </c>
      <c r="AB9" s="166"/>
      <c r="AC9" s="169"/>
      <c r="AD9" s="168" t="str">
        <f>'[2]Allocation = % of margin'!AJ7</f>
        <v xml:space="preserve">Residental Bill Discount Program </v>
      </c>
      <c r="AE9" s="167"/>
      <c r="AF9" s="102"/>
      <c r="AG9" s="101" t="s">
        <v>178</v>
      </c>
      <c r="AH9" s="166"/>
      <c r="AI9" s="7" t="s">
        <v>177</v>
      </c>
      <c r="AJ9" s="7" t="s">
        <v>177</v>
      </c>
      <c r="AK9" s="145" t="s">
        <v>177</v>
      </c>
      <c r="AL9" s="144" t="s">
        <v>14</v>
      </c>
      <c r="AM9" s="144" t="s">
        <v>14</v>
      </c>
      <c r="AN9" s="145" t="s">
        <v>14</v>
      </c>
      <c r="AU9" s="7" t="s">
        <v>176</v>
      </c>
      <c r="AV9" s="7" t="str">
        <f>+AU9</f>
        <v>R&amp;C EE Total</v>
      </c>
      <c r="AW9" s="143" t="str">
        <f>+AV9</f>
        <v>R&amp;C EE Total</v>
      </c>
    </row>
    <row r="10" spans="1:57" s="130" customFormat="1" ht="15" thickBot="1" x14ac:dyDescent="0.4">
      <c r="A10" s="7">
        <f t="shared" si="0"/>
        <v>4</v>
      </c>
      <c r="B10" s="1"/>
      <c r="C10" s="1"/>
      <c r="D10" s="21" t="s">
        <v>175</v>
      </c>
      <c r="E10" s="21" t="s">
        <v>15</v>
      </c>
      <c r="F10" s="21" t="s">
        <v>16</v>
      </c>
      <c r="G10" s="21" t="s">
        <v>17</v>
      </c>
      <c r="H10" s="21" t="s">
        <v>18</v>
      </c>
      <c r="I10" s="21" t="s">
        <v>17</v>
      </c>
      <c r="J10" s="21" t="s">
        <v>18</v>
      </c>
      <c r="K10" s="21" t="s">
        <v>17</v>
      </c>
      <c r="L10" s="21" t="s">
        <v>19</v>
      </c>
      <c r="M10" s="21" t="s">
        <v>20</v>
      </c>
      <c r="N10" s="21" t="s">
        <v>174</v>
      </c>
      <c r="O10" s="21" t="s">
        <v>21</v>
      </c>
      <c r="P10" s="159" t="s">
        <v>22</v>
      </c>
      <c r="Q10" s="158" t="s">
        <v>19</v>
      </c>
      <c r="R10" s="21" t="s">
        <v>21</v>
      </c>
      <c r="S10" s="159" t="s">
        <v>22</v>
      </c>
      <c r="T10" s="165" t="s">
        <v>19</v>
      </c>
      <c r="U10" s="164" t="s">
        <v>21</v>
      </c>
      <c r="V10" s="163" t="s">
        <v>22</v>
      </c>
      <c r="W10" s="158" t="s">
        <v>19</v>
      </c>
      <c r="X10" s="21" t="s">
        <v>21</v>
      </c>
      <c r="Y10" s="159" t="s">
        <v>22</v>
      </c>
      <c r="Z10" s="158" t="s">
        <v>19</v>
      </c>
      <c r="AA10" s="21" t="s">
        <v>21</v>
      </c>
      <c r="AB10" s="159" t="s">
        <v>22</v>
      </c>
      <c r="AC10" s="162" t="s">
        <v>19</v>
      </c>
      <c r="AD10" s="161" t="s">
        <v>21</v>
      </c>
      <c r="AE10" s="160" t="s">
        <v>22</v>
      </c>
      <c r="AF10" s="158" t="s">
        <v>19</v>
      </c>
      <c r="AG10" s="21" t="s">
        <v>21</v>
      </c>
      <c r="AH10" s="159" t="s">
        <v>22</v>
      </c>
      <c r="AI10" s="158" t="s">
        <v>19</v>
      </c>
      <c r="AJ10" s="21" t="s">
        <v>21</v>
      </c>
      <c r="AK10" s="159" t="s">
        <v>22</v>
      </c>
      <c r="AL10" s="158" t="s">
        <v>19</v>
      </c>
      <c r="AM10" s="21" t="s">
        <v>21</v>
      </c>
      <c r="AN10" s="159" t="s">
        <v>22</v>
      </c>
      <c r="AU10" s="158" t="s">
        <v>173</v>
      </c>
      <c r="AV10" s="21" t="s">
        <v>172</v>
      </c>
      <c r="AW10" s="157" t="s">
        <v>22</v>
      </c>
      <c r="BA10" s="156"/>
      <c r="BB10" s="155"/>
      <c r="BC10" s="154"/>
      <c r="BD10" s="154"/>
      <c r="BE10" s="154"/>
    </row>
    <row r="11" spans="1:57" s="130" customFormat="1" x14ac:dyDescent="0.35">
      <c r="A11" s="7">
        <f t="shared" si="0"/>
        <v>5</v>
      </c>
      <c r="B11" s="1"/>
      <c r="C11" s="1"/>
      <c r="M11" s="144" t="s">
        <v>23</v>
      </c>
      <c r="O11" s="144" t="s">
        <v>171</v>
      </c>
      <c r="P11" s="145"/>
      <c r="Q11" s="144"/>
      <c r="R11" s="144" t="s">
        <v>170</v>
      </c>
      <c r="S11" s="153"/>
      <c r="T11" s="152"/>
      <c r="U11" s="152" t="s">
        <v>169</v>
      </c>
      <c r="V11" s="151"/>
      <c r="W11" s="144"/>
      <c r="X11" s="144" t="s">
        <v>168</v>
      </c>
      <c r="Y11" s="148"/>
      <c r="Z11" s="144"/>
      <c r="AA11" s="144" t="s">
        <v>168</v>
      </c>
      <c r="AB11" s="148"/>
      <c r="AC11" s="150"/>
      <c r="AD11" s="150" t="s">
        <v>168</v>
      </c>
      <c r="AE11" s="149"/>
      <c r="AF11" s="144"/>
      <c r="AG11" s="144" t="s">
        <v>168</v>
      </c>
      <c r="AH11" s="148"/>
      <c r="AI11" s="144"/>
      <c r="AJ11" s="147" t="s">
        <v>167</v>
      </c>
      <c r="AK11" s="146"/>
      <c r="AL11" s="144"/>
      <c r="AM11" s="144" t="s">
        <v>24</v>
      </c>
      <c r="AN11" s="145" t="s">
        <v>25</v>
      </c>
      <c r="AQ11" s="144" t="s">
        <v>166</v>
      </c>
      <c r="AR11" s="144" t="s">
        <v>9</v>
      </c>
      <c r="AS11" s="144" t="s">
        <v>165</v>
      </c>
      <c r="AU11" s="144"/>
      <c r="AV11" s="144" t="s">
        <v>164</v>
      </c>
      <c r="AW11" s="143" t="s">
        <v>163</v>
      </c>
      <c r="BA11" s="133"/>
      <c r="BB11" s="132" t="s">
        <v>1</v>
      </c>
      <c r="BC11" s="142" t="s">
        <v>3</v>
      </c>
      <c r="BD11" s="131" t="s">
        <v>162</v>
      </c>
      <c r="BE11" s="296" t="s">
        <v>161</v>
      </c>
    </row>
    <row r="12" spans="1:57" s="130" customFormat="1" x14ac:dyDescent="0.35">
      <c r="A12" s="7">
        <f t="shared" si="0"/>
        <v>6</v>
      </c>
      <c r="B12" s="141" t="s">
        <v>26</v>
      </c>
      <c r="C12" s="141" t="s">
        <v>15</v>
      </c>
      <c r="D12" s="135" t="s">
        <v>27</v>
      </c>
      <c r="E12" s="135" t="s">
        <v>28</v>
      </c>
      <c r="F12" s="135" t="s">
        <v>29</v>
      </c>
      <c r="G12" s="135"/>
      <c r="H12" s="135"/>
      <c r="I12" s="135" t="s">
        <v>30</v>
      </c>
      <c r="J12" s="135"/>
      <c r="K12" s="135"/>
      <c r="L12" s="135" t="s">
        <v>31</v>
      </c>
      <c r="M12" s="135" t="s">
        <v>32</v>
      </c>
      <c r="N12" s="135" t="s">
        <v>33</v>
      </c>
      <c r="O12" s="135" t="s">
        <v>34</v>
      </c>
      <c r="P12" s="136" t="s">
        <v>35</v>
      </c>
      <c r="Q12" s="135" t="s">
        <v>36</v>
      </c>
      <c r="R12" s="135" t="s">
        <v>37</v>
      </c>
      <c r="S12" s="136" t="s">
        <v>38</v>
      </c>
      <c r="T12" s="140" t="s">
        <v>160</v>
      </c>
      <c r="U12" s="140" t="s">
        <v>159</v>
      </c>
      <c r="V12" s="139" t="s">
        <v>158</v>
      </c>
      <c r="W12" s="135" t="s">
        <v>157</v>
      </c>
      <c r="X12" s="135" t="s">
        <v>156</v>
      </c>
      <c r="Y12" s="136" t="s">
        <v>155</v>
      </c>
      <c r="Z12" s="135" t="s">
        <v>157</v>
      </c>
      <c r="AA12" s="135" t="s">
        <v>156</v>
      </c>
      <c r="AB12" s="136" t="s">
        <v>155</v>
      </c>
      <c r="AC12" s="138" t="s">
        <v>157</v>
      </c>
      <c r="AD12" s="138" t="s">
        <v>156</v>
      </c>
      <c r="AE12" s="137" t="s">
        <v>155</v>
      </c>
      <c r="AF12" s="135" t="s">
        <v>157</v>
      </c>
      <c r="AG12" s="135" t="s">
        <v>156</v>
      </c>
      <c r="AH12" s="136" t="s">
        <v>155</v>
      </c>
      <c r="AI12" s="135" t="s">
        <v>154</v>
      </c>
      <c r="AJ12" s="135" t="s">
        <v>153</v>
      </c>
      <c r="AK12" s="136" t="s">
        <v>152</v>
      </c>
      <c r="AL12" s="135" t="s">
        <v>39</v>
      </c>
      <c r="AM12" s="135" t="s">
        <v>40</v>
      </c>
      <c r="AN12" s="136" t="s">
        <v>41</v>
      </c>
      <c r="AU12" s="135" t="s">
        <v>36</v>
      </c>
      <c r="AV12" s="135" t="s">
        <v>37</v>
      </c>
      <c r="AW12" s="134" t="s">
        <v>38</v>
      </c>
      <c r="BA12" s="133" t="s">
        <v>151</v>
      </c>
      <c r="BB12" s="132" t="s">
        <v>150</v>
      </c>
      <c r="BC12" s="131" t="s">
        <v>149</v>
      </c>
      <c r="BD12" s="131" t="s">
        <v>148</v>
      </c>
      <c r="BE12" s="296" t="s">
        <v>147</v>
      </c>
    </row>
    <row r="13" spans="1:57" x14ac:dyDescent="0.35">
      <c r="A13" s="7">
        <f t="shared" si="0"/>
        <v>7</v>
      </c>
      <c r="B13" s="50" t="s">
        <v>42</v>
      </c>
      <c r="C13" s="50"/>
      <c r="D13" s="49">
        <f>+'[2]Washington volumes'!J13</f>
        <v>179824.1</v>
      </c>
      <c r="E13" s="127" t="s">
        <v>43</v>
      </c>
      <c r="F13" s="47">
        <v>20</v>
      </c>
      <c r="G13" s="297">
        <v>5.5</v>
      </c>
      <c r="H13" s="297">
        <f>'[4]Aver Bill by RS'!$J13</f>
        <v>1.816614207786148</v>
      </c>
      <c r="I13" s="297">
        <f>G13-(IF(H13&gt;($F13*$H$3),($F13*$H$3),H13))</f>
        <v>3.6833857922138522</v>
      </c>
      <c r="J13" s="297">
        <f>'[4]Aver Bill by RS'!$J13</f>
        <v>1.816614207786148</v>
      </c>
      <c r="K13" s="38">
        <f t="shared" ref="K13:K19" si="2">G13-(IF(J13&gt;($F13*$H$4),($F13*$H$4),J13))</f>
        <v>3.6833857922138522</v>
      </c>
      <c r="L13" s="64">
        <f>+'[2]Rates in summary'!D13</f>
        <v>1.6683000000000003</v>
      </c>
      <c r="M13" s="38">
        <f t="shared" ref="M13:M18" si="3">ROUND(+$I13+(L13*$F13),2)</f>
        <v>37.049999999999997</v>
      </c>
      <c r="N13" s="64">
        <f>'[2]Rates in summary'!D13+[2]Temporaries!K13+[2]Temporaries!L13+[2]Temporaries!M13-[2]Temporaries!AX13</f>
        <v>1.6999500000000005</v>
      </c>
      <c r="O13" s="38">
        <f t="shared" ref="O13:O18" si="4">ROUND(I13+(F13*N13), 2)</f>
        <v>37.68</v>
      </c>
      <c r="P13" s="60">
        <f>ROUND((O13-M13)/M13,3)</f>
        <v>1.7000000000000001E-2</v>
      </c>
      <c r="Q13" s="64">
        <f>'[2]Rates in summary'!D13+[2]Temporaries!N13+[2]Temporaries!O13-[2]Temporaries!AY13</f>
        <v>1.6715100000000003</v>
      </c>
      <c r="R13" s="38">
        <f t="shared" ref="R13:R18" si="5">ROUND(I13+(F13*Q13),2)</f>
        <v>37.11</v>
      </c>
      <c r="S13" s="60">
        <f>ROUND((R13-M13)/M13,3)</f>
        <v>2E-3</v>
      </c>
      <c r="T13" s="126">
        <f>'[2]Rates in detail'!D13+[2]Temporaries!T13-[2]Temporaries!BD13+[2]Temporaries!S13-[2]Temporaries!BC13+[2]Temporaries!P13-[2]Temporaries!BB13++[2]Temporaries!Q13-[2]Temporaries!AW13</f>
        <v>1.6687900000000002</v>
      </c>
      <c r="U13" s="62">
        <f t="shared" ref="U13:U18" si="6">ROUND(I13+(F13*T13),2)</f>
        <v>37.06</v>
      </c>
      <c r="V13" s="61">
        <f t="shared" ref="V13:V18" si="7">ROUND((U13-M13)/M13,3)</f>
        <v>0</v>
      </c>
      <c r="W13" s="64">
        <f>'[2]Rates in summary'!D13+[2]Temporaries!R13-[2]Temporaries!AZ13</f>
        <v>1.6729200000000004</v>
      </c>
      <c r="X13" s="38">
        <f t="shared" ref="X13:X18" si="8">I13+(F13*W13)</f>
        <v>37.141785792213867</v>
      </c>
      <c r="Y13" s="60">
        <f t="shared" ref="Y13:Y18" si="9">(X13-M13)/M13</f>
        <v>2.4773493175133444E-3</v>
      </c>
      <c r="Z13" s="64">
        <f>'[2]Rates in summary'!D13+[2]Permanents!F13</f>
        <v>1.6685400000000004</v>
      </c>
      <c r="AA13" s="38">
        <f t="shared" ref="AA13:AA18" si="10">I13+(F13*Z13)</f>
        <v>37.054185792213865</v>
      </c>
      <c r="AB13" s="60">
        <f t="shared" ref="AB13:AB18" si="11">(AA13-M13)/M13</f>
        <v>1.1297684787766535E-4</v>
      </c>
      <c r="AC13" s="125">
        <f>'[2]Rates in summary'!D13+[2]Temporaries!U13-[2]Temporaries!BE13</f>
        <v>1.6683000000000003</v>
      </c>
      <c r="AD13" s="58">
        <f t="shared" ref="AD13:AD18" si="12">I13+(F13*AC13)</f>
        <v>37.049385792213862</v>
      </c>
      <c r="AE13" s="124">
        <f t="shared" ref="AE13:AE18" si="13">(AD13-M13)/M13</f>
        <v>-1.6577807992861627E-5</v>
      </c>
      <c r="AF13" s="64">
        <f>'[2]Rates in summary'!D13+[2]Temporaries!V13-[2]Temporaries!BF13</f>
        <v>1.6683000000000003</v>
      </c>
      <c r="AG13" s="38">
        <f t="shared" ref="AG13:AG18" si="14">K13+(F13*AF13)</f>
        <v>37.049385792213862</v>
      </c>
      <c r="AH13" s="60">
        <f t="shared" ref="AH13:AH18" si="15">(AG13-M13)/M13</f>
        <v>-1.6577807992861627E-5</v>
      </c>
      <c r="AI13" s="64">
        <f>'[2]Rates in summary'!G13+[2]Temporaries!J13</f>
        <v>1.5938900000000005</v>
      </c>
      <c r="AJ13" s="38">
        <f t="shared" ref="AJ13:AJ18" si="16">ROUND(I13+(F13*AI13),2)</f>
        <v>35.56</v>
      </c>
      <c r="AK13" s="55">
        <f t="shared" ref="AK13:AK18" si="17">ROUND((AJ13-M13)/M13,3)</f>
        <v>-0.04</v>
      </c>
      <c r="AL13" s="64">
        <f>+'[2]Rates in summary'!Q13</f>
        <v>1.6341000000000003</v>
      </c>
      <c r="AM13" s="38">
        <f>ROUND(+$K13+(AL13*$F13),2)</f>
        <v>36.369999999999997</v>
      </c>
      <c r="AN13" s="55">
        <f t="shared" ref="AN13:AN18" si="18">ROUND((AM13-M13)/M13,3)</f>
        <v>-1.7999999999999999E-2</v>
      </c>
      <c r="AO13" s="3"/>
      <c r="AP13" s="8"/>
      <c r="AQ13" s="4">
        <f t="shared" ref="AQ13:AQ76" si="19">AC13-L13</f>
        <v>0</v>
      </c>
      <c r="AR13" s="4">
        <f t="shared" ref="AR13:AR76" si="20">AF13-L13</f>
        <v>0</v>
      </c>
      <c r="AS13" s="4">
        <f t="shared" ref="AS13:AS76" si="21">AL13-L13</f>
        <v>-3.4200000000000008E-2</v>
      </c>
      <c r="AT13" s="4">
        <f>AS13-(AQ13+AR13)</f>
        <v>-3.4200000000000008E-2</v>
      </c>
      <c r="AU13" s="34">
        <f>+'[2]Rates in summary'!D13+[2]Temporaries!K13+[2]Temporaries!M13+[2]Temporaries!L13-[2]Temporaries!AX13</f>
        <v>1.6999500000000005</v>
      </c>
      <c r="AV13" s="33">
        <f t="shared" ref="AV13:AV18" si="22">ROUND(+$I13+(AU13*$F13),2)</f>
        <v>37.68</v>
      </c>
      <c r="AW13" s="123">
        <f t="shared" ref="AW13:AW18" si="23">ROUND((AV13-M13)/M13,3)</f>
        <v>1.7000000000000001E-2</v>
      </c>
      <c r="AX13" s="51"/>
      <c r="AY13" s="51"/>
      <c r="AZ13" s="51"/>
      <c r="BA13" s="116" t="s">
        <v>42</v>
      </c>
      <c r="BB13" s="113">
        <f t="shared" ref="BB13:BB18" si="24">M13</f>
        <v>37.049999999999997</v>
      </c>
      <c r="BC13" s="115">
        <f t="shared" ref="BC13:BC18" si="25">U13</f>
        <v>37.06</v>
      </c>
      <c r="BD13" s="113">
        <f t="shared" ref="BD13:BD34" si="26">BC13-BB13</f>
        <v>1.0000000000005116E-2</v>
      </c>
      <c r="BE13" s="298">
        <f t="shared" ref="BE13:BE34" si="27">ROUND((BC13-BB13)/BB13,3)</f>
        <v>0</v>
      </c>
    </row>
    <row r="14" spans="1:57" x14ac:dyDescent="0.35">
      <c r="A14" s="7">
        <f t="shared" si="0"/>
        <v>8</v>
      </c>
      <c r="B14" s="50" t="s">
        <v>44</v>
      </c>
      <c r="C14" s="50"/>
      <c r="D14" s="49">
        <f>+'[2]Washington volumes'!J14</f>
        <v>18807.400000000001</v>
      </c>
      <c r="E14" s="127" t="s">
        <v>43</v>
      </c>
      <c r="F14" s="47">
        <v>114</v>
      </c>
      <c r="G14" s="297">
        <v>7</v>
      </c>
      <c r="H14" s="297">
        <f>'[4]Aver Bill by RS'!$J14</f>
        <v>5.3425825423278139</v>
      </c>
      <c r="I14" s="297">
        <f t="shared" ref="I14:I17" si="28">G14-(IF(H14&gt;(F14*$H$3),(F14*$H$3),H14))</f>
        <v>1.6574174576721861</v>
      </c>
      <c r="J14" s="297">
        <f>'[4]Aver Bill by RS'!$J14</f>
        <v>5.3425825423278139</v>
      </c>
      <c r="K14" s="38">
        <f t="shared" si="2"/>
        <v>1.6574174576721861</v>
      </c>
      <c r="L14" s="64">
        <f>+'[2]Rates in summary'!D14</f>
        <v>1.672639999999999</v>
      </c>
      <c r="M14" s="38">
        <f t="shared" si="3"/>
        <v>192.34</v>
      </c>
      <c r="N14" s="64">
        <f>'[2]Rates in summary'!D14+[2]Temporaries!K14+[2]Temporaries!L14+[2]Temporaries!M14-[2]Temporaries!AX14</f>
        <v>1.6721499999999991</v>
      </c>
      <c r="O14" s="38">
        <f t="shared" si="4"/>
        <v>192.28</v>
      </c>
      <c r="P14" s="60">
        <f t="shared" ref="P14:P18" si="29">ROUND((O14-M14)/M14,3)</f>
        <v>0</v>
      </c>
      <c r="Q14" s="64">
        <f>'[2]Rates in summary'!D14+[2]Temporaries!N14+[2]Temporaries!O14-[2]Temporaries!AY14</f>
        <v>1.670869999999999</v>
      </c>
      <c r="R14" s="38">
        <f t="shared" si="5"/>
        <v>192.14</v>
      </c>
      <c r="S14" s="60">
        <f t="shared" ref="S14:S18" si="30">ROUND((R14-M14)/M14,3)</f>
        <v>-1E-3</v>
      </c>
      <c r="T14" s="126">
        <f>'[2]Rates in detail'!D14+[2]Temporaries!T14-[2]Temporaries!BD14+[2]Temporaries!S14-[2]Temporaries!BC14+[2]Temporaries!P14-[2]Temporaries!BB14++[2]Temporaries!Q14-[2]Temporaries!AW14</f>
        <v>1.6730599999999991</v>
      </c>
      <c r="U14" s="62">
        <f t="shared" si="6"/>
        <v>192.39</v>
      </c>
      <c r="V14" s="61">
        <f t="shared" si="7"/>
        <v>0</v>
      </c>
      <c r="W14" s="64">
        <f>'[2]Rates in summary'!D14+[2]Temporaries!R14-[2]Temporaries!AZ14</f>
        <v>1.672969999999999</v>
      </c>
      <c r="X14" s="38">
        <f t="shared" si="8"/>
        <v>192.37599745767207</v>
      </c>
      <c r="Y14" s="60">
        <f t="shared" si="9"/>
        <v>1.8715533779800047E-4</v>
      </c>
      <c r="Z14" s="64">
        <f>'[2]Rates in summary'!D14+[2]Permanents!F14</f>
        <v>1.672799999999999</v>
      </c>
      <c r="AA14" s="38">
        <f t="shared" si="10"/>
        <v>192.35661745767206</v>
      </c>
      <c r="AB14" s="60">
        <f t="shared" si="11"/>
        <v>8.6396265322112009E-5</v>
      </c>
      <c r="AC14" s="125">
        <f>'[2]Rates in summary'!D14+[2]Temporaries!U14-[2]Temporaries!BE14</f>
        <v>1.672639999999999</v>
      </c>
      <c r="AD14" s="58">
        <f t="shared" si="12"/>
        <v>192.33837745767207</v>
      </c>
      <c r="AE14" s="124">
        <f t="shared" si="13"/>
        <v>-8.4358028903845867E-6</v>
      </c>
      <c r="AF14" s="64">
        <f>'[2]Rates in summary'!D14+[2]Temporaries!V14-[2]Temporaries!BF14</f>
        <v>1.672639999999999</v>
      </c>
      <c r="AG14" s="38">
        <f t="shared" si="14"/>
        <v>192.33837745767207</v>
      </c>
      <c r="AH14" s="60">
        <f t="shared" si="15"/>
        <v>-8.4358028903845867E-6</v>
      </c>
      <c r="AI14" s="64">
        <f>'[2]Rates in summary'!G14+[2]Temporaries!J14</f>
        <v>1.5982299999999992</v>
      </c>
      <c r="AJ14" s="38">
        <f t="shared" si="16"/>
        <v>183.86</v>
      </c>
      <c r="AK14" s="55">
        <f t="shared" si="17"/>
        <v>-4.3999999999999997E-2</v>
      </c>
      <c r="AL14" s="64">
        <f>+'[2]Rates in summary'!Q14</f>
        <v>1.5968799999999992</v>
      </c>
      <c r="AM14" s="38">
        <f t="shared" ref="AM14:AM18" si="31">ROUND(+$K14+(AL14*$F14),2)</f>
        <v>183.7</v>
      </c>
      <c r="AN14" s="55">
        <f t="shared" si="18"/>
        <v>-4.4999999999999998E-2</v>
      </c>
      <c r="AO14" s="3"/>
      <c r="AP14" s="8"/>
      <c r="AQ14" s="4">
        <f t="shared" si="19"/>
        <v>0</v>
      </c>
      <c r="AR14" s="4">
        <f t="shared" si="20"/>
        <v>0</v>
      </c>
      <c r="AS14" s="4">
        <f t="shared" si="21"/>
        <v>-7.5759999999999827E-2</v>
      </c>
      <c r="AT14" s="4">
        <f t="shared" ref="AT14:AT77" si="32">AS14-(AQ14+AR14)</f>
        <v>-7.5759999999999827E-2</v>
      </c>
      <c r="AU14" s="34">
        <f>+'[2]Rates in summary'!D14+[2]Temporaries!K14+[2]Temporaries!M14+[2]Temporaries!L14-[2]Temporaries!AZ14</f>
        <v>1.7558699999999992</v>
      </c>
      <c r="AV14" s="33">
        <f t="shared" si="22"/>
        <v>201.83</v>
      </c>
      <c r="AW14" s="123">
        <f t="shared" si="23"/>
        <v>4.9000000000000002E-2</v>
      </c>
      <c r="AX14" s="51"/>
      <c r="AY14" s="51"/>
      <c r="AZ14" s="51"/>
      <c r="BA14" s="116" t="s">
        <v>44</v>
      </c>
      <c r="BB14" s="113">
        <f t="shared" si="24"/>
        <v>192.34</v>
      </c>
      <c r="BC14" s="115">
        <f t="shared" si="25"/>
        <v>192.39</v>
      </c>
      <c r="BD14" s="113">
        <f t="shared" si="26"/>
        <v>4.9999999999982947E-2</v>
      </c>
      <c r="BE14" s="298">
        <f t="shared" si="27"/>
        <v>0</v>
      </c>
    </row>
    <row r="15" spans="1:57" x14ac:dyDescent="0.35">
      <c r="A15" s="7">
        <f t="shared" si="0"/>
        <v>9</v>
      </c>
      <c r="B15" s="50" t="s">
        <v>45</v>
      </c>
      <c r="C15" s="50"/>
      <c r="D15" s="49">
        <f>+'[2]Washington volumes'!J15</f>
        <v>59991191.600000001</v>
      </c>
      <c r="E15" s="127" t="s">
        <v>43</v>
      </c>
      <c r="F15" s="47">
        <v>56</v>
      </c>
      <c r="G15" s="297">
        <v>8</v>
      </c>
      <c r="H15" s="297">
        <f>'[4]Aver Bill by RS'!$J15</f>
        <v>10.540904108741115</v>
      </c>
      <c r="I15" s="297">
        <f t="shared" si="28"/>
        <v>-2.5409041087411151</v>
      </c>
      <c r="J15" s="297">
        <f>'[4]Aver Bill by RS'!$J15</f>
        <v>10.540904108741115</v>
      </c>
      <c r="K15" s="38">
        <f t="shared" si="2"/>
        <v>-2.5409041087411151</v>
      </c>
      <c r="L15" s="64">
        <f>+'[2]Rates in summary'!D15</f>
        <v>1.3152700000000002</v>
      </c>
      <c r="M15" s="38">
        <f t="shared" si="3"/>
        <v>71.11</v>
      </c>
      <c r="N15" s="64">
        <f>'[2]Rates in summary'!D15+[2]Temporaries!K15+[2]Temporaries!L15+[2]Temporaries!M15-[2]Temporaries!AX15</f>
        <v>1.3168600000000001</v>
      </c>
      <c r="O15" s="38">
        <f t="shared" si="4"/>
        <v>71.2</v>
      </c>
      <c r="P15" s="60">
        <f t="shared" si="29"/>
        <v>1E-3</v>
      </c>
      <c r="Q15" s="64">
        <f>'[2]Rates in summary'!D15+[2]Temporaries!N15+[2]Temporaries!O15-[2]Temporaries!AY15</f>
        <v>1.3143899999999999</v>
      </c>
      <c r="R15" s="38">
        <f t="shared" si="5"/>
        <v>71.06</v>
      </c>
      <c r="S15" s="60">
        <f t="shared" si="30"/>
        <v>-1E-3</v>
      </c>
      <c r="T15" s="126">
        <f>'[2]Rates in detail'!D15+[2]Temporaries!T15-[2]Temporaries!BD15+[2]Temporaries!S15-[2]Temporaries!BC15+[2]Temporaries!P15-[2]Temporaries!BB15++[2]Temporaries!Q15-[2]Temporaries!AW15</f>
        <v>1.3154700000000001</v>
      </c>
      <c r="U15" s="62">
        <f t="shared" si="6"/>
        <v>71.13</v>
      </c>
      <c r="V15" s="61">
        <f t="shared" si="7"/>
        <v>0</v>
      </c>
      <c r="W15" s="64">
        <f>'[2]Rates in summary'!D15+[2]Temporaries!R15-[2]Temporaries!AZ15</f>
        <v>1.3157500000000002</v>
      </c>
      <c r="X15" s="38">
        <f t="shared" si="8"/>
        <v>71.1410958912589</v>
      </c>
      <c r="Y15" s="60">
        <f t="shared" si="9"/>
        <v>4.3729280352833793E-4</v>
      </c>
      <c r="Z15" s="64">
        <f>'[2]Rates in summary'!D15+[2]Permanents!F15</f>
        <v>1.3153800000000002</v>
      </c>
      <c r="AA15" s="38">
        <f t="shared" si="10"/>
        <v>71.120375891258888</v>
      </c>
      <c r="AB15" s="60">
        <f t="shared" si="11"/>
        <v>1.4591325072266508E-4</v>
      </c>
      <c r="AC15" s="125">
        <f>'[2]Rates in summary'!D15+[2]Temporaries!U15-[2]Temporaries!BE15</f>
        <v>1.3152700000000002</v>
      </c>
      <c r="AD15" s="58">
        <f t="shared" si="12"/>
        <v>71.114215891258894</v>
      </c>
      <c r="AE15" s="124">
        <f t="shared" si="13"/>
        <v>5.9286897185973058E-5</v>
      </c>
      <c r="AF15" s="64">
        <f>'[2]Rates in summary'!D15+[2]Temporaries!V15-[2]Temporaries!BF15</f>
        <v>1.3152699999999999</v>
      </c>
      <c r="AG15" s="38">
        <f t="shared" si="14"/>
        <v>71.11421589125888</v>
      </c>
      <c r="AH15" s="60">
        <f t="shared" si="15"/>
        <v>5.9286897185773212E-5</v>
      </c>
      <c r="AI15" s="64">
        <f>'[2]Rates in summary'!G15+[2]Temporaries!J15</f>
        <v>1.2408600000000003</v>
      </c>
      <c r="AJ15" s="38">
        <f t="shared" si="16"/>
        <v>66.95</v>
      </c>
      <c r="AK15" s="60">
        <f t="shared" si="17"/>
        <v>-5.8999999999999997E-2</v>
      </c>
      <c r="AL15" s="64">
        <f>+'[2]Rates in summary'!Q15</f>
        <v>1.2423600000000001</v>
      </c>
      <c r="AM15" s="38">
        <f>ROUND(+$K15+(AL15*$F15),2)</f>
        <v>67.03</v>
      </c>
      <c r="AN15" s="60">
        <f t="shared" si="18"/>
        <v>-5.7000000000000002E-2</v>
      </c>
      <c r="AP15" s="8"/>
      <c r="AQ15" s="4">
        <f t="shared" si="19"/>
        <v>0</v>
      </c>
      <c r="AR15" s="4">
        <f t="shared" si="20"/>
        <v>0</v>
      </c>
      <c r="AS15" s="4">
        <f t="shared" si="21"/>
        <v>-7.291000000000003E-2</v>
      </c>
      <c r="AT15" s="4">
        <f t="shared" si="32"/>
        <v>-7.291000000000003E-2</v>
      </c>
      <c r="AU15" s="34">
        <f>+'[2]Rates in summary'!D15+[2]Temporaries!K15+[2]Temporaries!M15+[2]Temporaries!L15-[2]Temporaries!AZ15</f>
        <v>1.3724900000000002</v>
      </c>
      <c r="AV15" s="33">
        <f t="shared" si="22"/>
        <v>74.319999999999993</v>
      </c>
      <c r="AW15" s="129">
        <f t="shared" si="23"/>
        <v>4.4999999999999998E-2</v>
      </c>
      <c r="AX15" s="51"/>
      <c r="AY15" s="51"/>
      <c r="AZ15" s="51"/>
      <c r="BA15" s="116" t="s">
        <v>45</v>
      </c>
      <c r="BB15" s="114">
        <f t="shared" si="24"/>
        <v>71.11</v>
      </c>
      <c r="BC15" s="114">
        <f t="shared" si="25"/>
        <v>71.13</v>
      </c>
      <c r="BD15" s="128">
        <f t="shared" si="26"/>
        <v>1.9999999999996021E-2</v>
      </c>
      <c r="BE15" s="299">
        <f t="shared" si="27"/>
        <v>0</v>
      </c>
    </row>
    <row r="16" spans="1:57" x14ac:dyDescent="0.35">
      <c r="A16" s="7">
        <f t="shared" si="0"/>
        <v>10</v>
      </c>
      <c r="B16" s="50" t="s">
        <v>46</v>
      </c>
      <c r="C16" s="50"/>
      <c r="D16" s="49">
        <f>+'[2]Washington volumes'!J16</f>
        <v>21359578.800000001</v>
      </c>
      <c r="E16" s="127" t="s">
        <v>43</v>
      </c>
      <c r="F16" s="47">
        <v>236</v>
      </c>
      <c r="G16" s="297">
        <v>22</v>
      </c>
      <c r="H16" s="297">
        <f>'[4]Aver Bill by RS'!$J16</f>
        <v>48.320758584764796</v>
      </c>
      <c r="I16" s="297">
        <f t="shared" si="28"/>
        <v>-26.320758584764796</v>
      </c>
      <c r="J16" s="297">
        <f>'[4]Aver Bill by RS'!$J16</f>
        <v>48.320758584764796</v>
      </c>
      <c r="K16" s="38">
        <f t="shared" si="2"/>
        <v>-26.320758584764796</v>
      </c>
      <c r="L16" s="64">
        <f>+'[2]Rates in summary'!D16</f>
        <v>1.2785399999999996</v>
      </c>
      <c r="M16" s="38">
        <f t="shared" si="3"/>
        <v>275.41000000000003</v>
      </c>
      <c r="N16" s="64">
        <f>'[2]Rates in summary'!D16+[2]Temporaries!K16+[2]Temporaries!L16+[2]Temporaries!M16-[2]Temporaries!AX16</f>
        <v>1.2794799999999995</v>
      </c>
      <c r="O16" s="38">
        <f t="shared" si="4"/>
        <v>275.64</v>
      </c>
      <c r="P16" s="60">
        <f t="shared" si="29"/>
        <v>1E-3</v>
      </c>
      <c r="Q16" s="64">
        <f>'[2]Rates in summary'!D16+[2]Temporaries!N16+[2]Temporaries!O16-[2]Temporaries!AY16</f>
        <v>1.2776899999999993</v>
      </c>
      <c r="R16" s="38">
        <f t="shared" si="5"/>
        <v>275.20999999999998</v>
      </c>
      <c r="S16" s="60">
        <f t="shared" si="30"/>
        <v>-1E-3</v>
      </c>
      <c r="T16" s="126">
        <f>'[2]Rates in detail'!D16+[2]Temporaries!T16-[2]Temporaries!BD16+[2]Temporaries!S16-[2]Temporaries!BC16+[2]Temporaries!P16-[2]Temporaries!BB16++[2]Temporaries!Q16-[2]Temporaries!AW16</f>
        <v>1.2787399999999995</v>
      </c>
      <c r="U16" s="62">
        <f t="shared" si="6"/>
        <v>275.45999999999998</v>
      </c>
      <c r="V16" s="61">
        <f t="shared" si="7"/>
        <v>0</v>
      </c>
      <c r="W16" s="64">
        <f>'[2]Rates in summary'!D16+[2]Temporaries!R16-[2]Temporaries!AZ16</f>
        <v>1.2789099999999995</v>
      </c>
      <c r="X16" s="38">
        <f t="shared" si="8"/>
        <v>275.5020014152351</v>
      </c>
      <c r="Y16" s="60">
        <f t="shared" si="9"/>
        <v>3.3405255885797373E-4</v>
      </c>
      <c r="Z16" s="64">
        <f>'[2]Rates in summary'!D16+[2]Permanents!F16</f>
        <v>1.2786399999999996</v>
      </c>
      <c r="AA16" s="38">
        <f t="shared" si="10"/>
        <v>275.43828141523511</v>
      </c>
      <c r="AB16" s="60">
        <f t="shared" si="11"/>
        <v>1.0268841086048148E-4</v>
      </c>
      <c r="AC16" s="125">
        <f>'[2]Rates in summary'!D16+[2]Temporaries!U16-[2]Temporaries!BE16</f>
        <v>1.2785399999999996</v>
      </c>
      <c r="AD16" s="58">
        <f t="shared" si="12"/>
        <v>275.41468141523512</v>
      </c>
      <c r="AE16" s="124">
        <f t="shared" si="13"/>
        <v>1.699798567625567E-5</v>
      </c>
      <c r="AF16" s="64">
        <f>'[2]Rates in summary'!D16+[2]Temporaries!V16-[2]Temporaries!BF16</f>
        <v>1.2785399999999996</v>
      </c>
      <c r="AG16" s="38">
        <f t="shared" si="14"/>
        <v>275.41468141523512</v>
      </c>
      <c r="AH16" s="60">
        <f t="shared" si="15"/>
        <v>1.699798567625567E-5</v>
      </c>
      <c r="AI16" s="64">
        <f>'[2]Rates in summary'!G16+[2]Temporaries!J16</f>
        <v>1.2041299999999997</v>
      </c>
      <c r="AJ16" s="38">
        <f t="shared" si="16"/>
        <v>257.85000000000002</v>
      </c>
      <c r="AK16" s="55">
        <f t="shared" si="17"/>
        <v>-6.4000000000000001E-2</v>
      </c>
      <c r="AL16" s="64">
        <f>+'[2]Rates in summary'!Q16</f>
        <v>1.2048899999999996</v>
      </c>
      <c r="AM16" s="38">
        <f t="shared" si="31"/>
        <v>258.02999999999997</v>
      </c>
      <c r="AN16" s="55">
        <f t="shared" si="18"/>
        <v>-6.3E-2</v>
      </c>
      <c r="AO16" s="3"/>
      <c r="AP16" s="8"/>
      <c r="AQ16" s="4">
        <f t="shared" si="19"/>
        <v>0</v>
      </c>
      <c r="AR16" s="4">
        <f t="shared" si="20"/>
        <v>0</v>
      </c>
      <c r="AS16" s="4">
        <f t="shared" si="21"/>
        <v>-7.3649999999999993E-2</v>
      </c>
      <c r="AT16" s="4">
        <f t="shared" si="32"/>
        <v>-7.3649999999999993E-2</v>
      </c>
      <c r="AU16" s="34">
        <f>+'[2]Rates in summary'!D16+[2]Temporaries!K16+[2]Temporaries!M16+[2]Temporaries!L16-[2]Temporaries!AZ16</f>
        <v>1.3289199999999994</v>
      </c>
      <c r="AV16" s="33">
        <f t="shared" si="22"/>
        <v>287.3</v>
      </c>
      <c r="AW16" s="123">
        <f t="shared" si="23"/>
        <v>4.2999999999999997E-2</v>
      </c>
      <c r="AX16" s="51"/>
      <c r="AY16" s="51"/>
      <c r="AZ16" s="51"/>
      <c r="BA16" s="116" t="s">
        <v>46</v>
      </c>
      <c r="BB16" s="115">
        <f t="shared" si="24"/>
        <v>275.41000000000003</v>
      </c>
      <c r="BC16" s="115">
        <f t="shared" si="25"/>
        <v>275.45999999999998</v>
      </c>
      <c r="BD16" s="113">
        <f t="shared" si="26"/>
        <v>4.9999999999954525E-2</v>
      </c>
      <c r="BE16" s="298">
        <f t="shared" si="27"/>
        <v>0</v>
      </c>
    </row>
    <row r="17" spans="1:57" x14ac:dyDescent="0.35">
      <c r="A17" s="7">
        <f t="shared" si="0"/>
        <v>11</v>
      </c>
      <c r="B17" s="50" t="s">
        <v>47</v>
      </c>
      <c r="C17" s="50"/>
      <c r="D17" s="49">
        <f>+'[2]Washington volumes'!J17</f>
        <v>192102.2</v>
      </c>
      <c r="E17" s="127" t="s">
        <v>43</v>
      </c>
      <c r="F17" s="47">
        <v>975</v>
      </c>
      <c r="G17" s="297">
        <v>22</v>
      </c>
      <c r="H17" s="297">
        <f>'[4]Aver Bill by RS'!$J17</f>
        <v>129.16257090345997</v>
      </c>
      <c r="I17" s="297">
        <f t="shared" si="28"/>
        <v>-107.16257090345997</v>
      </c>
      <c r="J17" s="297">
        <f>'[4]Aver Bill by RS'!$J17</f>
        <v>129.16257090345997</v>
      </c>
      <c r="K17" s="38">
        <f t="shared" si="2"/>
        <v>-107.16257090345997</v>
      </c>
      <c r="L17" s="64">
        <f>+'[2]Rates in summary'!D17</f>
        <v>1.2303099999999996</v>
      </c>
      <c r="M17" s="38">
        <f t="shared" si="3"/>
        <v>1092.3900000000001</v>
      </c>
      <c r="N17" s="64">
        <f>'[2]Rates in summary'!D17+[2]Temporaries!K17+[2]Temporaries!L17+[2]Temporaries!M17-[2]Temporaries!AX17</f>
        <v>1.2303099999999996</v>
      </c>
      <c r="O17" s="38">
        <f t="shared" si="4"/>
        <v>1092.3900000000001</v>
      </c>
      <c r="P17" s="60">
        <f t="shared" si="29"/>
        <v>0</v>
      </c>
      <c r="Q17" s="64">
        <f>'[2]Rates in summary'!D17+[2]Temporaries!N17+[2]Temporaries!O17-[2]Temporaries!AY17</f>
        <v>1.2295899999999995</v>
      </c>
      <c r="R17" s="38">
        <f t="shared" si="5"/>
        <v>1091.69</v>
      </c>
      <c r="S17" s="60">
        <f t="shared" si="30"/>
        <v>-1E-3</v>
      </c>
      <c r="T17" s="126">
        <f>'[2]Rates in detail'!D17+[2]Temporaries!T17-[2]Temporaries!BD17+[2]Temporaries!S17-[2]Temporaries!BC17+[2]Temporaries!P17-[2]Temporaries!BB17++[2]Temporaries!Q17-[2]Temporaries!AW17</f>
        <v>1.2298399999999996</v>
      </c>
      <c r="U17" s="62">
        <f t="shared" si="6"/>
        <v>1091.93</v>
      </c>
      <c r="V17" s="61">
        <f t="shared" si="7"/>
        <v>0</v>
      </c>
      <c r="W17" s="64">
        <f>'[2]Rates in summary'!D17+[2]Temporaries!R17-[2]Temporaries!AZ17</f>
        <v>1.2306999999999997</v>
      </c>
      <c r="X17" s="38">
        <f t="shared" si="8"/>
        <v>1092.7699290965397</v>
      </c>
      <c r="Y17" s="60">
        <f t="shared" si="9"/>
        <v>3.4779620514617185E-4</v>
      </c>
      <c r="Z17" s="64">
        <f>'[2]Rates in summary'!D17+[2]Permanents!F17</f>
        <v>1.2303999999999995</v>
      </c>
      <c r="AA17" s="38">
        <f t="shared" si="10"/>
        <v>1092.4774290965395</v>
      </c>
      <c r="AB17" s="60">
        <f t="shared" si="11"/>
        <v>8.0034691400856042E-5</v>
      </c>
      <c r="AC17" s="125">
        <f>'[2]Rates in summary'!D17+[2]Temporaries!U17-[2]Temporaries!BE17</f>
        <v>1.2303099999999996</v>
      </c>
      <c r="AD17" s="58">
        <f t="shared" si="12"/>
        <v>1092.3896790965396</v>
      </c>
      <c r="AE17" s="124">
        <f t="shared" si="13"/>
        <v>-2.9376272259300494E-7</v>
      </c>
      <c r="AF17" s="64">
        <f>'[2]Rates in summary'!D17+[2]Temporaries!V17-[2]Temporaries!BF17</f>
        <v>1.2303099999999993</v>
      </c>
      <c r="AG17" s="38">
        <f t="shared" si="14"/>
        <v>1092.3896790965393</v>
      </c>
      <c r="AH17" s="60">
        <f t="shared" si="15"/>
        <v>-2.9376272280114825E-7</v>
      </c>
      <c r="AI17" s="64">
        <f>'[2]Rates in summary'!G17+[2]Temporaries!J17</f>
        <v>1.1558999999999997</v>
      </c>
      <c r="AJ17" s="38">
        <f t="shared" si="16"/>
        <v>1019.84</v>
      </c>
      <c r="AK17" s="55">
        <f t="shared" si="17"/>
        <v>-6.6000000000000003E-2</v>
      </c>
      <c r="AL17" s="64">
        <f>+'[2]Rates in summary'!Q17</f>
        <v>1.1551899999999997</v>
      </c>
      <c r="AM17" s="38">
        <f t="shared" si="31"/>
        <v>1019.15</v>
      </c>
      <c r="AN17" s="55">
        <f t="shared" si="18"/>
        <v>-6.7000000000000004E-2</v>
      </c>
      <c r="AO17" s="3"/>
      <c r="AP17" s="8"/>
      <c r="AQ17" s="4">
        <f t="shared" si="19"/>
        <v>0</v>
      </c>
      <c r="AR17" s="4">
        <f t="shared" si="20"/>
        <v>0</v>
      </c>
      <c r="AS17" s="4">
        <f t="shared" si="21"/>
        <v>-7.5119999999999854E-2</v>
      </c>
      <c r="AT17" s="4">
        <f t="shared" si="32"/>
        <v>-7.5119999999999854E-2</v>
      </c>
      <c r="AU17" s="34">
        <f>+'[2]Rates in summary'!D17+[2]Temporaries!K17+[2]Temporaries!M17+[2]Temporaries!L17-[2]Temporaries!AZ17</f>
        <v>1.2237499999999997</v>
      </c>
      <c r="AV17" s="33">
        <f t="shared" si="22"/>
        <v>1085.99</v>
      </c>
      <c r="AW17" s="123">
        <f t="shared" si="23"/>
        <v>-6.0000000000000001E-3</v>
      </c>
      <c r="AX17" s="51"/>
      <c r="AY17" s="51"/>
      <c r="AZ17" s="51"/>
      <c r="BA17" s="116" t="s">
        <v>47</v>
      </c>
      <c r="BB17" s="115">
        <f t="shared" si="24"/>
        <v>1092.3900000000001</v>
      </c>
      <c r="BC17" s="115">
        <f t="shared" si="25"/>
        <v>1091.93</v>
      </c>
      <c r="BD17" s="113">
        <f t="shared" si="26"/>
        <v>-0.46000000000003638</v>
      </c>
      <c r="BE17" s="298">
        <f t="shared" si="27"/>
        <v>0</v>
      </c>
    </row>
    <row r="18" spans="1:57" x14ac:dyDescent="0.35">
      <c r="A18" s="7">
        <f t="shared" si="0"/>
        <v>12</v>
      </c>
      <c r="B18" s="69">
        <v>27</v>
      </c>
      <c r="C18" s="69"/>
      <c r="D18" s="49">
        <f>+'[2]Washington volumes'!J18</f>
        <v>34823.1</v>
      </c>
      <c r="E18" s="127" t="s">
        <v>43</v>
      </c>
      <c r="F18" s="47">
        <v>50</v>
      </c>
      <c r="G18" s="297">
        <v>9</v>
      </c>
      <c r="H18" s="297">
        <f>'[4]Aver Bill by RS'!$J18</f>
        <v>0</v>
      </c>
      <c r="I18" s="297">
        <f>G18-(IF(H18&gt;(F18*$H$3),(F18*$H$3),H18))</f>
        <v>9</v>
      </c>
      <c r="J18" s="297">
        <f>'[4]Aver Bill by RS'!$J18</f>
        <v>0</v>
      </c>
      <c r="K18" s="38">
        <f t="shared" si="2"/>
        <v>9</v>
      </c>
      <c r="L18" s="64">
        <f>+'[2]Rates in summary'!D18</f>
        <v>1.11591</v>
      </c>
      <c r="M18" s="38">
        <f t="shared" si="3"/>
        <v>64.8</v>
      </c>
      <c r="N18" s="64">
        <f>'[2]Rates in summary'!D18+[2]Temporaries!K18+[2]Temporaries!L18+[2]Temporaries!M18-[2]Temporaries!AX18</f>
        <v>1.1693099999999998</v>
      </c>
      <c r="O18" s="38">
        <f t="shared" si="4"/>
        <v>67.47</v>
      </c>
      <c r="P18" s="60">
        <f t="shared" si="29"/>
        <v>4.1000000000000002E-2</v>
      </c>
      <c r="Q18" s="64">
        <f>'[2]Rates in summary'!D18+[2]Temporaries!N18+[2]Temporaries!O18-[2]Temporaries!AY18</f>
        <v>1.1230199999999999</v>
      </c>
      <c r="R18" s="38">
        <f t="shared" si="5"/>
        <v>65.150000000000006</v>
      </c>
      <c r="S18" s="60">
        <f t="shared" si="30"/>
        <v>5.0000000000000001E-3</v>
      </c>
      <c r="T18" s="126">
        <f>'[2]Rates in detail'!D18+[2]Temporaries!T18-[2]Temporaries!BD18+[2]Temporaries!S18-[2]Temporaries!BC18+[2]Temporaries!P18-[2]Temporaries!BB18++[2]Temporaries!Q18-[2]Temporaries!AW18</f>
        <v>1.1162100000000001</v>
      </c>
      <c r="U18" s="62">
        <f t="shared" si="6"/>
        <v>64.81</v>
      </c>
      <c r="V18" s="61">
        <f t="shared" si="7"/>
        <v>0</v>
      </c>
      <c r="W18" s="64">
        <f>'[2]Rates in summary'!D18+[2]Temporaries!R18-[2]Temporaries!AZ18</f>
        <v>1.1232899999999999</v>
      </c>
      <c r="X18" s="38">
        <f t="shared" si="8"/>
        <v>65.164500000000004</v>
      </c>
      <c r="Y18" s="60">
        <f t="shared" si="9"/>
        <v>5.6250000000001039E-3</v>
      </c>
      <c r="Z18" s="64">
        <f>'[2]Rates in summary'!D18+[2]Permanents!F18</f>
        <v>1.1161699999999999</v>
      </c>
      <c r="AA18" s="38">
        <f t="shared" si="10"/>
        <v>64.808499999999995</v>
      </c>
      <c r="AB18" s="60">
        <f t="shared" si="11"/>
        <v>1.3117283950614126E-4</v>
      </c>
      <c r="AC18" s="125">
        <f>'[2]Rates in summary'!D18+[2]Temporaries!U18-[2]Temporaries!BE18</f>
        <v>1.11591</v>
      </c>
      <c r="AD18" s="58">
        <f t="shared" si="12"/>
        <v>64.795500000000004</v>
      </c>
      <c r="AE18" s="124">
        <f t="shared" si="13"/>
        <v>-6.9444444444337434E-5</v>
      </c>
      <c r="AF18" s="64">
        <f>'[2]Rates in summary'!D18+[2]Temporaries!V18-[2]Temporaries!BF18</f>
        <v>1.11591</v>
      </c>
      <c r="AG18" s="38">
        <f t="shared" si="14"/>
        <v>64.795500000000004</v>
      </c>
      <c r="AH18" s="60">
        <f t="shared" si="15"/>
        <v>-6.9444444444337434E-5</v>
      </c>
      <c r="AI18" s="64">
        <f>'[2]Rates in summary'!G18+[2]Temporaries!J18</f>
        <v>1.0415000000000001</v>
      </c>
      <c r="AJ18" s="38">
        <f t="shared" si="16"/>
        <v>61.08</v>
      </c>
      <c r="AK18" s="55">
        <f t="shared" si="17"/>
        <v>-5.7000000000000002E-2</v>
      </c>
      <c r="AL18" s="64">
        <f>+'[2]Rates in summary'!Q18</f>
        <v>1.10995</v>
      </c>
      <c r="AM18" s="38">
        <f t="shared" si="31"/>
        <v>64.5</v>
      </c>
      <c r="AN18" s="55">
        <f t="shared" si="18"/>
        <v>-5.0000000000000001E-3</v>
      </c>
      <c r="AO18" s="3"/>
      <c r="AP18" s="8"/>
      <c r="AQ18" s="4">
        <f t="shared" si="19"/>
        <v>0</v>
      </c>
      <c r="AR18" s="4">
        <f t="shared" si="20"/>
        <v>0</v>
      </c>
      <c r="AS18" s="4">
        <f t="shared" si="21"/>
        <v>-5.9599999999999653E-3</v>
      </c>
      <c r="AT18" s="4">
        <f t="shared" si="32"/>
        <v>-5.9599999999999653E-3</v>
      </c>
      <c r="AU18" s="34">
        <f>+'[2]Rates in summary'!D18+[2]Temporaries!K18+[2]Temporaries!M18+[2]Temporaries!L18-[2]Temporaries!AZ18</f>
        <v>1.2497299999999998</v>
      </c>
      <c r="AV18" s="33">
        <f t="shared" si="22"/>
        <v>71.489999999999995</v>
      </c>
      <c r="AW18" s="123">
        <f t="shared" si="23"/>
        <v>0.10299999999999999</v>
      </c>
      <c r="AX18" s="51"/>
      <c r="AY18" s="51"/>
      <c r="AZ18" s="51"/>
      <c r="BA18" s="116" t="s">
        <v>146</v>
      </c>
      <c r="BB18" s="115">
        <f t="shared" si="24"/>
        <v>64.8</v>
      </c>
      <c r="BC18" s="115">
        <f t="shared" si="25"/>
        <v>64.81</v>
      </c>
      <c r="BD18" s="113">
        <f t="shared" si="26"/>
        <v>1.0000000000005116E-2</v>
      </c>
      <c r="BE18" s="298">
        <f t="shared" si="27"/>
        <v>0</v>
      </c>
    </row>
    <row r="19" spans="1:57" x14ac:dyDescent="0.35">
      <c r="A19" s="7">
        <f t="shared" si="0"/>
        <v>13</v>
      </c>
      <c r="B19" s="7" t="s">
        <v>48</v>
      </c>
      <c r="C19" s="103" t="s">
        <v>49</v>
      </c>
      <c r="D19" s="102">
        <f>+'[2]Washington volumes'!J19</f>
        <v>1665389.3</v>
      </c>
      <c r="E19" s="101">
        <v>2000</v>
      </c>
      <c r="F19" s="100">
        <v>3436</v>
      </c>
      <c r="G19" s="300">
        <v>250</v>
      </c>
      <c r="H19" s="300">
        <f>'[4]Aver Bill by RS'!$J19</f>
        <v>515.08785319123695</v>
      </c>
      <c r="I19" s="300">
        <f>G19-(IF(H19&gt;(F19*$H$3),(F19*$H$3),H19))</f>
        <v>-265.08785319123695</v>
      </c>
      <c r="J19" s="300">
        <f>'[4]Aver Bill by RS'!$J19</f>
        <v>515.08785319123695</v>
      </c>
      <c r="K19" s="91">
        <f t="shared" si="2"/>
        <v>-265.08785319123695</v>
      </c>
      <c r="L19" s="51">
        <f>+'[2]Rates in summary'!D19</f>
        <v>1.0394899999999998</v>
      </c>
      <c r="M19" s="91"/>
      <c r="N19" s="51">
        <f>'[2]Rates in summary'!D19+[2]Temporaries!K19+[2]Temporaries!L19+[2]Temporaries!M19-[2]Temporaries!AX19</f>
        <v>1.0397099999999997</v>
      </c>
      <c r="O19" s="91"/>
      <c r="P19" s="93"/>
      <c r="Q19" s="51">
        <f>'[2]Rates in summary'!D19+[2]Temporaries!N19+[2]Temporaries!O19-[2]Temporaries!AY19</f>
        <v>1.0387099999999998</v>
      </c>
      <c r="R19" s="91"/>
      <c r="S19" s="93"/>
      <c r="T19" s="122">
        <f>'[2]Rates in detail'!D19+[2]Temporaries!T19-[2]Temporaries!BD19+[2]Temporaries!S19-[2]Temporaries!BC19+[2]Temporaries!P19-[2]Temporaries!BB19++[2]Temporaries!Q19-[2]Temporaries!AW19</f>
        <v>1.0396499999999997</v>
      </c>
      <c r="U19" s="98"/>
      <c r="V19" s="97"/>
      <c r="W19" s="51">
        <f>'[2]Rates in summary'!D19+[2]Temporaries!R19-[2]Temporaries!AZ19</f>
        <v>1.03972</v>
      </c>
      <c r="X19" s="91"/>
      <c r="Y19" s="93"/>
      <c r="Z19" s="51">
        <f>'[2]Rates in summary'!D19+[2]Permanents!F19</f>
        <v>1.0395699999999999</v>
      </c>
      <c r="AA19" s="91"/>
      <c r="AB19" s="93"/>
      <c r="AC19" s="96">
        <f>'[2]Rates in summary'!D19+[2]Temporaries!U19-[2]Temporaries!BE19</f>
        <v>1.0394899999999998</v>
      </c>
      <c r="AD19" s="95"/>
      <c r="AE19" s="94"/>
      <c r="AF19" s="51">
        <f>'[2]Rates in summary'!D19+[2]Temporaries!V19-[2]Temporaries!BF19</f>
        <v>1.0394899999999998</v>
      </c>
      <c r="AG19" s="91"/>
      <c r="AH19" s="93"/>
      <c r="AI19" s="64">
        <f>'[2]Rates in summary'!G19+[2]Temporaries!J19</f>
        <v>0.96812999999999982</v>
      </c>
      <c r="AJ19" s="91"/>
      <c r="AK19" s="92"/>
      <c r="AL19" s="51">
        <f>+'[2]Rates in summary'!Q19</f>
        <v>0.96803999999999979</v>
      </c>
      <c r="AM19" s="91"/>
      <c r="AN19" s="90"/>
      <c r="AO19" s="3"/>
      <c r="AP19" s="8"/>
      <c r="AQ19" s="4">
        <f t="shared" si="19"/>
        <v>0</v>
      </c>
      <c r="AR19" s="4">
        <f t="shared" si="20"/>
        <v>0</v>
      </c>
      <c r="AS19" s="4">
        <f t="shared" si="21"/>
        <v>-7.1450000000000014E-2</v>
      </c>
      <c r="AT19" s="4">
        <f>AS19-(AQ19+AR19)</f>
        <v>-7.1450000000000014E-2</v>
      </c>
      <c r="AU19" s="89">
        <f>+'[2]Rates in summary'!D19+[2]Temporaries!K19+[2]Temporaries!M19+[2]Temporaries!L19-[2]Temporaries!AZ19</f>
        <v>1.0794599999999999</v>
      </c>
      <c r="AV19" s="29"/>
      <c r="AW19" s="88"/>
      <c r="AX19" s="51"/>
      <c r="AY19" s="51"/>
      <c r="AZ19" s="51"/>
      <c r="BA19" s="116" t="s">
        <v>48</v>
      </c>
      <c r="BB19" s="115">
        <f>M21</f>
        <v>3222.8421468087627</v>
      </c>
      <c r="BC19" s="114">
        <f>U21</f>
        <v>3223.3321468087634</v>
      </c>
      <c r="BD19" s="113">
        <f t="shared" si="26"/>
        <v>0.49000000000069122</v>
      </c>
      <c r="BE19" s="298">
        <f t="shared" si="27"/>
        <v>0</v>
      </c>
    </row>
    <row r="20" spans="1:57" x14ac:dyDescent="0.35">
      <c r="A20" s="7">
        <f t="shared" si="0"/>
        <v>14</v>
      </c>
      <c r="B20" s="7"/>
      <c r="C20" s="103" t="s">
        <v>50</v>
      </c>
      <c r="D20" s="102">
        <f>+'[2]Washington volumes'!J20</f>
        <v>2698480.8</v>
      </c>
      <c r="E20" s="101" t="s">
        <v>51</v>
      </c>
      <c r="F20" s="100"/>
      <c r="G20" s="300"/>
      <c r="H20" s="301"/>
      <c r="I20" s="300"/>
      <c r="J20" s="301"/>
      <c r="K20" s="91"/>
      <c r="L20" s="51">
        <f>+'[2]Rates in summary'!D20</f>
        <v>0.98116000000000014</v>
      </c>
      <c r="M20" s="91"/>
      <c r="N20" s="51">
        <f>'[2]Rates in summary'!D20+[2]Temporaries!K20+[2]Temporaries!L20+[2]Temporaries!M20-[2]Temporaries!AX20</f>
        <v>0.98135000000000017</v>
      </c>
      <c r="O20" s="91"/>
      <c r="P20" s="93"/>
      <c r="Q20" s="51">
        <f>'[2]Rates in summary'!D20+[2]Temporaries!N20+[2]Temporaries!O20-[2]Temporaries!AY20</f>
        <v>0.98047000000000017</v>
      </c>
      <c r="R20" s="91"/>
      <c r="S20" s="93"/>
      <c r="T20" s="122">
        <f>'[2]Rates in detail'!D20+[2]Temporaries!T20-[2]Temporaries!BD20+[2]Temporaries!S20-[2]Temporaries!BC20+[2]Temporaries!P20-[2]Temporaries!BB20++[2]Temporaries!Q20-[2]Temporaries!AW20</f>
        <v>0.98128000000000004</v>
      </c>
      <c r="U20" s="98"/>
      <c r="V20" s="97"/>
      <c r="W20" s="51">
        <f>'[2]Rates in summary'!D20+[2]Temporaries!R20-[2]Temporaries!AZ20</f>
        <v>0.98136000000000012</v>
      </c>
      <c r="X20" s="91"/>
      <c r="Y20" s="93"/>
      <c r="Z20" s="51">
        <f>'[2]Rates in summary'!D20+[2]Permanents!F20</f>
        <v>0.98123000000000016</v>
      </c>
      <c r="AA20" s="91"/>
      <c r="AB20" s="93"/>
      <c r="AC20" s="96">
        <f>'[2]Rates in summary'!D20+[2]Temporaries!U20-[2]Temporaries!BE20</f>
        <v>0.98116000000000014</v>
      </c>
      <c r="AD20" s="95"/>
      <c r="AE20" s="94"/>
      <c r="AF20" s="51">
        <f>'[2]Rates in summary'!D20+[2]Temporaries!V20-[2]Temporaries!BF20</f>
        <v>0.98116000000000014</v>
      </c>
      <c r="AG20" s="91"/>
      <c r="AH20" s="93"/>
      <c r="AI20" s="64">
        <f>'[2]Rates in summary'!G20+[2]Temporaries!J20</f>
        <v>0.90980000000000005</v>
      </c>
      <c r="AJ20" s="91"/>
      <c r="AK20" s="92"/>
      <c r="AL20" s="51">
        <f>+'[2]Rates in summary'!Q20</f>
        <v>0.90969000000000011</v>
      </c>
      <c r="AM20" s="91"/>
      <c r="AN20" s="90"/>
      <c r="AO20" s="3"/>
      <c r="AP20" s="8"/>
      <c r="AQ20" s="4">
        <f t="shared" si="19"/>
        <v>0</v>
      </c>
      <c r="AR20" s="4">
        <f t="shared" si="20"/>
        <v>0</v>
      </c>
      <c r="AS20" s="4">
        <f t="shared" si="21"/>
        <v>-7.1470000000000034E-2</v>
      </c>
      <c r="AT20" s="4">
        <f t="shared" si="32"/>
        <v>-7.1470000000000034E-2</v>
      </c>
      <c r="AU20" s="89">
        <f>+'[2]Rates in summary'!D20+[2]Temporaries!K20+[2]Temporaries!M20+[2]Temporaries!L20-[2]Temporaries!AZ20</f>
        <v>1.0163700000000002</v>
      </c>
      <c r="AV20" s="29"/>
      <c r="AW20" s="88"/>
      <c r="AX20" s="51"/>
      <c r="AY20" s="51"/>
      <c r="AZ20" s="51"/>
      <c r="BA20" s="116" t="s">
        <v>54</v>
      </c>
      <c r="BB20" s="115">
        <f>M27</f>
        <v>250</v>
      </c>
      <c r="BC20" s="114">
        <f>U27</f>
        <v>250</v>
      </c>
      <c r="BD20" s="113">
        <f t="shared" si="26"/>
        <v>0</v>
      </c>
      <c r="BE20" s="298">
        <f t="shared" si="27"/>
        <v>0</v>
      </c>
    </row>
    <row r="21" spans="1:57" x14ac:dyDescent="0.35">
      <c r="A21" s="7">
        <f t="shared" si="0"/>
        <v>15</v>
      </c>
      <c r="B21" s="69"/>
      <c r="C21" s="87" t="s">
        <v>52</v>
      </c>
      <c r="D21" s="86"/>
      <c r="E21" s="85"/>
      <c r="F21" s="84"/>
      <c r="G21" s="302"/>
      <c r="H21" s="303"/>
      <c r="I21" s="302"/>
      <c r="J21" s="303"/>
      <c r="K21" s="74"/>
      <c r="L21" s="83"/>
      <c r="M21" s="74">
        <f>$I19+ROUND(IF($F19&lt;$E19,($F19*L19),IF($F19&gt;SUM($E19:$E20),(($E19*L19)+(($F19-$E19)*L20)),0)),2)</f>
        <v>3222.8421468087627</v>
      </c>
      <c r="N21" s="83"/>
      <c r="O21" s="74">
        <f>$I19+ROUND(IF($F19&lt;$E19,($F19*N19),IF($F19&gt;SUM($E19:$E20),(($E19*N19)+(($F19-$E19)*N20)),0)),2)</f>
        <v>3223.5521468087627</v>
      </c>
      <c r="P21" s="56">
        <f>ROUND((O21-M21)/M21,3)</f>
        <v>0</v>
      </c>
      <c r="Q21" s="83"/>
      <c r="R21" s="74">
        <f>$I19+ROUND(IF($F19&lt;$E19,($F19*Q19),IF($F19&gt;SUM($E19:$E20),(($E19*Q19)+(($F19-$E19)*Q20)),0)),2)</f>
        <v>3220.2821468087632</v>
      </c>
      <c r="S21" s="56">
        <f>ROUND((R21-M21)/M21,3)</f>
        <v>-1E-3</v>
      </c>
      <c r="T21" s="106"/>
      <c r="U21" s="81">
        <f>$I19+ROUND(IF($F19&lt;$E19,($F19*T19),IF($F19&gt;SUM($E19:$E20),(($E19*T19)+(($F19-$E19)*T20)),0)),2)</f>
        <v>3223.3321468087634</v>
      </c>
      <c r="V21" s="80">
        <f>ROUND((U21-M21)/M21,3)</f>
        <v>0</v>
      </c>
      <c r="W21" s="83"/>
      <c r="X21" s="74">
        <f>$I19+ROUND(IF($F19&lt;$E19,($F19*W19),IF($F19&gt;SUM($E19:$E20),(($E19*W19)+(($F19-$E19)*W20)),0)),2)</f>
        <v>3223.5821468087634</v>
      </c>
      <c r="Y21" s="56">
        <f>(X21-M21)/M21</f>
        <v>2.2961099746490358E-4</v>
      </c>
      <c r="Z21" s="83"/>
      <c r="AA21" s="74">
        <f>$I19+ROUND(IF($F19&lt;$E19,($F19*Z19),IF($F19&gt;SUM($E19:$E20),(($E19*Z19)+(($F19-$E19)*Z20)),0)),2)</f>
        <v>3223.1021468087629</v>
      </c>
      <c r="AB21" s="56">
        <f>(AA21-M21)/M21</f>
        <v>8.0674134244417957E-5</v>
      </c>
      <c r="AC21" s="104"/>
      <c r="AD21" s="77">
        <f>$I19+ROUND(IF($F19&lt;$E19,($F19*AC19),IF($F19&gt;SUM($E19:$E20),(($E19*AC19)+(($F19-$E19)*AC20)),0)),2)</f>
        <v>3222.8421468087627</v>
      </c>
      <c r="AE21" s="57">
        <f>(AD21-M21)/M21</f>
        <v>0</v>
      </c>
      <c r="AF21" s="83"/>
      <c r="AG21" s="74">
        <f>$K19+ROUND(IF($F19&lt;$E19,($F19*AF19),IF($F19&gt;SUM($E19:$E20),(($E19*AF19)+(($F19-$E19)*AF20)),0)),2)</f>
        <v>3222.8421468087627</v>
      </c>
      <c r="AH21" s="56">
        <f>(AG21-M21)/M21</f>
        <v>0</v>
      </c>
      <c r="AI21" s="83"/>
      <c r="AJ21" s="74">
        <f>$I19+ROUND(IF($F19&lt;$E19,($F19*AI19),IF($F19&gt;SUM($E19:$E20),(($E19*AI19)+(($F19-$E19)*AI20)),0)),2)</f>
        <v>2977.6421468087628</v>
      </c>
      <c r="AK21" s="56">
        <f>ROUND((AJ21-M21)/M21,3)</f>
        <v>-7.5999999999999998E-2</v>
      </c>
      <c r="AL21" s="83"/>
      <c r="AM21" s="74">
        <f>$K19+ROUND(IF($F19&lt;$E19,($F19*AL19),IF($F19&gt;SUM($E19:$E20),(($E19*AL19)+(($F19-$E19)*AL20)),0)),2)</f>
        <v>2977.3021468087627</v>
      </c>
      <c r="AN21" s="56">
        <f>ROUND((AM21-M21)/M21,3)</f>
        <v>-7.5999999999999998E-2</v>
      </c>
      <c r="AO21" s="3"/>
      <c r="AP21" s="8"/>
      <c r="AQ21" s="4">
        <f t="shared" si="19"/>
        <v>0</v>
      </c>
      <c r="AR21" s="4">
        <f t="shared" si="20"/>
        <v>0</v>
      </c>
      <c r="AS21" s="4">
        <f t="shared" si="21"/>
        <v>0</v>
      </c>
      <c r="AT21" s="4">
        <f t="shared" si="32"/>
        <v>0</v>
      </c>
      <c r="AU21" s="72"/>
      <c r="AV21" s="71">
        <f>$I19+ROUND(IF($F19&lt;$E19,($F19*AU19),IF($F19&gt;SUM($E19:$E20),(($E19*AU19)+(($F19-$E19)*AU20)),0)),2)</f>
        <v>3353.3421468087627</v>
      </c>
      <c r="AW21" s="70">
        <f>ROUND((AV21-M21)/M21,3)</f>
        <v>0.04</v>
      </c>
      <c r="AX21" s="51"/>
      <c r="AY21" s="51"/>
      <c r="AZ21" s="51"/>
      <c r="BA21" s="116" t="s">
        <v>56</v>
      </c>
      <c r="BB21" s="115">
        <f>M33</f>
        <v>2836.1121468087631</v>
      </c>
      <c r="BC21" s="114">
        <f>U33</f>
        <v>2833.942146808763</v>
      </c>
      <c r="BD21" s="113">
        <f t="shared" si="26"/>
        <v>-2.1700000000000728</v>
      </c>
      <c r="BE21" s="298">
        <f t="shared" si="27"/>
        <v>-1E-3</v>
      </c>
    </row>
    <row r="22" spans="1:57" x14ac:dyDescent="0.35">
      <c r="A22" s="7">
        <f t="shared" si="0"/>
        <v>16</v>
      </c>
      <c r="B22" s="7" t="s">
        <v>53</v>
      </c>
      <c r="C22" s="103" t="s">
        <v>49</v>
      </c>
      <c r="D22" s="102">
        <f>+'[2]Washington volumes'!J21</f>
        <v>331379.44452066539</v>
      </c>
      <c r="E22" s="101">
        <v>2000</v>
      </c>
      <c r="F22" s="100">
        <v>4741</v>
      </c>
      <c r="G22" s="300">
        <v>250</v>
      </c>
      <c r="H22" s="300">
        <f>'[4]Aver Bill by RS'!$J22</f>
        <v>622.72278920943302</v>
      </c>
      <c r="I22" s="300">
        <f>G22-(IF(H22&gt;(F22*$H$3),(F22*$H$3),H22))</f>
        <v>-372.72278920943302</v>
      </c>
      <c r="J22" s="300">
        <f>'[4]Aver Bill by RS'!$J22</f>
        <v>622.72278920943302</v>
      </c>
      <c r="K22" s="91">
        <f>G22-(IF(J22&gt;($F22*$H$4),($F22*$H$4),J22))</f>
        <v>-372.72278920943302</v>
      </c>
      <c r="L22" s="51">
        <f>+'[2]Rates in summary'!D21</f>
        <v>0.94622000000000028</v>
      </c>
      <c r="M22" s="91"/>
      <c r="N22" s="51">
        <f>'[2]Rates in summary'!D21+[2]Temporaries!K21+[2]Temporaries!L21+[2]Temporaries!M21-[2]Temporaries!AX21</f>
        <v>0.94622000000000028</v>
      </c>
      <c r="O22" s="91"/>
      <c r="P22" s="93"/>
      <c r="Q22" s="51">
        <f>'[2]Rates in summary'!D21+[2]Temporaries!N21+[2]Temporaries!O21-[2]Temporaries!AY21</f>
        <v>0.94593000000000038</v>
      </c>
      <c r="R22" s="91"/>
      <c r="S22" s="93"/>
      <c r="T22" s="117">
        <f>'[2]Rates in detail'!D21+[2]Temporaries!T21-[2]Temporaries!BD21+[2]Temporaries!S21-[2]Temporaries!BC21+[2]Temporaries!P21-[2]Temporaries!BB21++[2]Temporaries!Q21-[2]Temporaries!AW21</f>
        <v>0.94566000000000017</v>
      </c>
      <c r="U22" s="98"/>
      <c r="V22" s="97"/>
      <c r="W22" s="51">
        <f>'[2]Rates in summary'!D21+[2]Temporaries!R21-[2]Temporaries!AZ21</f>
        <v>0.94671000000000027</v>
      </c>
      <c r="X22" s="91"/>
      <c r="Y22" s="93"/>
      <c r="Z22" s="51">
        <f>'[2]Rates in summary'!D21+[2]Permanents!F21</f>
        <v>0.9462900000000003</v>
      </c>
      <c r="AA22" s="91"/>
      <c r="AB22" s="93"/>
      <c r="AC22" s="96">
        <f>'[2]Rates in summary'!D21+[2]Temporaries!U21-[2]Temporaries!BE21</f>
        <v>0.94622000000000028</v>
      </c>
      <c r="AD22" s="95"/>
      <c r="AE22" s="94"/>
      <c r="AF22" s="51">
        <f>'[2]Rates in summary'!D21+[2]Temporaries!V21-[2]Temporaries!BF21</f>
        <v>0.94622000000000039</v>
      </c>
      <c r="AG22" s="91"/>
      <c r="AH22" s="93"/>
      <c r="AI22" s="51">
        <f>'[2]Rates in summary'!G21+[2]Temporaries!J21</f>
        <v>0.8748600000000003</v>
      </c>
      <c r="AJ22" s="91"/>
      <c r="AK22" s="92"/>
      <c r="AL22" s="51">
        <f>+'[2]Rates in summary'!Q21</f>
        <v>0.87457000000000029</v>
      </c>
      <c r="AM22" s="91"/>
      <c r="AN22" s="75"/>
      <c r="AO22" s="3"/>
      <c r="AP22" s="8"/>
      <c r="AQ22" s="4">
        <f t="shared" si="19"/>
        <v>0</v>
      </c>
      <c r="AR22" s="4">
        <f t="shared" si="20"/>
        <v>0</v>
      </c>
      <c r="AS22" s="4">
        <f t="shared" si="21"/>
        <v>-7.1649999999999991E-2</v>
      </c>
      <c r="AT22" s="4">
        <f t="shared" si="32"/>
        <v>-7.1649999999999991E-2</v>
      </c>
      <c r="AU22" s="89">
        <f>+'[2]Rates in summary'!D21+[2]Temporaries!K21+[2]Temporaries!M21+[2]Temporaries!L21-[2]Temporaries!AZ21</f>
        <v>0.94129000000000029</v>
      </c>
      <c r="AV22" s="29"/>
      <c r="AW22" s="107"/>
      <c r="AX22" s="51"/>
      <c r="AY22" s="51"/>
      <c r="AZ22" s="51"/>
      <c r="BA22" s="116" t="s">
        <v>65</v>
      </c>
      <c r="BB22" s="115">
        <f>M64</f>
        <v>20723.220895181617</v>
      </c>
      <c r="BC22" s="114">
        <f>U64</f>
        <v>20681.190895181615</v>
      </c>
      <c r="BD22" s="113">
        <f t="shared" si="26"/>
        <v>-42.030000000002474</v>
      </c>
      <c r="BE22" s="298">
        <f t="shared" si="27"/>
        <v>-2E-3</v>
      </c>
    </row>
    <row r="23" spans="1:57" x14ac:dyDescent="0.35">
      <c r="A23" s="7">
        <f t="shared" si="0"/>
        <v>17</v>
      </c>
      <c r="B23" s="7"/>
      <c r="C23" s="103" t="s">
        <v>50</v>
      </c>
      <c r="D23" s="102">
        <f>+'[2]Washington volumes'!J22</f>
        <v>593486.75547933462</v>
      </c>
      <c r="E23" s="101" t="s">
        <v>51</v>
      </c>
      <c r="F23" s="109"/>
      <c r="G23" s="304"/>
      <c r="H23" s="305"/>
      <c r="I23" s="304"/>
      <c r="J23" s="305"/>
      <c r="K23" s="108"/>
      <c r="L23" s="51">
        <f>+'[2]Rates in summary'!D22</f>
        <v>0.89908999999999961</v>
      </c>
      <c r="M23" s="91"/>
      <c r="N23" s="51">
        <f>'[2]Rates in summary'!D22+[2]Temporaries!K22+[2]Temporaries!L22+[2]Temporaries!M22-[2]Temporaries!AX22</f>
        <v>0.89908999999999961</v>
      </c>
      <c r="O23" s="91"/>
      <c r="P23" s="93"/>
      <c r="Q23" s="51">
        <f>'[2]Rates in summary'!D22+[2]Temporaries!N22+[2]Temporaries!O22-[2]Temporaries!AY22</f>
        <v>0.89882999999999957</v>
      </c>
      <c r="R23" s="91"/>
      <c r="S23" s="93"/>
      <c r="T23" s="99">
        <f>'[2]Rates in detail'!D22+[2]Temporaries!T22-[2]Temporaries!BD22+[2]Temporaries!S22-[2]Temporaries!BC22+[2]Temporaries!P22-[2]Temporaries!BB22++[2]Temporaries!Q22-[2]Temporaries!AW22</f>
        <v>0.89848999999999957</v>
      </c>
      <c r="U23" s="98"/>
      <c r="V23" s="97"/>
      <c r="W23" s="51">
        <f>'[2]Rates in summary'!D22+[2]Temporaries!R22-[2]Temporaries!AZ22</f>
        <v>0.89952999999999961</v>
      </c>
      <c r="X23" s="91"/>
      <c r="Y23" s="93"/>
      <c r="Z23" s="51">
        <f>'[2]Rates in summary'!D22+[2]Permanents!F22</f>
        <v>0.89914999999999956</v>
      </c>
      <c r="AA23" s="91"/>
      <c r="AB23" s="93"/>
      <c r="AC23" s="96">
        <f>'[2]Rates in summary'!D22+[2]Temporaries!U22-[2]Temporaries!BE22</f>
        <v>0.89908999999999961</v>
      </c>
      <c r="AD23" s="95"/>
      <c r="AE23" s="94"/>
      <c r="AF23" s="51">
        <f>'[2]Rates in summary'!D22+[2]Temporaries!V22-[2]Temporaries!BF22</f>
        <v>0.89908999999999961</v>
      </c>
      <c r="AG23" s="91"/>
      <c r="AH23" s="93"/>
      <c r="AI23" s="51">
        <f>'[2]Rates in summary'!G22+[2]Temporaries!J22</f>
        <v>0.82772999999999952</v>
      </c>
      <c r="AJ23" s="91"/>
      <c r="AK23" s="92"/>
      <c r="AL23" s="51">
        <f>+'[2]Rates in summary'!Q22</f>
        <v>0.82736999999999949</v>
      </c>
      <c r="AM23" s="91"/>
      <c r="AN23" s="75"/>
      <c r="AO23" s="3"/>
      <c r="AP23" s="8"/>
      <c r="AQ23" s="4">
        <f t="shared" si="19"/>
        <v>0</v>
      </c>
      <c r="AR23" s="4">
        <f t="shared" si="20"/>
        <v>0</v>
      </c>
      <c r="AS23" s="4">
        <f t="shared" si="21"/>
        <v>-7.1720000000000117E-2</v>
      </c>
      <c r="AT23" s="4">
        <f t="shared" si="32"/>
        <v>-7.1720000000000117E-2</v>
      </c>
      <c r="AU23" s="89">
        <f>+'[2]Rates in summary'!D22+[2]Temporaries!K22+[2]Temporaries!M22+[2]Temporaries!L22-[2]Temporaries!AZ22</f>
        <v>0.8947499999999996</v>
      </c>
      <c r="AV23" s="29"/>
      <c r="AW23" s="107"/>
      <c r="AX23" s="51"/>
      <c r="AY23" s="51"/>
      <c r="AZ23" s="51"/>
      <c r="BA23" s="121" t="s">
        <v>66</v>
      </c>
      <c r="BB23" s="120">
        <f>M71</f>
        <v>23127.560663486882</v>
      </c>
      <c r="BC23" s="119">
        <f>U71</f>
        <v>23126.390663486884</v>
      </c>
      <c r="BD23" s="118">
        <f t="shared" si="26"/>
        <v>-1.1699999999982538</v>
      </c>
      <c r="BE23" s="306">
        <f t="shared" si="27"/>
        <v>0</v>
      </c>
    </row>
    <row r="24" spans="1:57" x14ac:dyDescent="0.35">
      <c r="A24" s="7">
        <f t="shared" si="0"/>
        <v>18</v>
      </c>
      <c r="B24" s="69"/>
      <c r="C24" s="87" t="s">
        <v>52</v>
      </c>
      <c r="D24" s="86"/>
      <c r="E24" s="85"/>
      <c r="F24" s="84"/>
      <c r="G24" s="302"/>
      <c r="H24" s="303"/>
      <c r="I24" s="302"/>
      <c r="J24" s="303"/>
      <c r="K24" s="74"/>
      <c r="L24" s="83"/>
      <c r="M24" s="74">
        <f>$I22+ROUND(IF($F22&lt;$E22,($F22*L22),IF($F22&gt;SUM($E22:$E23),(($E22*L22)+(($F22-$E22)*L23)),0)),2)</f>
        <v>3984.1272107905675</v>
      </c>
      <c r="N24" s="83"/>
      <c r="O24" s="74">
        <f>$I22+ROUND(IF($F22&lt;$E22,($F22*N22),IF($F22&gt;SUM($E22:$E23),(($E22*N22)+(($F22-$E22)*N23)),0)),2)</f>
        <v>3984.1272107905675</v>
      </c>
      <c r="P24" s="56">
        <f>ROUND((O24-M24)/M24,3)</f>
        <v>0</v>
      </c>
      <c r="Q24" s="83"/>
      <c r="R24" s="74">
        <f>$I22+ROUND(IF($F22&lt;$E22,($F22*Q22),IF($F22&gt;SUM($E22:$E23),(($E22*Q22)+(($F22-$E22)*Q23)),0)),2)</f>
        <v>3982.8272107905673</v>
      </c>
      <c r="S24" s="56">
        <f>ROUND((R24-M24)/M24,3)</f>
        <v>0</v>
      </c>
      <c r="T24" s="106"/>
      <c r="U24" s="81">
        <f>$I22+ROUND(IF($F22&lt;$E22,($F22*T22),IF($F22&gt;SUM($E22:$E23),(($E22*T22)+(($F22-$E22)*T23)),0)),2)</f>
        <v>3981.357210790567</v>
      </c>
      <c r="V24" s="80">
        <f>ROUND((U24-M24)/M24,3)</f>
        <v>-1E-3</v>
      </c>
      <c r="W24" s="83"/>
      <c r="X24" s="74">
        <f>$I22+ROUND(IF($F22&lt;$E22,($F22*W22),IF($F22&gt;SUM($E22:$E23),(($E22*W22)+(($F22-$E22)*W23)),0)),2)</f>
        <v>3986.3072107905668</v>
      </c>
      <c r="Y24" s="56">
        <f>(X24-M24)/M24</f>
        <v>5.4717128361139993E-4</v>
      </c>
      <c r="Z24" s="83"/>
      <c r="AA24" s="74">
        <f>$I22+ROUND(IF($F22&lt;$E22,($F22*Z22),IF($F22&gt;SUM($E22:$E23),(($E22*Z22)+(($F22-$E22)*Z23)),0)),2)</f>
        <v>3984.4272107905667</v>
      </c>
      <c r="AB24" s="56">
        <f>(AA24-M24)/M24</f>
        <v>7.5298800496820383E-5</v>
      </c>
      <c r="AC24" s="104"/>
      <c r="AD24" s="77">
        <f>$I22+ROUND(IF($F22&lt;$E22,($F22*AC22),IF($F22&gt;SUM($E22:$E23),(($E22*AC22)+(($F22-$E22)*AC23)),0)),2)</f>
        <v>3984.1272107905675</v>
      </c>
      <c r="AE24" s="57">
        <f>(AD24-M24)/M24</f>
        <v>0</v>
      </c>
      <c r="AF24" s="83"/>
      <c r="AG24" s="74">
        <f>$K22+ROUND(IF($F22&lt;$E22,($F22*AF22),IF($F22&gt;SUM($E22:$E23),(($E22*AF22)+(($F22-$E22)*AF23)),0)),2)</f>
        <v>3984.1272107905675</v>
      </c>
      <c r="AH24" s="56">
        <f>(AG24-M24)/M24</f>
        <v>0</v>
      </c>
      <c r="AI24" s="83"/>
      <c r="AJ24" s="74">
        <f>$I22+ROUND(IF($F22&lt;$E22,($F22*AI22),IF($F22&gt;SUM($E22:$E23),(($E22*AI22)+(($F22-$E22)*AI23)),0)),2)</f>
        <v>3645.8072107905673</v>
      </c>
      <c r="AK24" s="73">
        <f>ROUND((AJ24-M24)/M24,3)</f>
        <v>-8.5000000000000006E-2</v>
      </c>
      <c r="AL24" s="83"/>
      <c r="AM24" s="74">
        <f>$K22+ROUND(IF($F22&lt;$E22,($F22*AL22),IF($F22&gt;SUM($E22:$E23),(($E22*AL22)+(($F22-$E22)*AL23)),0)),2)</f>
        <v>3644.2372107905671</v>
      </c>
      <c r="AN24" s="73">
        <f>ROUND((AM24-M24)/M24,3)</f>
        <v>-8.5000000000000006E-2</v>
      </c>
      <c r="AO24" s="3"/>
      <c r="AP24" s="8"/>
      <c r="AQ24" s="4">
        <f t="shared" si="19"/>
        <v>0</v>
      </c>
      <c r="AR24" s="4">
        <f t="shared" si="20"/>
        <v>0</v>
      </c>
      <c r="AS24" s="4">
        <f t="shared" si="21"/>
        <v>0</v>
      </c>
      <c r="AT24" s="4">
        <f t="shared" si="32"/>
        <v>0</v>
      </c>
      <c r="AU24" s="72"/>
      <c r="AV24" s="71">
        <f>$I22+ROUND(IF($F22&lt;$E22,($F22*AU22),IF($F22&gt;SUM($E22:$E23),(($E22*AU22)+(($F22-$E22)*AU23)),0)),2)</f>
        <v>3962.3672107905672</v>
      </c>
      <c r="AW24" s="70">
        <f>ROUND((AV24-M24)/M24,3)</f>
        <v>-5.0000000000000001E-3</v>
      </c>
      <c r="AX24" s="51"/>
      <c r="AY24" s="51"/>
      <c r="AZ24" s="51"/>
      <c r="BA24" s="116" t="s">
        <v>67</v>
      </c>
      <c r="BB24" s="115">
        <f>M78</f>
        <v>7419.7766599999995</v>
      </c>
      <c r="BC24" s="114">
        <f>U78</f>
        <v>7411.9966599999989</v>
      </c>
      <c r="BD24" s="113">
        <f t="shared" si="26"/>
        <v>-7.7800000000006548</v>
      </c>
      <c r="BE24" s="298">
        <f t="shared" si="27"/>
        <v>-1E-3</v>
      </c>
    </row>
    <row r="25" spans="1:57" x14ac:dyDescent="0.35">
      <c r="A25" s="7">
        <f t="shared" si="0"/>
        <v>19</v>
      </c>
      <c r="B25" s="7" t="s">
        <v>54</v>
      </c>
      <c r="C25" s="103" t="s">
        <v>49</v>
      </c>
      <c r="D25" s="102">
        <f>+'[2]Washington volumes'!J23</f>
        <v>0</v>
      </c>
      <c r="E25" s="101">
        <v>2000</v>
      </c>
      <c r="F25" s="100">
        <v>0</v>
      </c>
      <c r="G25" s="300">
        <v>250</v>
      </c>
      <c r="H25" s="300">
        <f>'[4]Aver Bill by RS'!$J25</f>
        <v>515.08785319123695</v>
      </c>
      <c r="I25" s="300">
        <f>G25-(IF(H25&gt;(F25*$H$3),(F25*$H$3),H25))</f>
        <v>250</v>
      </c>
      <c r="J25" s="300">
        <f>'[4]Aver Bill by RS'!$J25</f>
        <v>515.08785319123695</v>
      </c>
      <c r="K25" s="91">
        <f>G25-(IF(J25&gt;($F25*$H$4),($F25*$H$4),J25))</f>
        <v>250</v>
      </c>
      <c r="L25" s="51">
        <f>+'[2]Rates in summary'!D23</f>
        <v>0.96427000000000007</v>
      </c>
      <c r="M25" s="91"/>
      <c r="N25" s="51">
        <f>'[2]Rates in summary'!D23+[2]Temporaries!K23+[2]Temporaries!L23+[2]Temporaries!M23-[2]Temporaries!AX23</f>
        <v>0.9654600000000001</v>
      </c>
      <c r="O25" s="91"/>
      <c r="P25" s="93"/>
      <c r="Q25" s="51">
        <f>'[2]Rates in summary'!D23+[2]Temporaries!N23+[2]Temporaries!O23-[2]Temporaries!AY23</f>
        <v>0.96372000000000013</v>
      </c>
      <c r="R25" s="91"/>
      <c r="S25" s="93"/>
      <c r="T25" s="117">
        <f>'[2]Rates in detail'!D23+[2]Temporaries!T23-[2]Temporaries!BD23+[2]Temporaries!S23-[2]Temporaries!BC23+[2]Temporaries!P23-[2]Temporaries!BB23++[2]Temporaries!Q23-[2]Temporaries!AW23</f>
        <v>0.9646300000000001</v>
      </c>
      <c r="U25" s="98"/>
      <c r="V25" s="97"/>
      <c r="W25" s="51">
        <f>'[2]Rates in summary'!D23+[2]Temporaries!R23-[2]Temporaries!AZ23</f>
        <v>0.96459000000000006</v>
      </c>
      <c r="X25" s="91"/>
      <c r="Y25" s="93"/>
      <c r="Z25" s="51">
        <f>'[2]Rates in summary'!D23+[2]Permanents!F23</f>
        <v>0.96434000000000009</v>
      </c>
      <c r="AA25" s="91"/>
      <c r="AB25" s="93"/>
      <c r="AC25" s="96">
        <f>'[2]Rates in summary'!D23+[2]Temporaries!U23-[2]Temporaries!BE23</f>
        <v>0.96427000000000007</v>
      </c>
      <c r="AD25" s="95"/>
      <c r="AE25" s="94"/>
      <c r="AF25" s="51">
        <f>'[2]Rates in summary'!D23+[2]Temporaries!V23-[2]Temporaries!BF23</f>
        <v>0.96427000000000007</v>
      </c>
      <c r="AG25" s="91"/>
      <c r="AH25" s="93"/>
      <c r="AI25" s="51">
        <f>'[2]Rates in summary'!G23+[2]Temporaries!J23</f>
        <v>0.92520999999999998</v>
      </c>
      <c r="AJ25" s="91"/>
      <c r="AK25" s="92"/>
      <c r="AL25" s="51">
        <f>+'[2]Rates in summary'!Q23</f>
        <v>0.92659999999999998</v>
      </c>
      <c r="AM25" s="91"/>
      <c r="AN25" s="75"/>
      <c r="AO25" s="3"/>
      <c r="AP25" s="8"/>
      <c r="AQ25" s="4">
        <f t="shared" si="19"/>
        <v>0</v>
      </c>
      <c r="AR25" s="4">
        <f t="shared" si="20"/>
        <v>0</v>
      </c>
      <c r="AS25" s="4">
        <f t="shared" si="21"/>
        <v>-3.7670000000000092E-2</v>
      </c>
      <c r="AT25" s="4">
        <f t="shared" si="32"/>
        <v>-3.7670000000000092E-2</v>
      </c>
      <c r="AU25" s="89">
        <f>+'[2]Rates in summary'!D23+[2]Temporaries!K23+[2]Temporaries!M23+[2]Temporaries!L23-[2]Temporaries!AZ23</f>
        <v>1.0006200000000001</v>
      </c>
      <c r="AV25" s="29"/>
      <c r="AW25" s="107"/>
      <c r="AX25" s="51"/>
      <c r="AY25" s="51"/>
      <c r="AZ25" s="51"/>
      <c r="BA25" s="116" t="s">
        <v>57</v>
      </c>
      <c r="BB25" s="115">
        <f>M36</f>
        <v>500</v>
      </c>
      <c r="BC25" s="114">
        <f>U36</f>
        <v>500</v>
      </c>
      <c r="BD25" s="113">
        <f t="shared" si="26"/>
        <v>0</v>
      </c>
      <c r="BE25" s="298">
        <f t="shared" si="27"/>
        <v>0</v>
      </c>
    </row>
    <row r="26" spans="1:57" x14ac:dyDescent="0.35">
      <c r="A26" s="7">
        <f t="shared" si="0"/>
        <v>20</v>
      </c>
      <c r="B26" s="7"/>
      <c r="C26" s="103" t="s">
        <v>50</v>
      </c>
      <c r="D26" s="102">
        <f>+'[2]Washington volumes'!J24</f>
        <v>0</v>
      </c>
      <c r="E26" s="101" t="s">
        <v>51</v>
      </c>
      <c r="F26" s="109"/>
      <c r="G26" s="304"/>
      <c r="H26" s="305"/>
      <c r="I26" s="304"/>
      <c r="J26" s="305"/>
      <c r="K26" s="108"/>
      <c r="L26" s="51">
        <f>+'[2]Rates in summary'!D24</f>
        <v>0.91047000000000022</v>
      </c>
      <c r="M26" s="91"/>
      <c r="N26" s="51">
        <f>'[2]Rates in summary'!D24+[2]Temporaries!K24+[2]Temporaries!L24+[2]Temporaries!M24-[2]Temporaries!AX24</f>
        <v>0.9115000000000002</v>
      </c>
      <c r="O26" s="91"/>
      <c r="P26" s="93"/>
      <c r="Q26" s="51">
        <f>'[2]Rates in summary'!D24+[2]Temporaries!N24+[2]Temporaries!O24-[2]Temporaries!AY24</f>
        <v>0.90997000000000017</v>
      </c>
      <c r="R26" s="91"/>
      <c r="S26" s="93"/>
      <c r="T26" s="99">
        <f>'[2]Rates in detail'!D24+[2]Temporaries!T24-[2]Temporaries!BD24+[2]Temporaries!S24-[2]Temporaries!BC24+[2]Temporaries!P24-[2]Temporaries!BB24++[2]Temporaries!Q24-[2]Temporaries!AW24</f>
        <v>0.91079000000000032</v>
      </c>
      <c r="U26" s="98"/>
      <c r="V26" s="97"/>
      <c r="W26" s="51">
        <f>'[2]Rates in summary'!D24+[2]Temporaries!R24-[2]Temporaries!AZ24</f>
        <v>0.91075000000000028</v>
      </c>
      <c r="X26" s="91"/>
      <c r="Y26" s="93"/>
      <c r="Z26" s="51">
        <f>'[2]Rates in summary'!D24+[2]Permanents!F24</f>
        <v>0.91053000000000017</v>
      </c>
      <c r="AA26" s="91"/>
      <c r="AB26" s="93"/>
      <c r="AC26" s="96">
        <f>'[2]Rates in summary'!D24+[2]Temporaries!U24-[2]Temporaries!BE24</f>
        <v>0.91047000000000022</v>
      </c>
      <c r="AD26" s="95"/>
      <c r="AE26" s="94"/>
      <c r="AF26" s="51">
        <f>'[2]Rates in summary'!D24+[2]Temporaries!V24-[2]Temporaries!BF24</f>
        <v>0.91047000000000022</v>
      </c>
      <c r="AG26" s="91"/>
      <c r="AH26" s="93"/>
      <c r="AI26" s="51">
        <f>'[2]Rates in summary'!G24+[2]Temporaries!J24</f>
        <v>0.87141000000000013</v>
      </c>
      <c r="AJ26" s="91"/>
      <c r="AK26" s="92"/>
      <c r="AL26" s="51">
        <f>+'[2]Rates in summary'!Q24</f>
        <v>0.87260000000000026</v>
      </c>
      <c r="AM26" s="91"/>
      <c r="AN26" s="75"/>
      <c r="AO26" s="3"/>
      <c r="AP26" s="8"/>
      <c r="AQ26" s="4">
        <f t="shared" si="19"/>
        <v>0</v>
      </c>
      <c r="AR26" s="4">
        <f t="shared" si="20"/>
        <v>0</v>
      </c>
      <c r="AS26" s="4">
        <f t="shared" si="21"/>
        <v>-3.7869999999999959E-2</v>
      </c>
      <c r="AT26" s="4">
        <f t="shared" si="32"/>
        <v>-3.7869999999999959E-2</v>
      </c>
      <c r="AU26" s="89">
        <f>+'[2]Rates in summary'!D24+[2]Temporaries!K24+[2]Temporaries!M24+[2]Temporaries!L24-[2]Temporaries!AZ24</f>
        <v>0.94249000000000027</v>
      </c>
      <c r="AV26" s="29"/>
      <c r="AW26" s="107"/>
      <c r="AX26" s="51"/>
      <c r="AY26" s="51"/>
      <c r="AZ26" s="51"/>
      <c r="BA26" s="116" t="s">
        <v>53</v>
      </c>
      <c r="BB26" s="115">
        <f>M24</f>
        <v>3984.1272107905675</v>
      </c>
      <c r="BC26" s="114">
        <f>U24</f>
        <v>3981.357210790567</v>
      </c>
      <c r="BD26" s="113">
        <f t="shared" si="26"/>
        <v>-2.7700000000004366</v>
      </c>
      <c r="BE26" s="298">
        <f t="shared" si="27"/>
        <v>-1E-3</v>
      </c>
    </row>
    <row r="27" spans="1:57" x14ac:dyDescent="0.35">
      <c r="A27" s="7">
        <f t="shared" si="0"/>
        <v>21</v>
      </c>
      <c r="B27" s="69"/>
      <c r="C27" s="87" t="s">
        <v>52</v>
      </c>
      <c r="D27" s="86"/>
      <c r="E27" s="85"/>
      <c r="F27" s="84"/>
      <c r="G27" s="302"/>
      <c r="H27" s="303"/>
      <c r="I27" s="302"/>
      <c r="J27" s="303"/>
      <c r="K27" s="74"/>
      <c r="L27" s="83"/>
      <c r="M27" s="74">
        <f>$I25+ROUND(IF($F25&lt;$E25,($F25*L25),IF($F25&gt;SUM($E25:$E25),(($E25*L25)+(($F25-$E25)*L25)),0)),2)</f>
        <v>250</v>
      </c>
      <c r="N27" s="83"/>
      <c r="O27" s="74">
        <f>$I25+ROUND(IF($F25&lt;$E25,($F25*N25),IF($F25&gt;SUM($E25:$E26),(($E25*N25)+(($F25-$E25)*N26)),0)),2)</f>
        <v>250</v>
      </c>
      <c r="P27" s="56">
        <f>ROUND((O27-M27)/M27,3)</f>
        <v>0</v>
      </c>
      <c r="Q27" s="83"/>
      <c r="R27" s="74">
        <f>$I25+ROUND(IF($F25&lt;$E25,($F25*Q25),IF($F25&gt;SUM($E25:$E26),(($E25*Q25)+(($F25-$E25)*Q26)),0)),2)</f>
        <v>250</v>
      </c>
      <c r="S27" s="56">
        <f>ROUND((R27-M27)/M27,3)</f>
        <v>0</v>
      </c>
      <c r="T27" s="106"/>
      <c r="U27" s="81">
        <f>$I25+ROUND(IF($F25&lt;$E25,($F25*T25),IF($F25&gt;SUM($E25:$E26),(($E25*T25)+(($F25-$E25)*T26)),0)),2)</f>
        <v>250</v>
      </c>
      <c r="V27" s="80">
        <f>ROUND((U27-M27)/M27,3)</f>
        <v>0</v>
      </c>
      <c r="W27" s="83"/>
      <c r="X27" s="74">
        <f>$I25+ROUND(IF($F25&lt;$E25,($F25*W25),IF($F25&gt;SUM($E25:$E26),(($E25*W25)+(($F25-$E25)*W26)),0)),2)</f>
        <v>250</v>
      </c>
      <c r="Y27" s="56">
        <f>(X27-M27)/M27</f>
        <v>0</v>
      </c>
      <c r="Z27" s="83"/>
      <c r="AA27" s="74">
        <f>$I25+ROUND(IF($F25&lt;$E25,($F25*Z25),IF($F25&gt;SUM($E25:$E26),(($E25*Z25)+(($F25-$E25)*Z26)),0)),2)</f>
        <v>250</v>
      </c>
      <c r="AB27" s="56">
        <f>(AA27-M27)/M27</f>
        <v>0</v>
      </c>
      <c r="AC27" s="104"/>
      <c r="AD27" s="77">
        <f>$I25+ROUND(IF($F25&lt;$E25,($F25*AC25),IF($F25&gt;SUM($E25:$E26),(($E25*AC25)+(($F25-$E25)*AC26)),0)),2)</f>
        <v>250</v>
      </c>
      <c r="AE27" s="57">
        <f>(AD27-M27)/M27</f>
        <v>0</v>
      </c>
      <c r="AF27" s="83"/>
      <c r="AG27" s="74">
        <f>$K25+ROUND(IF($F25&lt;$E25,($F25*AF25),IF($F25&gt;SUM($E25:$E26),(($E25*AF25)+(($F25-$E25)*AF26)),0)),2)</f>
        <v>250</v>
      </c>
      <c r="AH27" s="56">
        <f>(AG27-M27)/M27</f>
        <v>0</v>
      </c>
      <c r="AI27" s="83"/>
      <c r="AJ27" s="74">
        <f>$I25+ROUND(IF($F25&lt;$E25,($F25*AI25),IF($F25&gt;SUM($E25:$E25),(($E25*AI25)+(($F25-$E25)*AI25)),0)),2)</f>
        <v>250</v>
      </c>
      <c r="AK27" s="73">
        <f>ROUND((AJ27-M27)/M27,3)</f>
        <v>0</v>
      </c>
      <c r="AL27" s="83"/>
      <c r="AM27" s="74">
        <f>$K25+ROUND(IF($F25&lt;$E25,($F25*AL25),IF($F25&gt;SUM($E25:$E25),(($E25*AL25)+(($F25-$E25)*AL25)),0)),2)</f>
        <v>250</v>
      </c>
      <c r="AN27" s="73">
        <f>ROUND((AM27-M27)/M27,3)</f>
        <v>0</v>
      </c>
      <c r="AO27" s="3"/>
      <c r="AP27" s="8"/>
      <c r="AQ27" s="4">
        <f t="shared" si="19"/>
        <v>0</v>
      </c>
      <c r="AR27" s="4">
        <f t="shared" si="20"/>
        <v>0</v>
      </c>
      <c r="AS27" s="4">
        <f t="shared" si="21"/>
        <v>0</v>
      </c>
      <c r="AT27" s="4">
        <f t="shared" si="32"/>
        <v>0</v>
      </c>
      <c r="AU27" s="72"/>
      <c r="AV27" s="71">
        <f>$I25+ROUND(IF($F25&lt;$E25,($F25*AU25),IF($F25&gt;SUM($E25:$E25),(($E25*AU25)+(($F25-$E25)*AU25)),0)),2)</f>
        <v>250</v>
      </c>
      <c r="AW27" s="70">
        <f>ROUND((AV27-M27)/M27,3)</f>
        <v>0</v>
      </c>
      <c r="AX27" s="51"/>
      <c r="AY27" s="51"/>
      <c r="AZ27" s="51"/>
      <c r="BA27" s="116" t="s">
        <v>55</v>
      </c>
      <c r="BB27" s="115">
        <f>M30</f>
        <v>250</v>
      </c>
      <c r="BC27" s="114">
        <f>U30</f>
        <v>250</v>
      </c>
      <c r="BD27" s="113">
        <f t="shared" si="26"/>
        <v>0</v>
      </c>
      <c r="BE27" s="298">
        <f t="shared" si="27"/>
        <v>0</v>
      </c>
    </row>
    <row r="28" spans="1:57" x14ac:dyDescent="0.35">
      <c r="A28" s="7">
        <f t="shared" si="0"/>
        <v>22</v>
      </c>
      <c r="B28" s="7" t="s">
        <v>55</v>
      </c>
      <c r="C28" s="103" t="s">
        <v>49</v>
      </c>
      <c r="D28" s="102">
        <f>+'[2]Washington volumes'!J25</f>
        <v>0</v>
      </c>
      <c r="E28" s="101">
        <v>2000</v>
      </c>
      <c r="F28" s="100">
        <v>0</v>
      </c>
      <c r="G28" s="300">
        <v>250</v>
      </c>
      <c r="H28" s="300">
        <f>'[4]Aver Bill by RS'!$J28</f>
        <v>622.72278920943302</v>
      </c>
      <c r="I28" s="300">
        <f>G28-(IF(H28&gt;(F28*$H$3),(F28*$H$3),H28))</f>
        <v>250</v>
      </c>
      <c r="J28" s="300">
        <f>'[4]Aver Bill by RS'!$J28</f>
        <v>622.72278920943302</v>
      </c>
      <c r="K28" s="91">
        <f>G28-(IF(J28&gt;($F28*$H$4),($F28*$H$4),J28))</f>
        <v>250</v>
      </c>
      <c r="L28" s="51">
        <f>+'[2]Rates in summary'!D25</f>
        <v>0.90245000000000009</v>
      </c>
      <c r="M28" s="91"/>
      <c r="N28" s="51">
        <f>'[2]Rates in summary'!D25+[2]Temporaries!K25+[2]Temporaries!L25+[2]Temporaries!M25-[2]Temporaries!AX25</f>
        <v>0.90245000000000009</v>
      </c>
      <c r="O28" s="91"/>
      <c r="P28" s="93"/>
      <c r="Q28" s="51">
        <f>'[2]Rates in summary'!D25+[2]Temporaries!N25+[2]Temporaries!O25-[2]Temporaries!AY25</f>
        <v>0.90190999999999999</v>
      </c>
      <c r="R28" s="91"/>
      <c r="S28" s="93"/>
      <c r="T28" s="117">
        <f>'[2]Rates in detail'!D25+[2]Temporaries!T25-[2]Temporaries!BD25+[2]Temporaries!S25-[2]Temporaries!BC25+[2]Temporaries!P25-[2]Temporaries!BB25++[2]Temporaries!Q25-[2]Temporaries!AW25</f>
        <v>0.90211000000000008</v>
      </c>
      <c r="U28" s="98"/>
      <c r="V28" s="97"/>
      <c r="W28" s="51">
        <f>'[2]Rates in summary'!D25+[2]Temporaries!R25-[2]Temporaries!AZ25</f>
        <v>0.90276000000000001</v>
      </c>
      <c r="X28" s="91"/>
      <c r="Y28" s="93"/>
      <c r="Z28" s="51">
        <f>'[2]Rates in summary'!D25+[2]Permanents!F25</f>
        <v>0.9025200000000001</v>
      </c>
      <c r="AA28" s="91"/>
      <c r="AB28" s="93"/>
      <c r="AC28" s="96">
        <f>'[2]Rates in summary'!D25+[2]Temporaries!U25-[2]Temporaries!BE25</f>
        <v>0.90245000000000009</v>
      </c>
      <c r="AD28" s="95"/>
      <c r="AE28" s="94"/>
      <c r="AF28" s="51">
        <f>'[2]Rates in summary'!D25+[2]Temporaries!V25-[2]Temporaries!BF25</f>
        <v>0.90245000000000009</v>
      </c>
      <c r="AG28" s="91"/>
      <c r="AH28" s="93"/>
      <c r="AI28" s="51">
        <f>'[2]Rates in summary'!G25+[2]Temporaries!J25</f>
        <v>0.86338999999999999</v>
      </c>
      <c r="AJ28" s="91"/>
      <c r="AK28" s="92"/>
      <c r="AL28" s="51">
        <f>+'[2]Rates in summary'!Q25</f>
        <v>0.86289000000000005</v>
      </c>
      <c r="AM28" s="91"/>
      <c r="AN28" s="90"/>
      <c r="AO28" s="3"/>
      <c r="AP28" s="8"/>
      <c r="AQ28" s="4">
        <f t="shared" si="19"/>
        <v>0</v>
      </c>
      <c r="AR28" s="4">
        <f t="shared" si="20"/>
        <v>0</v>
      </c>
      <c r="AS28" s="4">
        <f t="shared" si="21"/>
        <v>-3.956000000000004E-2</v>
      </c>
      <c r="AT28" s="4">
        <f t="shared" si="32"/>
        <v>-3.956000000000004E-2</v>
      </c>
      <c r="AU28" s="89">
        <f>+'[2]Rates in summary'!D25+[2]Temporaries!K25+[2]Temporaries!M25+[2]Temporaries!L25-[2]Temporaries!AZ25</f>
        <v>0.89729000000000003</v>
      </c>
      <c r="AV28" s="29"/>
      <c r="AW28" s="88"/>
      <c r="AX28" s="51"/>
      <c r="AY28" s="51"/>
      <c r="AZ28" s="51"/>
      <c r="BA28" s="116" t="s">
        <v>145</v>
      </c>
      <c r="BB28" s="115">
        <f>M85</f>
        <v>1550</v>
      </c>
      <c r="BC28" s="114">
        <f>U85</f>
        <v>1550</v>
      </c>
      <c r="BD28" s="113">
        <f t="shared" si="26"/>
        <v>0</v>
      </c>
      <c r="BE28" s="298">
        <f t="shared" si="27"/>
        <v>0</v>
      </c>
    </row>
    <row r="29" spans="1:57" x14ac:dyDescent="0.35">
      <c r="A29" s="7">
        <f t="shared" si="0"/>
        <v>23</v>
      </c>
      <c r="B29" s="7"/>
      <c r="C29" s="103" t="s">
        <v>50</v>
      </c>
      <c r="D29" s="102">
        <f>+'[2]Washington volumes'!J26</f>
        <v>0</v>
      </c>
      <c r="E29" s="101" t="s">
        <v>51</v>
      </c>
      <c r="F29" s="100"/>
      <c r="G29" s="300"/>
      <c r="H29" s="301"/>
      <c r="I29" s="300"/>
      <c r="J29" s="301"/>
      <c r="K29" s="91"/>
      <c r="L29" s="51">
        <f>+'[2]Rates in summary'!D26</f>
        <v>0.8560899999999998</v>
      </c>
      <c r="M29" s="91"/>
      <c r="N29" s="51">
        <f>'[2]Rates in summary'!D26+[2]Temporaries!K26+[2]Temporaries!L26+[2]Temporaries!M26-[2]Temporaries!AX26</f>
        <v>0.8560899999999998</v>
      </c>
      <c r="O29" s="91"/>
      <c r="P29" s="93"/>
      <c r="Q29" s="51">
        <f>'[2]Rates in summary'!D26+[2]Temporaries!N26+[2]Temporaries!O26-[2]Temporaries!AY26</f>
        <v>0.85562999999999978</v>
      </c>
      <c r="R29" s="91"/>
      <c r="S29" s="93"/>
      <c r="T29" s="99">
        <f>'[2]Rates in detail'!D26+[2]Temporaries!T26-[2]Temporaries!BD26+[2]Temporaries!S26-[2]Temporaries!BC26+[2]Temporaries!P26-[2]Temporaries!BB26++[2]Temporaries!Q26-[2]Temporaries!AW26</f>
        <v>0.85570999999999986</v>
      </c>
      <c r="U29" s="98"/>
      <c r="V29" s="97"/>
      <c r="W29" s="51">
        <f>'[2]Rates in summary'!D26+[2]Temporaries!R26-[2]Temporaries!AZ26</f>
        <v>0.85635999999999979</v>
      </c>
      <c r="X29" s="91"/>
      <c r="Y29" s="93"/>
      <c r="Z29" s="51">
        <f>'[2]Rates in summary'!D26+[2]Permanents!F26</f>
        <v>0.85614999999999974</v>
      </c>
      <c r="AA29" s="91"/>
      <c r="AB29" s="93"/>
      <c r="AC29" s="96">
        <f>'[2]Rates in summary'!D26+[2]Temporaries!U26-[2]Temporaries!BE26</f>
        <v>0.8560899999999998</v>
      </c>
      <c r="AD29" s="95"/>
      <c r="AE29" s="94"/>
      <c r="AF29" s="51">
        <f>'[2]Rates in summary'!D26+[2]Temporaries!V26-[2]Temporaries!BF26</f>
        <v>0.85608999999999968</v>
      </c>
      <c r="AG29" s="91"/>
      <c r="AH29" s="93"/>
      <c r="AI29" s="51">
        <f>'[2]Rates in summary'!G26+[2]Temporaries!J26</f>
        <v>0.81702999999999981</v>
      </c>
      <c r="AJ29" s="91"/>
      <c r="AK29" s="92"/>
      <c r="AL29" s="51">
        <f>+'[2]Rates in summary'!Q26</f>
        <v>0.81651999999999991</v>
      </c>
      <c r="AM29" s="91"/>
      <c r="AN29" s="90"/>
      <c r="AO29" s="3"/>
      <c r="AP29" s="8"/>
      <c r="AQ29" s="4">
        <f t="shared" si="19"/>
        <v>0</v>
      </c>
      <c r="AR29" s="4">
        <f t="shared" si="20"/>
        <v>0</v>
      </c>
      <c r="AS29" s="4">
        <f t="shared" si="21"/>
        <v>-3.9569999999999883E-2</v>
      </c>
      <c r="AT29" s="4">
        <f t="shared" si="32"/>
        <v>-3.9569999999999883E-2</v>
      </c>
      <c r="AU29" s="89">
        <f>+'[2]Rates in summary'!D26+[2]Temporaries!K26+[2]Temporaries!M26+[2]Temporaries!L26-[2]Temporaries!AZ26</f>
        <v>0.85153999999999974</v>
      </c>
      <c r="AV29" s="29"/>
      <c r="AW29" s="88"/>
      <c r="AX29" s="51"/>
      <c r="AY29" s="51"/>
      <c r="AZ29" s="51"/>
      <c r="BA29" s="116" t="s">
        <v>144</v>
      </c>
      <c r="BB29" s="115">
        <f>M92</f>
        <v>30845.000895181613</v>
      </c>
      <c r="BC29" s="114">
        <f>U92</f>
        <v>30781.170895181618</v>
      </c>
      <c r="BD29" s="113">
        <f t="shared" si="26"/>
        <v>-63.82999999999447</v>
      </c>
      <c r="BE29" s="298">
        <f t="shared" si="27"/>
        <v>-2E-3</v>
      </c>
    </row>
    <row r="30" spans="1:57" x14ac:dyDescent="0.35">
      <c r="A30" s="7">
        <f t="shared" si="0"/>
        <v>24</v>
      </c>
      <c r="B30" s="69"/>
      <c r="C30" s="87" t="s">
        <v>52</v>
      </c>
      <c r="D30" s="86"/>
      <c r="E30" s="85"/>
      <c r="F30" s="84"/>
      <c r="G30" s="302"/>
      <c r="H30" s="303"/>
      <c r="I30" s="302"/>
      <c r="J30" s="303"/>
      <c r="K30" s="74"/>
      <c r="L30" s="83"/>
      <c r="M30" s="74">
        <f>$I28+ROUND(IF($F28&lt;$E28,($F28*L28),IF($F28&gt;SUM($E28:$E29),(($E28*L28)+(($F28-$E28)*L29)),0)),2)</f>
        <v>250</v>
      </c>
      <c r="N30" s="83"/>
      <c r="O30" s="74">
        <f>$I28+ROUND(IF($F28&lt;$E28,($F28*N28),IF($F28&gt;SUM($E28:$E29),(($E28*N28)+(($F28-$E28)*N29)),0)),2)</f>
        <v>250</v>
      </c>
      <c r="P30" s="56">
        <f>ROUND((O30-M30)/M30,3)</f>
        <v>0</v>
      </c>
      <c r="Q30" s="83"/>
      <c r="R30" s="74">
        <f>$I28+ROUND(IF($F28&lt;$E28,($F28*Q28),IF($F28&gt;SUM($E28:$E29),(($E28*Q28)+(($F28-$E28)*Q29)),0)),2)</f>
        <v>250</v>
      </c>
      <c r="S30" s="56">
        <f>ROUND((R30-M30)/M30,3)</f>
        <v>0</v>
      </c>
      <c r="T30" s="106"/>
      <c r="U30" s="81">
        <f>$I28+ROUND(IF($F28&lt;$E28,($F28*T28),IF($F28&gt;SUM($E28:$E29),(($E28*T28)+(($F28-$E28)*T29)),0)),2)</f>
        <v>250</v>
      </c>
      <c r="V30" s="80">
        <f>ROUND((U30-M30)/M30,3)</f>
        <v>0</v>
      </c>
      <c r="W30" s="83"/>
      <c r="X30" s="74">
        <f>$I28+ROUND(IF($F28&lt;$E28,($F28*W28),IF($F28&gt;SUM($E28:$E29),(($E28*W28)+(($F28-$E28)*W29)),0)),2)</f>
        <v>250</v>
      </c>
      <c r="Y30" s="56">
        <f>(X30-M30)/M30</f>
        <v>0</v>
      </c>
      <c r="Z30" s="83"/>
      <c r="AA30" s="74">
        <f>$I28+ROUND(IF($F28&lt;$E28,($F28*Z28),IF($F28&gt;SUM($E28:$E29),(($E28*Z28)+(($F28-$E28)*Z29)),0)),2)</f>
        <v>250</v>
      </c>
      <c r="AB30" s="56">
        <f>(AA30-M30)/M30</f>
        <v>0</v>
      </c>
      <c r="AC30" s="104"/>
      <c r="AD30" s="77">
        <f>$I28+ROUND(IF($F28&lt;$E28,($F28*AC28),IF($F28&gt;SUM($E28:$E29),(($E28*AC28)+(($F28-$E28)*AC29)),0)),2)</f>
        <v>250</v>
      </c>
      <c r="AE30" s="57">
        <f>(AD30-M30)/M30</f>
        <v>0</v>
      </c>
      <c r="AF30" s="83"/>
      <c r="AG30" s="74">
        <f>$K28+ROUND(IF($F28&lt;$E28,($F28*AF28),IF($F28&gt;SUM($E28:$E29),(($E28*AF28)+(($F28-$E28)*AF29)),0)),2)</f>
        <v>250</v>
      </c>
      <c r="AH30" s="56">
        <f>(AG30-M30)/M30</f>
        <v>0</v>
      </c>
      <c r="AI30" s="83"/>
      <c r="AJ30" s="74">
        <f>$I28+ROUND(IF($F28&lt;$E28,($F28*AI28),IF($F28&gt;SUM($E28:$E29),(($E28*AI28)+(($F28-$E28)*AI29)),0)),2)</f>
        <v>250</v>
      </c>
      <c r="AK30" s="73">
        <f>ROUND((AJ30-M30)/M30,3)</f>
        <v>0</v>
      </c>
      <c r="AL30" s="83"/>
      <c r="AM30" s="74">
        <f>$K28+ROUND(IF($F28&lt;$E28,($F28*AL28),IF($F28&gt;SUM($E28:$E29),(($E28*AL28)+(($F28-$E28)*AL29)),0)),2)</f>
        <v>250</v>
      </c>
      <c r="AN30" s="73">
        <f>ROUND((AM30-M30)/M30,3)</f>
        <v>0</v>
      </c>
      <c r="AO30" s="3"/>
      <c r="AP30" s="8"/>
      <c r="AQ30" s="4">
        <f t="shared" si="19"/>
        <v>0</v>
      </c>
      <c r="AR30" s="4">
        <f t="shared" si="20"/>
        <v>0</v>
      </c>
      <c r="AS30" s="4">
        <f t="shared" si="21"/>
        <v>0</v>
      </c>
      <c r="AT30" s="4">
        <f t="shared" si="32"/>
        <v>0</v>
      </c>
      <c r="AU30" s="72"/>
      <c r="AV30" s="71">
        <f>$I28+ROUND(IF($F28&lt;$E28,($F28*AU28),IF($F28&gt;SUM($E28:$E29),(($E28*AU28)+(($F28-$E28)*AU29)),0)),2)</f>
        <v>250</v>
      </c>
      <c r="AW30" s="70">
        <f>ROUND((AV30-M30)/M30,3)</f>
        <v>0</v>
      </c>
      <c r="AX30" s="51"/>
      <c r="AY30" s="51"/>
      <c r="AZ30" s="51"/>
      <c r="BA30" s="116" t="s">
        <v>70</v>
      </c>
      <c r="BB30" s="115">
        <f>M93</f>
        <v>38000</v>
      </c>
      <c r="BC30" s="114">
        <f>U93</f>
        <v>38000</v>
      </c>
      <c r="BD30" s="113">
        <f t="shared" si="26"/>
        <v>0</v>
      </c>
      <c r="BE30" s="298">
        <f t="shared" si="27"/>
        <v>0</v>
      </c>
    </row>
    <row r="31" spans="1:57" x14ac:dyDescent="0.35">
      <c r="A31" s="7">
        <f t="shared" si="0"/>
        <v>25</v>
      </c>
      <c r="B31" s="7" t="s">
        <v>56</v>
      </c>
      <c r="C31" s="103" t="s">
        <v>49</v>
      </c>
      <c r="D31" s="102">
        <f>+'[2]Washington volumes'!J27</f>
        <v>123242.73967014518</v>
      </c>
      <c r="E31" s="101">
        <v>2000</v>
      </c>
      <c r="F31" s="100">
        <v>4648</v>
      </c>
      <c r="G31" s="300">
        <f>250+250</f>
        <v>500</v>
      </c>
      <c r="H31" s="300">
        <f>'[4]Aver Bill by RS'!$J31</f>
        <v>515.08785319123695</v>
      </c>
      <c r="I31" s="300">
        <f>G31-(IF(H31&gt;(F31*$H$3),(F31*$H$3),H31))</f>
        <v>-15.087853191236945</v>
      </c>
      <c r="J31" s="300">
        <f>'[4]Aver Bill by RS'!$J31</f>
        <v>515.08785319123695</v>
      </c>
      <c r="K31" s="91">
        <f>G31-(IF(J31&gt;($F31*$H$4),($F31*$H$4),J31))</f>
        <v>-15.087853191236945</v>
      </c>
      <c r="L31" s="51">
        <f>+'[2]Rates in summary'!D27</f>
        <v>0.64044000000000001</v>
      </c>
      <c r="M31" s="91"/>
      <c r="N31" s="51">
        <f>'[2]Rates in summary'!D27+[2]Temporaries!K27+[2]Temporaries!L27+[2]Temporaries!M27-[2]Temporaries!AX27</f>
        <v>0.64044000000000001</v>
      </c>
      <c r="O31" s="91"/>
      <c r="P31" s="93"/>
      <c r="Q31" s="51">
        <f>'[2]Rates in summary'!D27+[2]Temporaries!N27+[2]Temporaries!O27-[2]Temporaries!AY27</f>
        <v>0.64044000000000001</v>
      </c>
      <c r="R31" s="91"/>
      <c r="S31" s="93"/>
      <c r="T31" s="99">
        <f>'[2]Rates in detail'!D27+[2]Temporaries!T27-[2]Temporaries!BD27+[2]Temporaries!S27-[2]Temporaries!BC27+[2]Temporaries!P27-[2]Temporaries!BB27++[2]Temporaries!Q27-[2]Temporaries!AW27</f>
        <v>0.63998999999999995</v>
      </c>
      <c r="U31" s="98"/>
      <c r="V31" s="97"/>
      <c r="W31" s="51">
        <f>'[2]Rates in summary'!D27+[2]Temporaries!R27-[2]Temporaries!AZ27</f>
        <v>0.64091000000000009</v>
      </c>
      <c r="X31" s="91"/>
      <c r="Y31" s="93"/>
      <c r="Z31" s="51">
        <f>'[2]Rates in summary'!D27+[2]Permanents!F27</f>
        <v>0.64044000000000001</v>
      </c>
      <c r="AA31" s="91"/>
      <c r="AB31" s="93"/>
      <c r="AC31" s="96">
        <f>'[2]Rates in summary'!D27+[2]Temporaries!U27-[2]Temporaries!BE27</f>
        <v>0.64044000000000001</v>
      </c>
      <c r="AD31" s="95"/>
      <c r="AE31" s="94"/>
      <c r="AF31" s="51">
        <f>'[2]Rates in summary'!D27+[2]Temporaries!V27-[2]Temporaries!BF27</f>
        <v>0.64044000000000001</v>
      </c>
      <c r="AG31" s="91"/>
      <c r="AH31" s="93"/>
      <c r="AI31" s="51">
        <f>'[2]Rates in summary'!G27+[2]Temporaries!J27</f>
        <v>0.64044000000000001</v>
      </c>
      <c r="AJ31" s="91"/>
      <c r="AK31" s="92"/>
      <c r="AL31" s="51">
        <f>+'[2]Rates in summary'!Q27</f>
        <v>0.64046000000000003</v>
      </c>
      <c r="AM31" s="91"/>
      <c r="AN31" s="90"/>
      <c r="AO31" s="3"/>
      <c r="AP31" s="8"/>
      <c r="AQ31" s="4">
        <f t="shared" si="19"/>
        <v>0</v>
      </c>
      <c r="AR31" s="4">
        <f t="shared" si="20"/>
        <v>0</v>
      </c>
      <c r="AS31" s="4">
        <f t="shared" si="21"/>
        <v>2.0000000000020002E-5</v>
      </c>
      <c r="AT31" s="4">
        <f t="shared" si="32"/>
        <v>2.0000000000020002E-5</v>
      </c>
      <c r="AU31" s="89">
        <f>+'[2]Rates in summary'!D27+[2]Temporaries!K27+[2]Temporaries!M27+[2]Temporaries!L27-[2]Temporaries!AZ27</f>
        <v>0.63475000000000004</v>
      </c>
      <c r="AV31" s="29"/>
      <c r="AW31" s="88"/>
      <c r="AX31" s="51"/>
      <c r="AY31" s="51"/>
      <c r="AZ31" s="51"/>
      <c r="BA31" s="116" t="s">
        <v>58</v>
      </c>
      <c r="BB31" s="115">
        <f>M43</f>
        <v>7887.3772300000001</v>
      </c>
      <c r="BC31" s="114">
        <f>U43</f>
        <v>7888.1872299999995</v>
      </c>
      <c r="BD31" s="113">
        <f t="shared" si="26"/>
        <v>0.80999999999949068</v>
      </c>
      <c r="BE31" s="298">
        <f t="shared" si="27"/>
        <v>0</v>
      </c>
    </row>
    <row r="32" spans="1:57" x14ac:dyDescent="0.35">
      <c r="A32" s="7">
        <f t="shared" si="0"/>
        <v>26</v>
      </c>
      <c r="B32" s="7"/>
      <c r="C32" s="103" t="s">
        <v>50</v>
      </c>
      <c r="D32" s="102">
        <f>+'[2]Washington volumes'!J28</f>
        <v>284875.42061605473</v>
      </c>
      <c r="E32" s="101" t="s">
        <v>51</v>
      </c>
      <c r="F32" s="100"/>
      <c r="G32" s="300"/>
      <c r="H32" s="301"/>
      <c r="I32" s="300"/>
      <c r="J32" s="301"/>
      <c r="K32" s="91"/>
      <c r="L32" s="51">
        <f>+'[2]Rates in summary'!D28</f>
        <v>0.5930200000000001</v>
      </c>
      <c r="M32" s="91"/>
      <c r="N32" s="51">
        <f>'[2]Rates in summary'!D28+[2]Temporaries!K28+[2]Temporaries!L28+[2]Temporaries!M28-[2]Temporaries!AX28</f>
        <v>0.5930200000000001</v>
      </c>
      <c r="O32" s="91"/>
      <c r="P32" s="93"/>
      <c r="Q32" s="51">
        <f>'[2]Rates in summary'!D28+[2]Temporaries!N28+[2]Temporaries!O28-[2]Temporaries!AY28</f>
        <v>0.5930200000000001</v>
      </c>
      <c r="R32" s="91"/>
      <c r="S32" s="93"/>
      <c r="T32" s="99">
        <f>'[2]Rates in detail'!D28+[2]Temporaries!T28-[2]Temporaries!BD28+[2]Temporaries!S28-[2]Temporaries!BC28+[2]Temporaries!P28-[2]Temporaries!BB28++[2]Temporaries!Q28-[2]Temporaries!AW28</f>
        <v>0.59253999999999996</v>
      </c>
      <c r="U32" s="98"/>
      <c r="V32" s="97"/>
      <c r="W32" s="51">
        <f>'[2]Rates in summary'!D28+[2]Temporaries!R28-[2]Temporaries!AZ28</f>
        <v>0.59344000000000019</v>
      </c>
      <c r="X32" s="91"/>
      <c r="Y32" s="93"/>
      <c r="Z32" s="51">
        <f>'[2]Rates in summary'!D28+[2]Permanents!F28</f>
        <v>0.5930200000000001</v>
      </c>
      <c r="AA32" s="91"/>
      <c r="AB32" s="93"/>
      <c r="AC32" s="96">
        <f>'[2]Rates in summary'!D28+[2]Temporaries!U28-[2]Temporaries!BE28</f>
        <v>0.5930200000000001</v>
      </c>
      <c r="AD32" s="95"/>
      <c r="AE32" s="94"/>
      <c r="AF32" s="51">
        <f>'[2]Rates in summary'!D28+[2]Temporaries!V28-[2]Temporaries!BF28</f>
        <v>0.5930200000000001</v>
      </c>
      <c r="AG32" s="91"/>
      <c r="AH32" s="93"/>
      <c r="AI32" s="51">
        <f>'[2]Rates in summary'!G28+[2]Temporaries!J28</f>
        <v>0.5930200000000001</v>
      </c>
      <c r="AJ32" s="91"/>
      <c r="AK32" s="92"/>
      <c r="AL32" s="51">
        <f>+'[2]Rates in summary'!Q28</f>
        <v>0.59296000000000015</v>
      </c>
      <c r="AM32" s="91"/>
      <c r="AN32" s="90"/>
      <c r="AO32" s="3"/>
      <c r="AP32" s="8"/>
      <c r="AQ32" s="4">
        <f t="shared" si="19"/>
        <v>0</v>
      </c>
      <c r="AR32" s="4">
        <f t="shared" si="20"/>
        <v>0</v>
      </c>
      <c r="AS32" s="4">
        <f t="shared" si="21"/>
        <v>-5.9999999999948983E-5</v>
      </c>
      <c r="AT32" s="4">
        <f t="shared" si="32"/>
        <v>-5.9999999999948983E-5</v>
      </c>
      <c r="AU32" s="89">
        <f>+'[2]Rates in summary'!D28+[2]Temporaries!K28+[2]Temporaries!M28+[2]Temporaries!L28-[2]Temporaries!AZ28</f>
        <v>0.58801000000000014</v>
      </c>
      <c r="AV32" s="29"/>
      <c r="AW32" s="88"/>
      <c r="AX32" s="51"/>
      <c r="AY32" s="51"/>
      <c r="AZ32" s="51"/>
      <c r="BA32" s="116" t="s">
        <v>63</v>
      </c>
      <c r="BB32" s="115">
        <f>M50</f>
        <v>7563.3356300000014</v>
      </c>
      <c r="BC32" s="114">
        <f>U50</f>
        <v>7556.815630000001</v>
      </c>
      <c r="BD32" s="113">
        <f t="shared" si="26"/>
        <v>-6.5200000000004366</v>
      </c>
      <c r="BE32" s="298">
        <f t="shared" si="27"/>
        <v>-1E-3</v>
      </c>
    </row>
    <row r="33" spans="1:57" x14ac:dyDescent="0.35">
      <c r="A33" s="7">
        <f t="shared" si="0"/>
        <v>27</v>
      </c>
      <c r="B33" s="69"/>
      <c r="C33" s="87" t="s">
        <v>52</v>
      </c>
      <c r="D33" s="86"/>
      <c r="E33" s="85"/>
      <c r="F33" s="84"/>
      <c r="G33" s="302"/>
      <c r="H33" s="303"/>
      <c r="I33" s="302"/>
      <c r="J33" s="303"/>
      <c r="K33" s="74"/>
      <c r="L33" s="83"/>
      <c r="M33" s="74">
        <f>$I31+ROUND(IF($F31&lt;$E31,($F31*L31),IF($F31&gt;SUM($E31:$E32),(($E31*L31)+(($F31-$E31)*L32)),0)),2)</f>
        <v>2836.1121468087631</v>
      </c>
      <c r="N33" s="83"/>
      <c r="O33" s="74">
        <f>$I31+ROUND(IF($F31&lt;$E31,($F31*N31),IF($F31&gt;SUM($E31:$E32),(($E31*N31)+(($F31-$E31)*N32)),0)),2)</f>
        <v>2836.1121468087631</v>
      </c>
      <c r="P33" s="56">
        <f>ROUND((O33-M33)/M33,3)</f>
        <v>0</v>
      </c>
      <c r="Q33" s="83"/>
      <c r="R33" s="74">
        <f>$I31+ROUND(IF($F31&lt;$E31,($F31*Q31),IF($F31&gt;SUM($E31:$E32),(($E31*Q31)+(($F31-$E31)*Q32)),0)),2)</f>
        <v>2836.1121468087631</v>
      </c>
      <c r="S33" s="56">
        <f>ROUND((R33-M33)/M33,3)</f>
        <v>0</v>
      </c>
      <c r="T33" s="106"/>
      <c r="U33" s="81">
        <f>$I31+ROUND(IF($F31&lt;$E31,($F31*T31),IF($F31&gt;SUM($E31:$E32),(($E31*T31)+(($F31-$E31)*T32)),0)),2)</f>
        <v>2833.942146808763</v>
      </c>
      <c r="V33" s="80">
        <f>ROUND((U33-M33)/M33,3)</f>
        <v>-1E-3</v>
      </c>
      <c r="W33" s="83"/>
      <c r="X33" s="74">
        <f>$I31+ROUND(IF($F31&lt;$E31,($F31*W31),IF($F31&gt;SUM($E31:$E32),(($E31*W31)+(($F31-$E31)*W32)),0)),2)</f>
        <v>2838.1621468087633</v>
      </c>
      <c r="Y33" s="56">
        <f>(X33-M33)/M33</f>
        <v>7.2282049999569773E-4</v>
      </c>
      <c r="Z33" s="83"/>
      <c r="AA33" s="74">
        <f>$I31+ROUND(IF($F31&lt;$E31,($F31*Z31),IF($F31&gt;SUM($E31:$E32),(($E31*Z31)+(($F31-$E31)*Z32)),0)),2)</f>
        <v>2836.1121468087631</v>
      </c>
      <c r="AB33" s="56">
        <f>(AA33-M33)/M33</f>
        <v>0</v>
      </c>
      <c r="AC33" s="104"/>
      <c r="AD33" s="77">
        <f>$I31+ROUND(IF($F31&lt;$E31,($F31*AC31),IF($F31&gt;SUM($E31:$E32),(($E31*AC31)+(($F31-$E31)*AC32)),0)),2)</f>
        <v>2836.1121468087631</v>
      </c>
      <c r="AE33" s="57">
        <f>(AD33-M33)/M33</f>
        <v>0</v>
      </c>
      <c r="AF33" s="83"/>
      <c r="AG33" s="74">
        <f>$K31+ROUND(IF($F31&lt;$E31,($F31*AF31),IF($F31&gt;SUM($E31:$E32),(($E31*AF31)+(($F31-$E31)*AF32)),0)),2)</f>
        <v>2836.1121468087631</v>
      </c>
      <c r="AH33" s="56">
        <f>(AG33-M33)/M33</f>
        <v>0</v>
      </c>
      <c r="AI33" s="83"/>
      <c r="AJ33" s="74">
        <f>$I31+ROUND(IF($F31&lt;$E31,($F31*AI31),IF($F31&gt;SUM($E31:$E32),(($E31*AI31)+(($F31-$E31)*AI32)),0)),2)</f>
        <v>2836.1121468087631</v>
      </c>
      <c r="AK33" s="73">
        <f>ROUND((AJ33-M33)/M33,3)</f>
        <v>0</v>
      </c>
      <c r="AL33" s="83"/>
      <c r="AM33" s="74">
        <f>$K31+ROUND(IF($F31&lt;$E31,($F31*AL31),IF($F31&gt;SUM($E31:$E32),(($E31*AL31)+(($F31-$E31)*AL32)),0)),2)</f>
        <v>2835.9921468087632</v>
      </c>
      <c r="AN33" s="73">
        <f>ROUND((AM33-M33)/M33,3)</f>
        <v>0</v>
      </c>
      <c r="AO33" s="3"/>
      <c r="AP33" s="8"/>
      <c r="AQ33" s="4">
        <f t="shared" si="19"/>
        <v>0</v>
      </c>
      <c r="AR33" s="4">
        <f t="shared" si="20"/>
        <v>0</v>
      </c>
      <c r="AS33" s="4">
        <f t="shared" si="21"/>
        <v>0</v>
      </c>
      <c r="AT33" s="4">
        <f t="shared" si="32"/>
        <v>0</v>
      </c>
      <c r="AU33" s="72"/>
      <c r="AV33" s="71">
        <f>$I31+ROUND(IF($F31&lt;$E31,($F31*AU31),IF($F31&gt;SUM($E31:$E32),(($E31*AU31)+(($F31-$E31)*AU32)),0)),2)</f>
        <v>2811.4621468087635</v>
      </c>
      <c r="AW33" s="70">
        <f>ROUND((AV33-M33)/M33,3)</f>
        <v>-8.9999999999999993E-3</v>
      </c>
      <c r="AX33" s="51"/>
      <c r="AY33" s="51"/>
      <c r="AZ33" s="51"/>
      <c r="BA33" s="116" t="s">
        <v>64</v>
      </c>
      <c r="BB33" s="115">
        <f>M57</f>
        <v>15708.620663486881</v>
      </c>
      <c r="BC33" s="114">
        <f>U57</f>
        <v>15674.170663486881</v>
      </c>
      <c r="BD33" s="113">
        <f t="shared" si="26"/>
        <v>-34.450000000000728</v>
      </c>
      <c r="BE33" s="298">
        <f t="shared" si="27"/>
        <v>-2E-3</v>
      </c>
    </row>
    <row r="34" spans="1:57" x14ac:dyDescent="0.35">
      <c r="A34" s="7">
        <f t="shared" si="0"/>
        <v>28</v>
      </c>
      <c r="B34" s="7" t="s">
        <v>57</v>
      </c>
      <c r="C34" s="103" t="s">
        <v>49</v>
      </c>
      <c r="D34" s="102">
        <f>+'[2]Washington volumes'!J29</f>
        <v>0</v>
      </c>
      <c r="E34" s="101">
        <v>2000</v>
      </c>
      <c r="F34" s="100">
        <v>0</v>
      </c>
      <c r="G34" s="300">
        <f>250+250</f>
        <v>500</v>
      </c>
      <c r="H34" s="300">
        <f>'[4]Aver Bill by RS'!$J34</f>
        <v>622.72278920943302</v>
      </c>
      <c r="I34" s="300">
        <f>G34-(IF(H34&gt;(F34*$H$3),(F34*$H$3),H34))</f>
        <v>500</v>
      </c>
      <c r="J34" s="300">
        <f>'[4]Aver Bill by RS'!$J34</f>
        <v>622.72278920943302</v>
      </c>
      <c r="K34" s="91">
        <f>G34-(IF(J34&gt;($F34*$H$4),($F34*$H$4),J34))</f>
        <v>500</v>
      </c>
      <c r="L34" s="51">
        <f>+'[2]Rates in summary'!D29</f>
        <v>0.62856000000000001</v>
      </c>
      <c r="M34" s="91"/>
      <c r="N34" s="51">
        <f>'[2]Rates in summary'!D29+[2]Temporaries!K29+[2]Temporaries!L29+[2]Temporaries!M29-[2]Temporaries!AX29</f>
        <v>0.62856000000000001</v>
      </c>
      <c r="O34" s="91"/>
      <c r="P34" s="93"/>
      <c r="Q34" s="51">
        <f>'[2]Rates in summary'!D29+[2]Temporaries!N29+[2]Temporaries!O29-[2]Temporaries!AY29</f>
        <v>0.62856000000000001</v>
      </c>
      <c r="R34" s="91"/>
      <c r="S34" s="93"/>
      <c r="T34" s="99">
        <f>'[2]Rates in detail'!D29+[2]Temporaries!T29-[2]Temporaries!BD29+[2]Temporaries!S29-[2]Temporaries!BC29+[2]Temporaries!P29-[2]Temporaries!BB29++[2]Temporaries!Q29-[2]Temporaries!AW29</f>
        <v>0.62822</v>
      </c>
      <c r="U34" s="98"/>
      <c r="V34" s="97"/>
      <c r="W34" s="51">
        <f>'[2]Rates in summary'!D29+[2]Temporaries!R29-[2]Temporaries!AZ29</f>
        <v>0.62887000000000004</v>
      </c>
      <c r="X34" s="91"/>
      <c r="Y34" s="93"/>
      <c r="Z34" s="51">
        <f>'[2]Rates in summary'!D29+[2]Permanents!F29</f>
        <v>0.62856000000000001</v>
      </c>
      <c r="AA34" s="91"/>
      <c r="AB34" s="93"/>
      <c r="AC34" s="96">
        <f>'[2]Rates in summary'!D29+[2]Temporaries!U29-[2]Temporaries!BE29</f>
        <v>0.62856000000000001</v>
      </c>
      <c r="AD34" s="95"/>
      <c r="AE34" s="94"/>
      <c r="AF34" s="51">
        <f>'[2]Rates in summary'!D29+[2]Temporaries!V29-[2]Temporaries!BF29</f>
        <v>0.62856000000000001</v>
      </c>
      <c r="AG34" s="91"/>
      <c r="AH34" s="93"/>
      <c r="AI34" s="51">
        <f>'[2]Rates in summary'!G29+[2]Temporaries!J2</f>
        <v>0.62856000000000001</v>
      </c>
      <c r="AJ34" s="91"/>
      <c r="AK34" s="92"/>
      <c r="AL34" s="51">
        <f>+'[2]Rates in summary'!Q29</f>
        <v>0.62853000000000003</v>
      </c>
      <c r="AM34" s="91"/>
      <c r="AN34" s="90"/>
      <c r="AO34" s="3"/>
      <c r="AP34" s="8"/>
      <c r="AQ34" s="4">
        <f t="shared" si="19"/>
        <v>0</v>
      </c>
      <c r="AR34" s="4">
        <f t="shared" si="20"/>
        <v>0</v>
      </c>
      <c r="AS34" s="4">
        <f t="shared" si="21"/>
        <v>-2.9999999999974492E-5</v>
      </c>
      <c r="AT34" s="4">
        <f t="shared" si="32"/>
        <v>-2.9999999999974492E-5</v>
      </c>
      <c r="AU34" s="89">
        <f>+'[2]Rates in summary'!D30+[2]Temporaries!K30+[2]Temporaries!M30+[2]Temporaries!L30-[2]Temporaries!AZ30</f>
        <v>0.57796000000000014</v>
      </c>
      <c r="AV34" s="29"/>
      <c r="AW34" s="88"/>
      <c r="AX34" s="51"/>
      <c r="AY34" s="51"/>
      <c r="AZ34" s="51"/>
      <c r="BA34" s="116" t="s">
        <v>71</v>
      </c>
      <c r="BB34" s="115">
        <f>M94</f>
        <v>38000</v>
      </c>
      <c r="BC34" s="114">
        <f>U94</f>
        <v>38000</v>
      </c>
      <c r="BD34" s="113">
        <f t="shared" si="26"/>
        <v>0</v>
      </c>
      <c r="BE34" s="298">
        <f t="shared" si="27"/>
        <v>0</v>
      </c>
    </row>
    <row r="35" spans="1:57" x14ac:dyDescent="0.35">
      <c r="A35" s="7">
        <f t="shared" si="0"/>
        <v>29</v>
      </c>
      <c r="B35" s="7"/>
      <c r="C35" s="103" t="s">
        <v>50</v>
      </c>
      <c r="D35" s="102">
        <f>+'[2]Washington volumes'!J30</f>
        <v>0</v>
      </c>
      <c r="E35" s="101" t="s">
        <v>51</v>
      </c>
      <c r="F35" s="100"/>
      <c r="G35" s="300"/>
      <c r="H35" s="301"/>
      <c r="I35" s="300"/>
      <c r="J35" s="301"/>
      <c r="K35" s="91"/>
      <c r="L35" s="51">
        <f>+'[2]Rates in summary'!D30</f>
        <v>0.58256000000000019</v>
      </c>
      <c r="M35" s="91"/>
      <c r="N35" s="51">
        <f>'[2]Rates in summary'!D30+[2]Temporaries!K30+[2]Temporaries!L30+[2]Temporaries!M30-[2]Temporaries!AX30</f>
        <v>0.58256000000000019</v>
      </c>
      <c r="O35" s="91"/>
      <c r="P35" s="93"/>
      <c r="Q35" s="51">
        <f>'[2]Rates in summary'!D30+[2]Temporaries!N30+[2]Temporaries!O30-[2]Temporaries!AY30</f>
        <v>0.58256000000000019</v>
      </c>
      <c r="R35" s="91"/>
      <c r="S35" s="93"/>
      <c r="T35" s="99">
        <f>'[2]Rates in detail'!D30+[2]Temporaries!T30-[2]Temporaries!BD30+[2]Temporaries!S30-[2]Temporaries!BC30+[2]Temporaries!P30-[2]Temporaries!BB30++[2]Temporaries!Q30-[2]Temporaries!AW30</f>
        <v>0.58218000000000025</v>
      </c>
      <c r="U35" s="98"/>
      <c r="V35" s="97"/>
      <c r="W35" s="51">
        <f>'[2]Rates in summary'!D30+[2]Temporaries!R30-[2]Temporaries!AZ30</f>
        <v>0.58283000000000018</v>
      </c>
      <c r="X35" s="91"/>
      <c r="Y35" s="93"/>
      <c r="Z35" s="51">
        <f>'[2]Rates in summary'!D30+[2]Permanents!F30</f>
        <v>0.58256000000000019</v>
      </c>
      <c r="AA35" s="91"/>
      <c r="AB35" s="93"/>
      <c r="AC35" s="96">
        <f>'[2]Rates in summary'!D30+[2]Temporaries!U30-[2]Temporaries!BE30</f>
        <v>0.58256000000000019</v>
      </c>
      <c r="AD35" s="95"/>
      <c r="AE35" s="94"/>
      <c r="AF35" s="51">
        <f>'[2]Rates in summary'!D30+[2]Temporaries!V30-[2]Temporaries!BF30</f>
        <v>0.58256000000000019</v>
      </c>
      <c r="AG35" s="91"/>
      <c r="AH35" s="93"/>
      <c r="AI35" s="51">
        <f>'[2]Rates in summary'!G30+[2]Temporaries!J3</f>
        <v>0.58256000000000019</v>
      </c>
      <c r="AJ35" s="91"/>
      <c r="AK35" s="92"/>
      <c r="AL35" s="51">
        <f>+'[2]Rates in summary'!Q30</f>
        <v>0.58245000000000013</v>
      </c>
      <c r="AM35" s="91"/>
      <c r="AN35" s="90"/>
      <c r="AO35" s="3"/>
      <c r="AP35" s="8"/>
      <c r="AQ35" s="4">
        <f t="shared" si="19"/>
        <v>0</v>
      </c>
      <c r="AR35" s="4">
        <f t="shared" si="20"/>
        <v>0</v>
      </c>
      <c r="AS35" s="4">
        <f t="shared" si="21"/>
        <v>-1.100000000000545E-4</v>
      </c>
      <c r="AT35" s="4">
        <f t="shared" si="32"/>
        <v>-1.100000000000545E-4</v>
      </c>
      <c r="AU35" s="89">
        <f>+'[2]Rates in summary'!D21+[2]Temporaries!K21+[2]Temporaries!M21+[2]Temporaries!L21-[2]Temporaries!AZ21</f>
        <v>0.94129000000000029</v>
      </c>
      <c r="AV35" s="29"/>
      <c r="AW35" s="88"/>
      <c r="AX35" s="51"/>
      <c r="AY35" s="51"/>
      <c r="AZ35" s="51"/>
      <c r="BA35" s="51"/>
    </row>
    <row r="36" spans="1:57" x14ac:dyDescent="0.35">
      <c r="A36" s="7">
        <f t="shared" si="0"/>
        <v>30</v>
      </c>
      <c r="B36" s="69"/>
      <c r="C36" s="87" t="s">
        <v>52</v>
      </c>
      <c r="D36" s="86"/>
      <c r="E36" s="85"/>
      <c r="F36" s="84"/>
      <c r="G36" s="302"/>
      <c r="H36" s="303"/>
      <c r="I36" s="302"/>
      <c r="J36" s="303"/>
      <c r="K36" s="74"/>
      <c r="L36" s="83"/>
      <c r="M36" s="74">
        <f>$I34+ROUND(IF($F34&lt;$E34,($F34*L34),IF($F34&gt;SUM($E34:$E35),(($E34*L34)+(($F34-$E34)*L35)),0)),2)</f>
        <v>500</v>
      </c>
      <c r="N36" s="83"/>
      <c r="O36" s="74">
        <f>$I34+ROUND(IF($F34&lt;$E34,($F34*N34),IF($F34&gt;SUM($E34:$E35),(($E34*N34)+(($F34-$E34)*N35)),0)),2)</f>
        <v>500</v>
      </c>
      <c r="P36" s="56">
        <f>ROUND((O36-M36)/M36,3)</f>
        <v>0</v>
      </c>
      <c r="Q36" s="83"/>
      <c r="R36" s="74">
        <f>$I34+ROUND(IF($F34&lt;$E34,($F34*Q34),IF($F34&gt;SUM($E34:$E35),(($E34*Q34)+(($F34-$E34)*Q35)),0)),2)</f>
        <v>500</v>
      </c>
      <c r="S36" s="56">
        <f>ROUND((R36-M36)/M36,3)</f>
        <v>0</v>
      </c>
      <c r="T36" s="106"/>
      <c r="U36" s="81">
        <f>$I34+ROUND(IF($F34&lt;$E34,($F34*T34),IF($F34&gt;SUM($E34:$E35),(($E34*T34)+(($F34-$E34)*T35)),0)),2)</f>
        <v>500</v>
      </c>
      <c r="V36" s="80">
        <f>ROUND((U36-M36)/M36,3)</f>
        <v>0</v>
      </c>
      <c r="W36" s="83"/>
      <c r="X36" s="74">
        <f>$I34+ROUND(IF($F34&lt;$E34,($F34*W34),IF($F34&gt;SUM($E34:$E35),(($E34*W34)+(($F34-$E34)*W35)),0)),2)</f>
        <v>500</v>
      </c>
      <c r="Y36" s="56">
        <f>(X36-M36)/M36</f>
        <v>0</v>
      </c>
      <c r="Z36" s="83"/>
      <c r="AA36" s="74">
        <f>$I34+ROUND(IF($F34&lt;$E34,($F34*Z34),IF($F34&gt;SUM($E34:$E35),(($E34*Z34)+(($F34-$E34)*Z35)),0)),2)</f>
        <v>500</v>
      </c>
      <c r="AB36" s="56">
        <f>(AA36-M36)/M36</f>
        <v>0</v>
      </c>
      <c r="AC36" s="104"/>
      <c r="AD36" s="77">
        <f>$I34+ROUND(IF($F34&lt;$E34,($F34*AC34),IF($F34&gt;SUM($E34:$E35),(($E34*AC34)+(($F34-$E34)*AC35)),0)),2)</f>
        <v>500</v>
      </c>
      <c r="AE36" s="57">
        <f>(AD36-M36)/M36</f>
        <v>0</v>
      </c>
      <c r="AF36" s="83"/>
      <c r="AG36" s="74">
        <f>$K34+ROUND(IF($F34&lt;$E34,($F34*AF34),IF($F34&gt;SUM($E34:$E35),(($E34*AF34)+(($F34-$E34)*AF35)),0)),2)</f>
        <v>500</v>
      </c>
      <c r="AH36" s="56">
        <f>(AG36-M36)/M36</f>
        <v>0</v>
      </c>
      <c r="AI36" s="83"/>
      <c r="AJ36" s="74">
        <f>$I34+ROUND(IF($F34&lt;$E34,($F34*AI34),IF($F34&gt;SUM($E34:$E35),(($E34*AI34)+(($F34-$E34)*AI35)),0)),2)</f>
        <v>500</v>
      </c>
      <c r="AK36" s="73">
        <f>ROUND((AJ36-M36)/M36,3)</f>
        <v>0</v>
      </c>
      <c r="AL36" s="83"/>
      <c r="AM36" s="74">
        <f>$K34+ROUND(IF($F34&lt;$E34,($F34*AL34),IF($F34&gt;SUM($E34:$E35),(($E34*AL34)+(($F34-$E34)*AL35)),0)),2)</f>
        <v>500</v>
      </c>
      <c r="AN36" s="73">
        <f>ROUND((AM36-M36)/M36,3)</f>
        <v>0</v>
      </c>
      <c r="AO36" s="3"/>
      <c r="AP36" s="8"/>
      <c r="AQ36" s="4">
        <f t="shared" si="19"/>
        <v>0</v>
      </c>
      <c r="AR36" s="4">
        <f t="shared" si="20"/>
        <v>0</v>
      </c>
      <c r="AS36" s="4">
        <f t="shared" si="21"/>
        <v>0</v>
      </c>
      <c r="AT36" s="4">
        <f t="shared" si="32"/>
        <v>0</v>
      </c>
      <c r="AU36" s="72"/>
      <c r="AV36" s="71">
        <f>$I34+ROUND(IF($F34&lt;$E34,($F34*AU34),IF($F34&gt;SUM($E34:$E35),(($E34*AU34)+(($F34-$E34)*AU35)),0)),2)</f>
        <v>500</v>
      </c>
      <c r="AW36" s="70">
        <f>ROUND((AV36-M36)/M36,3)</f>
        <v>0</v>
      </c>
      <c r="AX36" s="51"/>
      <c r="AY36" s="51"/>
      <c r="AZ36" s="51"/>
      <c r="BA36" s="51"/>
    </row>
    <row r="37" spans="1:57" x14ac:dyDescent="0.35">
      <c r="A37" s="7">
        <f t="shared" si="0"/>
        <v>31</v>
      </c>
      <c r="B37" s="7" t="s">
        <v>58</v>
      </c>
      <c r="C37" s="103" t="s">
        <v>49</v>
      </c>
      <c r="D37" s="102">
        <f>+'[2]Washington volumes'!J31</f>
        <v>820212.7</v>
      </c>
      <c r="E37" s="102">
        <v>10000</v>
      </c>
      <c r="F37" s="100">
        <v>11949</v>
      </c>
      <c r="G37" s="300">
        <v>1300</v>
      </c>
      <c r="H37" s="300">
        <f>'[4]Aver Bill by RS'!$J37</f>
        <v>5142.2693365131181</v>
      </c>
      <c r="I37" s="300">
        <f>G37-(IF(H37&gt;(F37*$H$3),(F37*$H$3),H37))</f>
        <v>-1576.4827700000001</v>
      </c>
      <c r="J37" s="300">
        <f>'[4]Aver Bill by RS'!$J37</f>
        <v>5142.2693365131181</v>
      </c>
      <c r="K37" s="91">
        <f>G37-(IF(J37&gt;($F37*$H$4),($F37*$H$4),J37))</f>
        <v>-1576.4827700000001</v>
      </c>
      <c r="L37" s="51">
        <f>+'[2]Rates in summary'!D31</f>
        <v>0.79625999999999986</v>
      </c>
      <c r="M37" s="91"/>
      <c r="N37" s="51">
        <f>'[2]Rates in summary'!D31+[2]Temporaries!K31+[2]Temporaries!L31+[2]Temporaries!M31-[2]Temporaries!AX31</f>
        <v>0.79621999999999982</v>
      </c>
      <c r="O37" s="91"/>
      <c r="P37" s="93"/>
      <c r="Q37" s="51">
        <f>'[2]Rates in summary'!D31+[2]Temporaries!N31+[2]Temporaries!O31-[2]Temporaries!AY31</f>
        <v>0.79579999999999984</v>
      </c>
      <c r="R37" s="91"/>
      <c r="S37" s="93"/>
      <c r="T37" s="99">
        <f>'[2]Rates in detail'!D31+[2]Temporaries!T31-[2]Temporaries!BD31+[2]Temporaries!S31-[2]Temporaries!BC31+[2]Temporaries!P31-[2]Temporaries!BB31++[2]Temporaries!Q31-[2]Temporaries!AW31</f>
        <v>0.79632999999999976</v>
      </c>
      <c r="U37" s="98"/>
      <c r="V37" s="97"/>
      <c r="W37" s="51">
        <f>'[2]Rates in summary'!D31+[2]Temporaries!R31-[2]Temporaries!AZ31</f>
        <v>0.79645999999999983</v>
      </c>
      <c r="X37" s="91"/>
      <c r="Y37" s="93"/>
      <c r="Z37" s="51">
        <f>'[2]Rates in summary'!D31+[2]Permanents!F31</f>
        <v>0.7962999999999999</v>
      </c>
      <c r="AA37" s="91"/>
      <c r="AB37" s="93"/>
      <c r="AC37" s="96">
        <f>'[2]Rates in summary'!D31+[2]Temporaries!U31-[2]Temporaries!BE31</f>
        <v>0.79625999999999986</v>
      </c>
      <c r="AD37" s="95"/>
      <c r="AE37" s="94"/>
      <c r="AF37" s="51">
        <f>'[2]Rates in summary'!D31+[2]Temporaries!V31-[2]Temporaries!BF31</f>
        <v>0.79625999999999986</v>
      </c>
      <c r="AG37" s="91"/>
      <c r="AH37" s="93"/>
      <c r="AI37" s="51">
        <f>'[2]Rates in summary'!G31+[2]Temporaries!J31</f>
        <v>0.72489999999999977</v>
      </c>
      <c r="AJ37" s="91"/>
      <c r="AK37" s="92"/>
      <c r="AL37" s="51">
        <f>+'[2]Rates in summary'!Q31</f>
        <v>0.72470999999999985</v>
      </c>
      <c r="AM37" s="91"/>
      <c r="AN37" s="90"/>
      <c r="AO37" s="3"/>
      <c r="AP37" s="8"/>
      <c r="AQ37" s="4">
        <f t="shared" si="19"/>
        <v>0</v>
      </c>
      <c r="AR37" s="4">
        <f t="shared" si="20"/>
        <v>0</v>
      </c>
      <c r="AS37" s="4">
        <f t="shared" si="21"/>
        <v>-7.1550000000000002E-2</v>
      </c>
      <c r="AT37" s="4">
        <f t="shared" si="32"/>
        <v>-7.1550000000000002E-2</v>
      </c>
      <c r="AU37" s="89">
        <f>+'[2]Rates in summary'!D31+[2]Temporaries!K31+[2]Temporaries!M31+[2]Temporaries!L31-[2]Temporaries!AZ31</f>
        <v>0.81830999999999987</v>
      </c>
      <c r="AV37" s="29"/>
      <c r="AW37" s="88"/>
      <c r="AX37" s="51"/>
      <c r="AY37" s="51"/>
      <c r="AZ37" s="51"/>
      <c r="BA37" s="51"/>
    </row>
    <row r="38" spans="1:57" x14ac:dyDescent="0.35">
      <c r="A38" s="7">
        <f t="shared" si="0"/>
        <v>32</v>
      </c>
      <c r="B38" s="7"/>
      <c r="C38" s="103" t="s">
        <v>50</v>
      </c>
      <c r="D38" s="102">
        <f>+'[2]Washington volumes'!J32</f>
        <v>926222.5</v>
      </c>
      <c r="E38" s="102">
        <v>20000</v>
      </c>
      <c r="F38" s="100"/>
      <c r="G38" s="300"/>
      <c r="H38" s="301"/>
      <c r="I38" s="300"/>
      <c r="J38" s="301"/>
      <c r="K38" s="91"/>
      <c r="L38" s="51">
        <f>+'[2]Rates in summary'!D32</f>
        <v>0.77026999999999957</v>
      </c>
      <c r="M38" s="91"/>
      <c r="N38" s="51">
        <f>'[2]Rates in summary'!D32+[2]Temporaries!K32+[2]Temporaries!L32+[2]Temporaries!M32-[2]Temporaries!AX32</f>
        <v>0.77022999999999964</v>
      </c>
      <c r="O38" s="91"/>
      <c r="P38" s="93"/>
      <c r="Q38" s="51">
        <f>'[2]Rates in summary'!D32+[2]Temporaries!N32+[2]Temporaries!O32-[2]Temporaries!AY32</f>
        <v>0.76985999999999966</v>
      </c>
      <c r="R38" s="91"/>
      <c r="S38" s="93"/>
      <c r="T38" s="99">
        <f>'[2]Rates in detail'!D32+[2]Temporaries!T32-[2]Temporaries!BD32+[2]Temporaries!S32-[2]Temporaries!BC32+[2]Temporaries!P32-[2]Temporaries!BB32++[2]Temporaries!Q32-[2]Temporaries!AW32</f>
        <v>0.7703299999999994</v>
      </c>
      <c r="U38" s="98"/>
      <c r="V38" s="97"/>
      <c r="W38" s="51">
        <f>'[2]Rates in summary'!D32+[2]Temporaries!R32-[2]Temporaries!AZ32</f>
        <v>0.77044999999999964</v>
      </c>
      <c r="X38" s="91"/>
      <c r="Y38" s="93"/>
      <c r="Z38" s="51">
        <f>'[2]Rates in summary'!D32+[2]Permanents!F32</f>
        <v>0.77030999999999961</v>
      </c>
      <c r="AA38" s="91"/>
      <c r="AB38" s="93"/>
      <c r="AC38" s="96">
        <f>'[2]Rates in summary'!D32+[2]Temporaries!U32-[2]Temporaries!BE32</f>
        <v>0.77026999999999957</v>
      </c>
      <c r="AD38" s="95"/>
      <c r="AE38" s="94"/>
      <c r="AF38" s="51">
        <f>'[2]Rates in summary'!D32+[2]Temporaries!V32-[2]Temporaries!BF32</f>
        <v>0.77026999999999968</v>
      </c>
      <c r="AG38" s="91"/>
      <c r="AH38" s="93"/>
      <c r="AI38" s="51">
        <f>'[2]Rates in summary'!G32+[2]Temporaries!J32</f>
        <v>0.69890999999999959</v>
      </c>
      <c r="AJ38" s="91"/>
      <c r="AK38" s="92"/>
      <c r="AL38" s="51">
        <f>+'[2]Rates in summary'!Q32</f>
        <v>0.69873999999999969</v>
      </c>
      <c r="AM38" s="91"/>
      <c r="AN38" s="90"/>
      <c r="AO38" s="3"/>
      <c r="AP38" s="8"/>
      <c r="AQ38" s="4">
        <f t="shared" si="19"/>
        <v>0</v>
      </c>
      <c r="AR38" s="4">
        <f t="shared" si="20"/>
        <v>0</v>
      </c>
      <c r="AS38" s="4">
        <f t="shared" si="21"/>
        <v>-7.1529999999999871E-2</v>
      </c>
      <c r="AT38" s="4">
        <f t="shared" si="32"/>
        <v>-7.1529999999999871E-2</v>
      </c>
      <c r="AU38" s="89">
        <f>+'[2]Rates in summary'!D32+[2]Temporaries!K32+[2]Temporaries!M32+[2]Temporaries!L32-[2]Temporaries!AZ32</f>
        <v>0.79000999999999966</v>
      </c>
      <c r="AV38" s="29"/>
      <c r="AW38" s="88"/>
      <c r="AX38" s="51"/>
      <c r="AY38" s="51"/>
      <c r="AZ38" s="51"/>
      <c r="BA38" s="51"/>
    </row>
    <row r="39" spans="1:57" x14ac:dyDescent="0.35">
      <c r="A39" s="7">
        <f t="shared" si="0"/>
        <v>33</v>
      </c>
      <c r="B39" s="7"/>
      <c r="C39" s="103" t="s">
        <v>59</v>
      </c>
      <c r="D39" s="102">
        <f>+'[2]Washington volumes'!J33</f>
        <v>323675.40000000002</v>
      </c>
      <c r="E39" s="102">
        <v>20000</v>
      </c>
      <c r="F39" s="100"/>
      <c r="G39" s="300"/>
      <c r="H39" s="301"/>
      <c r="I39" s="300"/>
      <c r="J39" s="301"/>
      <c r="K39" s="91"/>
      <c r="L39" s="51">
        <f>+'[2]Rates in summary'!D33</f>
        <v>0.71862999999999988</v>
      </c>
      <c r="M39" s="91"/>
      <c r="N39" s="51">
        <f>'[2]Rates in summary'!D33+[2]Temporaries!K33+[2]Temporaries!L33+[2]Temporaries!M33-[2]Temporaries!AX33</f>
        <v>0.71859999999999979</v>
      </c>
      <c r="O39" s="91"/>
      <c r="P39" s="93"/>
      <c r="Q39" s="51">
        <f>'[2]Rates in summary'!D33+[2]Temporaries!N33+[2]Temporaries!O33-[2]Temporaries!AY33</f>
        <v>0.71831999999999985</v>
      </c>
      <c r="R39" s="91"/>
      <c r="S39" s="93"/>
      <c r="T39" s="99">
        <f>'[2]Rates in detail'!D33+[2]Temporaries!T33-[2]Temporaries!BD33+[2]Temporaries!S33-[2]Temporaries!BC33+[2]Temporaries!P33-[2]Temporaries!BB33++[2]Temporaries!Q33-[2]Temporaries!AW33</f>
        <v>0.71863999999999983</v>
      </c>
      <c r="U39" s="98"/>
      <c r="V39" s="97"/>
      <c r="W39" s="51">
        <f>'[2]Rates in summary'!D33+[2]Temporaries!R33-[2]Temporaries!AZ33</f>
        <v>0.71876999999999991</v>
      </c>
      <c r="X39" s="91"/>
      <c r="Y39" s="93"/>
      <c r="Z39" s="51">
        <f>'[2]Rates in summary'!D33+[2]Permanents!F33</f>
        <v>0.71865999999999985</v>
      </c>
      <c r="AA39" s="91"/>
      <c r="AB39" s="93"/>
      <c r="AC39" s="96">
        <f>'[2]Rates in summary'!D33+[2]Temporaries!U33-[2]Temporaries!BE33</f>
        <v>0.71862999999999988</v>
      </c>
      <c r="AD39" s="95"/>
      <c r="AE39" s="94"/>
      <c r="AF39" s="51">
        <f>'[2]Rates in summary'!D33+[2]Temporaries!V33-[2]Temporaries!BF33</f>
        <v>0.71862999999999988</v>
      </c>
      <c r="AG39" s="91"/>
      <c r="AH39" s="93"/>
      <c r="AI39" s="51">
        <f>'[2]Rates in summary'!G33+[2]Temporaries!J33</f>
        <v>0.6472699999999999</v>
      </c>
      <c r="AJ39" s="91"/>
      <c r="AK39" s="92"/>
      <c r="AL39" s="51">
        <f>+'[2]Rates in summary'!Q33</f>
        <v>0.64710999999999985</v>
      </c>
      <c r="AM39" s="91"/>
      <c r="AN39" s="90"/>
      <c r="AO39" s="3"/>
      <c r="AP39" s="8"/>
      <c r="AQ39" s="4">
        <f t="shared" si="19"/>
        <v>0</v>
      </c>
      <c r="AR39" s="4">
        <f t="shared" si="20"/>
        <v>0</v>
      </c>
      <c r="AS39" s="4">
        <f t="shared" si="21"/>
        <v>-7.1520000000000028E-2</v>
      </c>
      <c r="AT39" s="4">
        <f t="shared" si="32"/>
        <v>-7.1520000000000028E-2</v>
      </c>
      <c r="AU39" s="89">
        <f>+'[2]Rates in summary'!D33+[2]Temporaries!K33+[2]Temporaries!M33+[2]Temporaries!L33-[2]Temporaries!AZ33</f>
        <v>0.73376999999999981</v>
      </c>
      <c r="AV39" s="29"/>
      <c r="AW39" s="88"/>
      <c r="AX39" s="51"/>
      <c r="AY39" s="51"/>
      <c r="AZ39" s="51"/>
      <c r="BA39" s="51"/>
    </row>
    <row r="40" spans="1:57" x14ac:dyDescent="0.35">
      <c r="A40" s="7">
        <f t="shared" si="0"/>
        <v>34</v>
      </c>
      <c r="B40" s="7"/>
      <c r="C40" s="103" t="s">
        <v>60</v>
      </c>
      <c r="D40" s="102">
        <f>+'[2]Washington volumes'!J34</f>
        <v>84982.8</v>
      </c>
      <c r="E40" s="102">
        <v>100000</v>
      </c>
      <c r="F40" s="100"/>
      <c r="G40" s="300"/>
      <c r="H40" s="301"/>
      <c r="I40" s="300"/>
      <c r="J40" s="301"/>
      <c r="K40" s="91"/>
      <c r="L40" s="51">
        <f>+'[2]Rates in summary'!D34</f>
        <v>0.68461000000000016</v>
      </c>
      <c r="M40" s="91"/>
      <c r="N40" s="51">
        <f>'[2]Rates in summary'!D34+[2]Temporaries!K34+[2]Temporaries!L34+[2]Temporaries!M34-[2]Temporaries!AX34</f>
        <v>0.68459000000000025</v>
      </c>
      <c r="O40" s="91"/>
      <c r="P40" s="93"/>
      <c r="Q40" s="51">
        <f>'[2]Rates in summary'!D34+[2]Temporaries!N34+[2]Temporaries!O34-[2]Temporaries!AY34</f>
        <v>0.68436000000000008</v>
      </c>
      <c r="R40" s="91"/>
      <c r="S40" s="93"/>
      <c r="T40" s="99">
        <f>'[2]Rates in detail'!D34+[2]Temporaries!T34-[2]Temporaries!BD34+[2]Temporaries!S34-[2]Temporaries!BC34+[2]Temporaries!P34-[2]Temporaries!BB34++[2]Temporaries!Q34-[2]Temporaries!AW34</f>
        <v>0.68461000000000016</v>
      </c>
      <c r="U40" s="98"/>
      <c r="V40" s="97"/>
      <c r="W40" s="51">
        <f>'[2]Rates in summary'!D34+[2]Temporaries!R34-[2]Temporaries!AZ34</f>
        <v>0.68472000000000022</v>
      </c>
      <c r="X40" s="91"/>
      <c r="Y40" s="93"/>
      <c r="Z40" s="51">
        <f>'[2]Rates in summary'!D34+[2]Permanents!F34</f>
        <v>0.68463000000000018</v>
      </c>
      <c r="AA40" s="91"/>
      <c r="AB40" s="93"/>
      <c r="AC40" s="96">
        <f>'[2]Rates in summary'!D34+[2]Temporaries!U34-[2]Temporaries!BE34</f>
        <v>0.68461000000000016</v>
      </c>
      <c r="AD40" s="95"/>
      <c r="AE40" s="94"/>
      <c r="AF40" s="51">
        <f>'[2]Rates in summary'!D34+[2]Temporaries!V34-[2]Temporaries!BF34</f>
        <v>0.68461000000000016</v>
      </c>
      <c r="AG40" s="91"/>
      <c r="AH40" s="93"/>
      <c r="AI40" s="51">
        <f>'[2]Rates in summary'!G34+[2]Temporaries!J34</f>
        <v>0.61325000000000018</v>
      </c>
      <c r="AJ40" s="91"/>
      <c r="AK40" s="92"/>
      <c r="AL40" s="51">
        <f>+'[2]Rates in summary'!Q34</f>
        <v>0.61311000000000027</v>
      </c>
      <c r="AM40" s="91"/>
      <c r="AN40" s="90"/>
      <c r="AO40" s="3"/>
      <c r="AP40" s="8"/>
      <c r="AQ40" s="4">
        <f t="shared" si="19"/>
        <v>0</v>
      </c>
      <c r="AR40" s="4">
        <f t="shared" si="20"/>
        <v>0</v>
      </c>
      <c r="AS40" s="4">
        <f t="shared" si="21"/>
        <v>-7.1499999999999897E-2</v>
      </c>
      <c r="AT40" s="4">
        <f t="shared" si="32"/>
        <v>-7.1499999999999897E-2</v>
      </c>
      <c r="AU40" s="89">
        <f>+'[2]Rates in summary'!D34+[2]Temporaries!K34+[2]Temporaries!M34+[2]Temporaries!L34-[2]Temporaries!AZ34</f>
        <v>0.69672000000000023</v>
      </c>
      <c r="AV40" s="29"/>
      <c r="AW40" s="88"/>
      <c r="AX40" s="51"/>
      <c r="AY40" s="51"/>
      <c r="AZ40" s="51"/>
      <c r="BA40" s="51"/>
    </row>
    <row r="41" spans="1:57" x14ac:dyDescent="0.35">
      <c r="A41" s="7">
        <f t="shared" si="0"/>
        <v>35</v>
      </c>
      <c r="B41" s="7"/>
      <c r="C41" s="103" t="s">
        <v>61</v>
      </c>
      <c r="D41" s="102">
        <f>+'[2]Washington volumes'!J35</f>
        <v>0</v>
      </c>
      <c r="E41" s="102">
        <v>600000</v>
      </c>
      <c r="F41" s="100"/>
      <c r="G41" s="300"/>
      <c r="H41" s="301"/>
      <c r="I41" s="300"/>
      <c r="J41" s="301"/>
      <c r="K41" s="91"/>
      <c r="L41" s="51">
        <f>+'[2]Rates in summary'!D35</f>
        <v>0.63927</v>
      </c>
      <c r="M41" s="91"/>
      <c r="N41" s="51">
        <f>'[2]Rates in summary'!D35+[2]Temporaries!K35+[2]Temporaries!L35+[2]Temporaries!M35-[2]Temporaries!AX35</f>
        <v>0.63924999999999998</v>
      </c>
      <c r="O41" s="91"/>
      <c r="P41" s="93"/>
      <c r="Q41" s="51">
        <f>'[2]Rates in summary'!D35+[2]Temporaries!N35+[2]Temporaries!O35-[2]Temporaries!AY35</f>
        <v>0.6391</v>
      </c>
      <c r="R41" s="91"/>
      <c r="S41" s="93"/>
      <c r="T41" s="99">
        <f>'[2]Rates in detail'!D35+[2]Temporaries!T35-[2]Temporaries!BD35+[2]Temporaries!S35-[2]Temporaries!BC35+[2]Temporaries!P35-[2]Temporaries!BB35++[2]Temporaries!Q35-[2]Temporaries!AW35</f>
        <v>0.63922000000000001</v>
      </c>
      <c r="U41" s="98"/>
      <c r="V41" s="97"/>
      <c r="W41" s="51">
        <f>'[2]Rates in summary'!D35+[2]Temporaries!R35-[2]Temporaries!AZ35</f>
        <v>0.63934000000000002</v>
      </c>
      <c r="X41" s="91"/>
      <c r="Y41" s="93"/>
      <c r="Z41" s="51">
        <f>'[2]Rates in summary'!D35+[2]Permanents!F35</f>
        <v>0.63929000000000002</v>
      </c>
      <c r="AA41" s="91"/>
      <c r="AB41" s="93"/>
      <c r="AC41" s="96">
        <f>'[2]Rates in summary'!D35+[2]Temporaries!U35-[2]Temporaries!BE35</f>
        <v>0.63927</v>
      </c>
      <c r="AD41" s="95"/>
      <c r="AE41" s="94"/>
      <c r="AF41" s="51">
        <f>'[2]Rates in summary'!D35+[2]Temporaries!V35-[2]Temporaries!BF35</f>
        <v>0.63927</v>
      </c>
      <c r="AG41" s="91"/>
      <c r="AH41" s="93"/>
      <c r="AI41" s="51">
        <f>'[2]Rates in summary'!G35+[2]Temporaries!J35</f>
        <v>0.56791000000000003</v>
      </c>
      <c r="AJ41" s="91"/>
      <c r="AK41" s="92"/>
      <c r="AL41" s="51">
        <f>+'[2]Rates in summary'!Q35</f>
        <v>0.56776000000000004</v>
      </c>
      <c r="AM41" s="91"/>
      <c r="AN41" s="90"/>
      <c r="AO41" s="3"/>
      <c r="AP41" s="8"/>
      <c r="AQ41" s="4">
        <f t="shared" si="19"/>
        <v>0</v>
      </c>
      <c r="AR41" s="4">
        <f t="shared" si="20"/>
        <v>0</v>
      </c>
      <c r="AS41" s="4">
        <f t="shared" si="21"/>
        <v>-7.1509999999999962E-2</v>
      </c>
      <c r="AT41" s="4">
        <f t="shared" si="32"/>
        <v>-7.1509999999999962E-2</v>
      </c>
      <c r="AU41" s="89">
        <f>+'[2]Rates in summary'!D35+[2]Temporaries!K35+[2]Temporaries!M35+[2]Temporaries!L35-[2]Temporaries!AZ35</f>
        <v>0.64734000000000003</v>
      </c>
      <c r="AV41" s="89"/>
      <c r="AW41" s="88"/>
      <c r="AX41" s="51"/>
      <c r="AY41" s="51"/>
      <c r="AZ41" s="51"/>
      <c r="BA41" s="51"/>
    </row>
    <row r="42" spans="1:57" x14ac:dyDescent="0.35">
      <c r="A42" s="7">
        <f t="shared" si="0"/>
        <v>36</v>
      </c>
      <c r="B42" s="7"/>
      <c r="C42" s="103" t="s">
        <v>62</v>
      </c>
      <c r="D42" s="102">
        <f>+'[2]Washington volumes'!J36</f>
        <v>0</v>
      </c>
      <c r="E42" s="101" t="s">
        <v>51</v>
      </c>
      <c r="F42" s="100"/>
      <c r="G42" s="300"/>
      <c r="H42" s="301"/>
      <c r="I42" s="300"/>
      <c r="J42" s="301"/>
      <c r="K42" s="91"/>
      <c r="L42" s="51">
        <f>+'[2]Rates in summary'!D36</f>
        <v>0.58259000000000005</v>
      </c>
      <c r="M42" s="91"/>
      <c r="N42" s="51">
        <f>'[2]Rates in summary'!D36+[2]Temporaries!K36+[2]Temporaries!L36+[2]Temporaries!M36-[2]Temporaries!AX36</f>
        <v>0.58259000000000005</v>
      </c>
      <c r="O42" s="91"/>
      <c r="P42" s="93"/>
      <c r="Q42" s="51">
        <f>'[2]Rates in summary'!D36+[2]Temporaries!N36+[2]Temporaries!O36-[2]Temporaries!AY36</f>
        <v>0.58252999999999999</v>
      </c>
      <c r="R42" s="91"/>
      <c r="S42" s="93"/>
      <c r="T42" s="99">
        <f>'[2]Rates in detail'!D36+[2]Temporaries!T36-[2]Temporaries!BD36+[2]Temporaries!S36-[2]Temporaries!BC36+[2]Temporaries!P36-[2]Temporaries!BB36++[2]Temporaries!Q36-[2]Temporaries!AW36</f>
        <v>0.58250000000000002</v>
      </c>
      <c r="U42" s="98"/>
      <c r="V42" s="97"/>
      <c r="W42" s="51">
        <f>'[2]Rates in summary'!D36+[2]Temporaries!R36-[2]Temporaries!AZ36</f>
        <v>0.58262000000000003</v>
      </c>
      <c r="X42" s="91"/>
      <c r="Y42" s="93"/>
      <c r="Z42" s="51">
        <f>'[2]Rates in summary'!D36+[2]Permanents!F36</f>
        <v>0.58260000000000001</v>
      </c>
      <c r="AA42" s="91"/>
      <c r="AB42" s="93"/>
      <c r="AC42" s="96">
        <f>'[2]Rates in summary'!D36+[2]Temporaries!U36-[2]Temporaries!BE36</f>
        <v>0.58259000000000005</v>
      </c>
      <c r="AD42" s="95"/>
      <c r="AE42" s="94"/>
      <c r="AF42" s="51">
        <f>'[2]Rates in summary'!D36+[2]Temporaries!V36-[2]Temporaries!BF36</f>
        <v>0.58259000000000005</v>
      </c>
      <c r="AG42" s="91"/>
      <c r="AH42" s="93"/>
      <c r="AI42" s="51">
        <f>'[2]Rates in summary'!G36+[2]Temporaries!J36</f>
        <v>0.51122999999999996</v>
      </c>
      <c r="AJ42" s="91"/>
      <c r="AK42" s="92"/>
      <c r="AL42" s="51">
        <f>+'[2]Rates in summary'!Q36</f>
        <v>0.51111999999999991</v>
      </c>
      <c r="AM42" s="91"/>
      <c r="AN42" s="90"/>
      <c r="AO42" s="3"/>
      <c r="AP42" s="8"/>
      <c r="AQ42" s="4">
        <f t="shared" si="19"/>
        <v>0</v>
      </c>
      <c r="AR42" s="4">
        <f t="shared" si="20"/>
        <v>0</v>
      </c>
      <c r="AS42" s="4">
        <f t="shared" si="21"/>
        <v>-7.1470000000000145E-2</v>
      </c>
      <c r="AT42" s="4">
        <f t="shared" si="32"/>
        <v>-7.1470000000000145E-2</v>
      </c>
      <c r="AU42" s="89">
        <f>+'[2]Rates in summary'!D36+[2]Temporaries!K36+[2]Temporaries!M36+[2]Temporaries!L36-[2]Temporaries!AZ36</f>
        <v>0.58562000000000003</v>
      </c>
      <c r="AV42" s="89"/>
      <c r="AW42" s="88"/>
      <c r="AX42" s="51"/>
      <c r="AY42" s="51"/>
      <c r="AZ42" s="51"/>
      <c r="BA42" s="51"/>
    </row>
    <row r="43" spans="1:57" x14ac:dyDescent="0.35">
      <c r="A43" s="7">
        <f t="shared" si="0"/>
        <v>37</v>
      </c>
      <c r="B43" s="69"/>
      <c r="C43" s="87" t="s">
        <v>52</v>
      </c>
      <c r="D43" s="86"/>
      <c r="E43" s="85"/>
      <c r="F43" s="84"/>
      <c r="G43" s="302"/>
      <c r="H43" s="303"/>
      <c r="I43" s="302"/>
      <c r="J43" s="303"/>
      <c r="K43" s="74"/>
      <c r="L43" s="83"/>
      <c r="M43" s="74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7887.3772300000001</v>
      </c>
      <c r="N43" s="83"/>
      <c r="O43" s="74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7886.8972299999987</v>
      </c>
      <c r="P43" s="56">
        <f>ROUND((O43-M43)/M43,3)</f>
        <v>0</v>
      </c>
      <c r="Q43" s="83"/>
      <c r="R43" s="74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7881.9772299999986</v>
      </c>
      <c r="S43" s="56">
        <f>ROUND((R43-M43)/M43,3)</f>
        <v>-1E-3</v>
      </c>
      <c r="T43" s="106"/>
      <c r="U43" s="81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7888.1872299999995</v>
      </c>
      <c r="V43" s="80">
        <f>ROUND((U43-M43)/M43,3)</f>
        <v>0</v>
      </c>
      <c r="W43" s="83"/>
      <c r="X43" s="74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7889.7272299999986</v>
      </c>
      <c r="Y43" s="56">
        <f>(X43-M43)/M43</f>
        <v>2.979444156747331E-4</v>
      </c>
      <c r="Z43" s="83"/>
      <c r="AA43" s="74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7887.8472299999994</v>
      </c>
      <c r="AB43" s="56">
        <f>(AA43-M43)/M43</f>
        <v>5.9588883134900495E-5</v>
      </c>
      <c r="AC43" s="104"/>
      <c r="AD43" s="77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7887.3772300000001</v>
      </c>
      <c r="AE43" s="57">
        <f>(AD43-M43)/M43</f>
        <v>0</v>
      </c>
      <c r="AF43" s="83"/>
      <c r="AG43" s="74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7887.3772300000001</v>
      </c>
      <c r="AH43" s="56">
        <f>(AG43-M43)/M43</f>
        <v>0</v>
      </c>
      <c r="AI43" s="83"/>
      <c r="AJ43" s="74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7034.6972299999998</v>
      </c>
      <c r="AK43" s="73">
        <f>ROUND((AJ43-M43)/M43,3)</f>
        <v>-0.108</v>
      </c>
      <c r="AL43" s="83"/>
      <c r="AM43" s="74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7032.45723</v>
      </c>
      <c r="AN43" s="73">
        <f>ROUND((AM43-M43)/M43,3)</f>
        <v>-0.108</v>
      </c>
      <c r="AO43" s="3"/>
      <c r="AP43" s="8"/>
      <c r="AQ43" s="4">
        <f t="shared" si="19"/>
        <v>0</v>
      </c>
      <c r="AR43" s="4">
        <f t="shared" si="20"/>
        <v>0</v>
      </c>
      <c r="AS43" s="4">
        <f t="shared" si="21"/>
        <v>0</v>
      </c>
      <c r="AT43" s="4">
        <f t="shared" si="32"/>
        <v>0</v>
      </c>
      <c r="AU43" s="72"/>
      <c r="AV43" s="71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8146.3472299999994</v>
      </c>
      <c r="AW43" s="70">
        <f>ROUND((AV43-M43)/M43,3)</f>
        <v>3.3000000000000002E-2</v>
      </c>
      <c r="AX43" s="51"/>
      <c r="AY43" s="51"/>
      <c r="AZ43" s="51"/>
      <c r="BA43" s="51"/>
    </row>
    <row r="44" spans="1:57" x14ac:dyDescent="0.35">
      <c r="A44" s="7">
        <f t="shared" si="0"/>
        <v>38</v>
      </c>
      <c r="B44" s="7" t="s">
        <v>63</v>
      </c>
      <c r="C44" s="103" t="s">
        <v>49</v>
      </c>
      <c r="D44" s="102">
        <f>+'[2]Washington volumes'!J37</f>
        <v>887029.75709862076</v>
      </c>
      <c r="E44" s="102">
        <v>10000</v>
      </c>
      <c r="F44" s="100">
        <v>12869</v>
      </c>
      <c r="G44" s="300">
        <v>1300</v>
      </c>
      <c r="H44" s="300">
        <f>'[4]Aver Bill by RS'!$J44</f>
        <v>3945.7691048183847</v>
      </c>
      <c r="I44" s="300">
        <f>G44-(IF(H44&gt;(F44*$H$3),(F44*$H$3),H44))</f>
        <v>-1797.9543699999999</v>
      </c>
      <c r="J44" s="300">
        <f>'[4]Aver Bill by RS'!$J44</f>
        <v>3945.7691048183847</v>
      </c>
      <c r="K44" s="91">
        <f>G44-(IF(J44&gt;($F44*$H$4),($F44*$H$4),J44))</f>
        <v>-1797.9543699999999</v>
      </c>
      <c r="L44" s="51">
        <f>+'[2]Rates in summary'!D37</f>
        <v>0.73169000000000006</v>
      </c>
      <c r="M44" s="91"/>
      <c r="N44" s="51">
        <f>'[2]Rates in summary'!D37+[2]Temporaries!K37+[2]Temporaries!L37+[2]Temporaries!M37-[2]Temporaries!AX37</f>
        <v>0.73169000000000006</v>
      </c>
      <c r="O44" s="91"/>
      <c r="P44" s="93"/>
      <c r="Q44" s="51">
        <f>'[2]Rates in summary'!D37+[2]Temporaries!N37+[2]Temporaries!O37-[2]Temporaries!AY37</f>
        <v>0.73159000000000018</v>
      </c>
      <c r="R44" s="91"/>
      <c r="S44" s="93"/>
      <c r="T44" s="99">
        <f>'[2]Rates in detail'!D37+[2]Temporaries!T37-[2]Temporaries!BD37+[2]Temporaries!S37-[2]Temporaries!BC37+[2]Temporaries!P37-[2]Temporaries!BB37++[2]Temporaries!Q37-[2]Temporaries!AW37</f>
        <v>0.73119000000000001</v>
      </c>
      <c r="U44" s="98"/>
      <c r="V44" s="97"/>
      <c r="W44" s="51">
        <f>'[2]Rates in summary'!D37+[2]Temporaries!R37-[2]Temporaries!AZ37</f>
        <v>0.73206000000000004</v>
      </c>
      <c r="X44" s="91"/>
      <c r="Y44" s="93"/>
      <c r="Z44" s="51">
        <f>'[2]Rates in summary'!D37+[2]Permanents!F37</f>
        <v>0.73174000000000006</v>
      </c>
      <c r="AA44" s="91"/>
      <c r="AB44" s="93"/>
      <c r="AC44" s="96">
        <f>'[2]Rates in summary'!D37+[2]Temporaries!U37-[2]Temporaries!BE37</f>
        <v>0.73169000000000006</v>
      </c>
      <c r="AD44" s="95"/>
      <c r="AE44" s="94"/>
      <c r="AF44" s="51">
        <f>'[2]Rates in summary'!D37+[2]Temporaries!V37-[2]Temporaries!BF37</f>
        <v>0.73169000000000006</v>
      </c>
      <c r="AG44" s="91"/>
      <c r="AH44" s="93"/>
      <c r="AI44" s="51">
        <f>'[2]Rates in summary'!G37+[2]Temporaries!J37</f>
        <v>0.66032999999999997</v>
      </c>
      <c r="AJ44" s="91"/>
      <c r="AK44" s="92"/>
      <c r="AL44" s="51">
        <f>+'[2]Rates in summary'!Q37</f>
        <v>0.66015000000000001</v>
      </c>
      <c r="AM44" s="91"/>
      <c r="AN44" s="90"/>
      <c r="AO44" s="3"/>
      <c r="AP44" s="8"/>
      <c r="AQ44" s="4">
        <f t="shared" si="19"/>
        <v>0</v>
      </c>
      <c r="AR44" s="4">
        <f t="shared" si="20"/>
        <v>0</v>
      </c>
      <c r="AS44" s="4">
        <f t="shared" si="21"/>
        <v>-7.1540000000000048E-2</v>
      </c>
      <c r="AT44" s="4">
        <f t="shared" si="32"/>
        <v>-7.1540000000000048E-2</v>
      </c>
      <c r="AU44" s="89">
        <f>+'[2]Rates in summary'!D37+[2]Temporaries!K37+[2]Temporaries!M37+[2]Temporaries!L37-[2]Temporaries!AZ37</f>
        <v>0.72859000000000007</v>
      </c>
      <c r="AV44" s="29"/>
      <c r="AW44" s="88"/>
      <c r="AX44" s="51"/>
      <c r="AY44" s="51"/>
      <c r="AZ44" s="51"/>
      <c r="BA44" s="51"/>
    </row>
    <row r="45" spans="1:57" x14ac:dyDescent="0.35">
      <c r="A45" s="7">
        <f t="shared" si="0"/>
        <v>39</v>
      </c>
      <c r="B45" s="7"/>
      <c r="C45" s="103" t="s">
        <v>50</v>
      </c>
      <c r="D45" s="102">
        <f>+'[2]Washington volumes'!J38</f>
        <v>668287.37243846827</v>
      </c>
      <c r="E45" s="102">
        <v>20000</v>
      </c>
      <c r="F45" s="100"/>
      <c r="G45" s="300"/>
      <c r="H45" s="301"/>
      <c r="I45" s="300"/>
      <c r="J45" s="301"/>
      <c r="K45" s="91"/>
      <c r="L45" s="51">
        <f>+'[2]Rates in summary'!D38</f>
        <v>0.71257999999999988</v>
      </c>
      <c r="M45" s="91"/>
      <c r="N45" s="51">
        <f>'[2]Rates in summary'!D38+[2]Temporaries!K38+[2]Temporaries!L38+[2]Temporaries!M38-[2]Temporaries!AX38</f>
        <v>0.71257999999999988</v>
      </c>
      <c r="O45" s="91"/>
      <c r="P45" s="93"/>
      <c r="Q45" s="51">
        <f>'[2]Rates in summary'!D38+[2]Temporaries!N38+[2]Temporaries!O38-[2]Temporaries!AY38</f>
        <v>0.71248999999999985</v>
      </c>
      <c r="R45" s="91"/>
      <c r="S45" s="93"/>
      <c r="T45" s="99">
        <f>'[2]Rates in detail'!D38+[2]Temporaries!T38-[2]Temporaries!BD38+[2]Temporaries!S38-[2]Temporaries!BC38+[2]Temporaries!P38-[2]Temporaries!BB38++[2]Temporaries!Q38-[2]Temporaries!AW38</f>
        <v>0.71204999999999985</v>
      </c>
      <c r="U45" s="98"/>
      <c r="V45" s="97"/>
      <c r="W45" s="51">
        <f>'[2]Rates in summary'!D38+[2]Temporaries!R38-[2]Temporaries!AZ38</f>
        <v>0.71291999999999978</v>
      </c>
      <c r="X45" s="91"/>
      <c r="Y45" s="93"/>
      <c r="Z45" s="51">
        <f>'[2]Rates in summary'!D38+[2]Permanents!F38</f>
        <v>0.71261999999999992</v>
      </c>
      <c r="AA45" s="91"/>
      <c r="AB45" s="93"/>
      <c r="AC45" s="96">
        <f>'[2]Rates in summary'!D38+[2]Temporaries!U38-[2]Temporaries!BE38</f>
        <v>0.71257999999999988</v>
      </c>
      <c r="AD45" s="95"/>
      <c r="AE45" s="94"/>
      <c r="AF45" s="51">
        <f>'[2]Rates in summary'!D38+[2]Temporaries!V38-[2]Temporaries!BF38</f>
        <v>0.71257999999999988</v>
      </c>
      <c r="AG45" s="91"/>
      <c r="AH45" s="93"/>
      <c r="AI45" s="51">
        <f>'[2]Rates in summary'!G38+[2]Temporaries!J38</f>
        <v>0.64121999999999979</v>
      </c>
      <c r="AJ45" s="91"/>
      <c r="AK45" s="92"/>
      <c r="AL45" s="51">
        <f>+'[2]Rates in summary'!Q38</f>
        <v>0.64097999999999988</v>
      </c>
      <c r="AM45" s="91"/>
      <c r="AN45" s="90"/>
      <c r="AO45" s="3"/>
      <c r="AP45" s="8"/>
      <c r="AQ45" s="4">
        <f t="shared" si="19"/>
        <v>0</v>
      </c>
      <c r="AR45" s="4">
        <f t="shared" si="20"/>
        <v>0</v>
      </c>
      <c r="AS45" s="4">
        <f t="shared" si="21"/>
        <v>-7.1599999999999997E-2</v>
      </c>
      <c r="AT45" s="4">
        <f t="shared" si="32"/>
        <v>-7.1599999999999997E-2</v>
      </c>
      <c r="AU45" s="89">
        <f>+'[2]Rates in summary'!D38+[2]Temporaries!K38+[2]Temporaries!M38+[2]Temporaries!L38-[2]Temporaries!AZ38</f>
        <v>0.70980999999999983</v>
      </c>
      <c r="AV45" s="29"/>
      <c r="AW45" s="88"/>
      <c r="AX45" s="51"/>
      <c r="AY45" s="51"/>
      <c r="AZ45" s="51"/>
      <c r="BA45" s="51"/>
    </row>
    <row r="46" spans="1:57" x14ac:dyDescent="0.35">
      <c r="A46" s="7">
        <f t="shared" si="0"/>
        <v>40</v>
      </c>
      <c r="B46" s="7"/>
      <c r="C46" s="103" t="s">
        <v>59</v>
      </c>
      <c r="D46" s="102">
        <f>+'[2]Washington volumes'!J39</f>
        <v>109047.67533172015</v>
      </c>
      <c r="E46" s="102">
        <v>20000</v>
      </c>
      <c r="F46" s="100"/>
      <c r="G46" s="300"/>
      <c r="H46" s="301"/>
      <c r="I46" s="300"/>
      <c r="J46" s="301"/>
      <c r="K46" s="91"/>
      <c r="L46" s="51">
        <f>+'[2]Rates in summary'!D39</f>
        <v>0.67456999999999967</v>
      </c>
      <c r="M46" s="91"/>
      <c r="N46" s="51">
        <f>'[2]Rates in summary'!D39+[2]Temporaries!K39+[2]Temporaries!L39+[2]Temporaries!M39-[2]Temporaries!AX39</f>
        <v>0.67456999999999967</v>
      </c>
      <c r="O46" s="91"/>
      <c r="P46" s="93"/>
      <c r="Q46" s="51">
        <f>'[2]Rates in summary'!D39+[2]Temporaries!N39+[2]Temporaries!O39-[2]Temporaries!AY39</f>
        <v>0.6744899999999997</v>
      </c>
      <c r="R46" s="91"/>
      <c r="S46" s="93"/>
      <c r="T46" s="99">
        <f>'[2]Rates in detail'!D39+[2]Temporaries!T39-[2]Temporaries!BD39+[2]Temporaries!S39-[2]Temporaries!BC39+[2]Temporaries!P39-[2]Temporaries!BB39++[2]Temporaries!Q39-[2]Temporaries!AW39</f>
        <v>0.67399999999999971</v>
      </c>
      <c r="U46" s="98"/>
      <c r="V46" s="97"/>
      <c r="W46" s="51">
        <f>'[2]Rates in summary'!D39+[2]Temporaries!R39-[2]Temporaries!AZ39</f>
        <v>0.67481999999999975</v>
      </c>
      <c r="X46" s="91"/>
      <c r="Y46" s="93"/>
      <c r="Z46" s="51">
        <f>'[2]Rates in summary'!D39+[2]Permanents!F39</f>
        <v>0.67459999999999964</v>
      </c>
      <c r="AA46" s="91"/>
      <c r="AB46" s="93"/>
      <c r="AC46" s="96">
        <f>'[2]Rates in summary'!D39+[2]Temporaries!U39-[2]Temporaries!BE39</f>
        <v>0.67456999999999967</v>
      </c>
      <c r="AD46" s="95"/>
      <c r="AE46" s="94"/>
      <c r="AF46" s="51">
        <f>'[2]Rates in summary'!D39+[2]Temporaries!V39-[2]Temporaries!BF39</f>
        <v>0.67456999999999967</v>
      </c>
      <c r="AG46" s="91"/>
      <c r="AH46" s="93"/>
      <c r="AI46" s="51">
        <f>'[2]Rates in summary'!G39+[2]Temporaries!J39</f>
        <v>0.60320999999999969</v>
      </c>
      <c r="AJ46" s="91"/>
      <c r="AK46" s="92"/>
      <c r="AL46" s="51">
        <f>+'[2]Rates in summary'!Q39</f>
        <v>0.60283999999999971</v>
      </c>
      <c r="AM46" s="91"/>
      <c r="AN46" s="90"/>
      <c r="AO46" s="3"/>
      <c r="AP46" s="8"/>
      <c r="AQ46" s="4">
        <f t="shared" si="19"/>
        <v>0</v>
      </c>
      <c r="AR46" s="4">
        <f t="shared" si="20"/>
        <v>0</v>
      </c>
      <c r="AS46" s="4">
        <f t="shared" si="21"/>
        <v>-7.172999999999996E-2</v>
      </c>
      <c r="AT46" s="4">
        <f t="shared" si="32"/>
        <v>-7.172999999999996E-2</v>
      </c>
      <c r="AU46" s="89">
        <f>+'[2]Rates in summary'!D39+[2]Temporaries!K39+[2]Temporaries!M39+[2]Temporaries!L39-[2]Temporaries!AZ39</f>
        <v>0.6724399999999997</v>
      </c>
      <c r="AV46" s="29"/>
      <c r="AW46" s="88"/>
      <c r="AX46" s="51"/>
      <c r="AY46" s="51"/>
      <c r="AZ46" s="51"/>
      <c r="BA46" s="51"/>
    </row>
    <row r="47" spans="1:57" x14ac:dyDescent="0.35">
      <c r="A47" s="7">
        <f t="shared" si="0"/>
        <v>41</v>
      </c>
      <c r="B47" s="7"/>
      <c r="C47" s="103" t="s">
        <v>60</v>
      </c>
      <c r="D47" s="102">
        <f>+'[2]Washington volumes'!J40</f>
        <v>24232.772003191028</v>
      </c>
      <c r="E47" s="102">
        <v>100000</v>
      </c>
      <c r="F47" s="100"/>
      <c r="G47" s="300"/>
      <c r="H47" s="301"/>
      <c r="I47" s="300"/>
      <c r="J47" s="301"/>
      <c r="K47" s="91"/>
      <c r="L47" s="51">
        <f>+'[2]Rates in summary'!D40</f>
        <v>0.64957000000000009</v>
      </c>
      <c r="M47" s="91"/>
      <c r="N47" s="51">
        <f>'[2]Rates in summary'!D40+[2]Temporaries!K40+[2]Temporaries!L40+[2]Temporaries!M40-[2]Temporaries!AX40</f>
        <v>0.64957000000000009</v>
      </c>
      <c r="O47" s="91"/>
      <c r="P47" s="93"/>
      <c r="Q47" s="51">
        <f>'[2]Rates in summary'!D40+[2]Temporaries!N40+[2]Temporaries!O40-[2]Temporaries!AY40</f>
        <v>0.64951000000000014</v>
      </c>
      <c r="R47" s="91"/>
      <c r="S47" s="93"/>
      <c r="T47" s="99">
        <f>'[2]Rates in detail'!D40+[2]Temporaries!T40-[2]Temporaries!BD40+[2]Temporaries!S40-[2]Temporaries!BC40+[2]Temporaries!P40-[2]Temporaries!BB40++[2]Temporaries!Q40-[2]Temporaries!AW40</f>
        <v>0.64898000000000011</v>
      </c>
      <c r="U47" s="98"/>
      <c r="V47" s="97"/>
      <c r="W47" s="51">
        <f>'[2]Rates in summary'!D40+[2]Temporaries!R40-[2]Temporaries!AZ40</f>
        <v>0.64978000000000002</v>
      </c>
      <c r="X47" s="91"/>
      <c r="Y47" s="93"/>
      <c r="Z47" s="51">
        <f>'[2]Rates in summary'!D40+[2]Permanents!F40</f>
        <v>0.64959000000000011</v>
      </c>
      <c r="AA47" s="91"/>
      <c r="AB47" s="93"/>
      <c r="AC47" s="96">
        <f>'[2]Rates in summary'!D40+[2]Temporaries!U40-[2]Temporaries!BE40</f>
        <v>0.64957000000000009</v>
      </c>
      <c r="AD47" s="95"/>
      <c r="AE47" s="94"/>
      <c r="AF47" s="51">
        <f>'[2]Rates in summary'!D40+[2]Temporaries!V40-[2]Temporaries!BF40</f>
        <v>0.64957000000000009</v>
      </c>
      <c r="AG47" s="91"/>
      <c r="AH47" s="93"/>
      <c r="AI47" s="51">
        <f>'[2]Rates in summary'!G40+[2]Temporaries!J40</f>
        <v>0.57821</v>
      </c>
      <c r="AJ47" s="91"/>
      <c r="AK47" s="92"/>
      <c r="AL47" s="51">
        <f>+'[2]Rates in summary'!Q40</f>
        <v>0.57779000000000003</v>
      </c>
      <c r="AM47" s="91"/>
      <c r="AN47" s="90"/>
      <c r="AO47" s="3"/>
      <c r="AP47" s="8"/>
      <c r="AQ47" s="4">
        <f t="shared" si="19"/>
        <v>0</v>
      </c>
      <c r="AR47" s="4">
        <f t="shared" si="20"/>
        <v>0</v>
      </c>
      <c r="AS47" s="4">
        <f t="shared" si="21"/>
        <v>-7.1780000000000066E-2</v>
      </c>
      <c r="AT47" s="4">
        <f t="shared" si="32"/>
        <v>-7.1780000000000066E-2</v>
      </c>
      <c r="AU47" s="89">
        <f>+'[2]Rates in summary'!D40+[2]Temporaries!K40+[2]Temporaries!M40+[2]Temporaries!L40-[2]Temporaries!AZ40</f>
        <v>0.64787000000000006</v>
      </c>
      <c r="AV47" s="29"/>
      <c r="AW47" s="88"/>
      <c r="AX47" s="51"/>
      <c r="AY47" s="51"/>
      <c r="AZ47" s="51"/>
      <c r="BA47" s="51"/>
    </row>
    <row r="48" spans="1:57" x14ac:dyDescent="0.35">
      <c r="A48" s="7">
        <f t="shared" si="0"/>
        <v>42</v>
      </c>
      <c r="B48" s="7"/>
      <c r="C48" s="103" t="s">
        <v>61</v>
      </c>
      <c r="D48" s="102">
        <f>+'[2]Washington volumes'!J41</f>
        <v>0</v>
      </c>
      <c r="E48" s="102">
        <v>600000</v>
      </c>
      <c r="F48" s="100"/>
      <c r="G48" s="300"/>
      <c r="H48" s="301"/>
      <c r="I48" s="300"/>
      <c r="J48" s="301"/>
      <c r="K48" s="91"/>
      <c r="L48" s="51">
        <f>+'[2]Rates in summary'!D41</f>
        <v>0.61626000000000036</v>
      </c>
      <c r="M48" s="91"/>
      <c r="N48" s="51">
        <f>'[2]Rates in summary'!D41+[2]Temporaries!K41+[2]Temporaries!L41+[2]Temporaries!M41-[2]Temporaries!AX41</f>
        <v>0.61626000000000036</v>
      </c>
      <c r="O48" s="91"/>
      <c r="P48" s="93"/>
      <c r="Q48" s="51">
        <f>'[2]Rates in summary'!D41+[2]Temporaries!N41+[2]Temporaries!O41-[2]Temporaries!AY41</f>
        <v>0.61622000000000032</v>
      </c>
      <c r="R48" s="91"/>
      <c r="S48" s="93"/>
      <c r="T48" s="99">
        <f>'[2]Rates in detail'!D41+[2]Temporaries!T41-[2]Temporaries!BD41+[2]Temporaries!S41-[2]Temporaries!BC41+[2]Temporaries!P41-[2]Temporaries!BB41++[2]Temporaries!Q41-[2]Temporaries!AW41</f>
        <v>0.61562000000000039</v>
      </c>
      <c r="U48" s="98"/>
      <c r="V48" s="97"/>
      <c r="W48" s="51">
        <f>'[2]Rates in summary'!D41+[2]Temporaries!R41-[2]Temporaries!AZ41</f>
        <v>0.61639000000000033</v>
      </c>
      <c r="X48" s="91"/>
      <c r="Y48" s="93"/>
      <c r="Z48" s="51">
        <f>'[2]Rates in summary'!D41+[2]Permanents!F41</f>
        <v>0.61628000000000038</v>
      </c>
      <c r="AA48" s="91"/>
      <c r="AB48" s="93"/>
      <c r="AC48" s="96">
        <f>'[2]Rates in summary'!D41+[2]Temporaries!U41-[2]Temporaries!BE41</f>
        <v>0.61626000000000036</v>
      </c>
      <c r="AD48" s="95"/>
      <c r="AE48" s="94"/>
      <c r="AF48" s="51">
        <f>'[2]Rates in summary'!D41+[2]Temporaries!V41-[2]Temporaries!BF41</f>
        <v>0.61626000000000036</v>
      </c>
      <c r="AG48" s="91"/>
      <c r="AH48" s="93"/>
      <c r="AI48" s="51">
        <f>'[2]Rates in summary'!G41+[2]Temporaries!J41</f>
        <v>0.54490000000000027</v>
      </c>
      <c r="AJ48" s="91"/>
      <c r="AK48" s="92"/>
      <c r="AL48" s="51">
        <f>+'[2]Rates in summary'!Q41</f>
        <v>0.54437000000000035</v>
      </c>
      <c r="AM48" s="91"/>
      <c r="AN48" s="90"/>
      <c r="AO48" s="3"/>
      <c r="AP48" s="8"/>
      <c r="AQ48" s="4">
        <f t="shared" si="19"/>
        <v>0</v>
      </c>
      <c r="AR48" s="4">
        <f t="shared" si="20"/>
        <v>0</v>
      </c>
      <c r="AS48" s="4">
        <f t="shared" si="21"/>
        <v>-7.1890000000000009E-2</v>
      </c>
      <c r="AT48" s="4">
        <f t="shared" si="32"/>
        <v>-7.1890000000000009E-2</v>
      </c>
      <c r="AU48" s="89">
        <f>+'[2]Rates in summary'!D41+[2]Temporaries!K41+[2]Temporaries!M41+[2]Temporaries!L41-[2]Temporaries!AZ41</f>
        <v>0.61512000000000033</v>
      </c>
      <c r="AV48" s="89"/>
      <c r="AW48" s="88"/>
      <c r="AX48" s="51"/>
      <c r="AY48" s="51"/>
      <c r="AZ48" s="51"/>
      <c r="BA48" s="51"/>
    </row>
    <row r="49" spans="1:57" x14ac:dyDescent="0.35">
      <c r="A49" s="7">
        <f t="shared" si="0"/>
        <v>43</v>
      </c>
      <c r="B49" s="7"/>
      <c r="C49" s="103" t="s">
        <v>62</v>
      </c>
      <c r="D49" s="102">
        <f>+'[2]Washington volumes'!J42</f>
        <v>0</v>
      </c>
      <c r="E49" s="101" t="s">
        <v>51</v>
      </c>
      <c r="F49" s="100"/>
      <c r="G49" s="300"/>
      <c r="H49" s="301"/>
      <c r="I49" s="300"/>
      <c r="J49" s="301"/>
      <c r="K49" s="91"/>
      <c r="L49" s="51">
        <f>+'[2]Rates in summary'!D42</f>
        <v>0.57454999999999989</v>
      </c>
      <c r="M49" s="91"/>
      <c r="N49" s="51">
        <f>'[2]Rates in summary'!D42+[2]Temporaries!K42+[2]Temporaries!L42+[2]Temporaries!M42-[2]Temporaries!AX42</f>
        <v>0.57454999999999989</v>
      </c>
      <c r="O49" s="91"/>
      <c r="P49" s="93"/>
      <c r="Q49" s="51">
        <f>'[2]Rates in summary'!D42+[2]Temporaries!N42+[2]Temporaries!O42-[2]Temporaries!AY42</f>
        <v>0.57452999999999987</v>
      </c>
      <c r="R49" s="91"/>
      <c r="S49" s="93"/>
      <c r="T49" s="99">
        <f>'[2]Rates in detail'!D42+[2]Temporaries!T42-[2]Temporaries!BD42+[2]Temporaries!S42-[2]Temporaries!BC42+[2]Temporaries!P42-[2]Temporaries!BB42++[2]Temporaries!Q42-[2]Temporaries!AW42</f>
        <v>0.57385999999999993</v>
      </c>
      <c r="U49" s="98"/>
      <c r="V49" s="97"/>
      <c r="W49" s="51">
        <f>'[2]Rates in summary'!D42+[2]Temporaries!R42-[2]Temporaries!AZ42</f>
        <v>0.57459999999999989</v>
      </c>
      <c r="X49" s="91"/>
      <c r="Y49" s="93"/>
      <c r="Z49" s="51">
        <f>'[2]Rates in summary'!D42+[2]Permanents!F42</f>
        <v>0.57455999999999985</v>
      </c>
      <c r="AA49" s="91"/>
      <c r="AB49" s="93"/>
      <c r="AC49" s="96">
        <f>'[2]Rates in summary'!D42+[2]Temporaries!U42-[2]Temporaries!BE42</f>
        <v>0.57454999999999989</v>
      </c>
      <c r="AD49" s="95"/>
      <c r="AE49" s="94"/>
      <c r="AF49" s="51">
        <f>'[2]Rates in summary'!D42+[2]Temporaries!V42-[2]Temporaries!BF42</f>
        <v>0.57454999999999989</v>
      </c>
      <c r="AG49" s="91"/>
      <c r="AH49" s="93"/>
      <c r="AI49" s="51">
        <f>'[2]Rates in summary'!G42+[2]Temporaries!J42</f>
        <v>0.50318999999999992</v>
      </c>
      <c r="AJ49" s="91"/>
      <c r="AK49" s="92"/>
      <c r="AL49" s="51">
        <f>+'[2]Rates in summary'!Q42</f>
        <v>0.50253999999999988</v>
      </c>
      <c r="AM49" s="91"/>
      <c r="AN49" s="90"/>
      <c r="AO49" s="3"/>
      <c r="AP49" s="8"/>
      <c r="AQ49" s="4">
        <f t="shared" si="19"/>
        <v>0</v>
      </c>
      <c r="AR49" s="4">
        <f t="shared" si="20"/>
        <v>0</v>
      </c>
      <c r="AS49" s="4">
        <f t="shared" si="21"/>
        <v>-7.2010000000000018E-2</v>
      </c>
      <c r="AT49" s="4">
        <f t="shared" si="32"/>
        <v>-7.2010000000000018E-2</v>
      </c>
      <c r="AU49" s="89">
        <f>+'[2]Rates in summary'!D42+[2]Temporaries!K42+[2]Temporaries!M42+[2]Temporaries!L42-[2]Temporaries!AZ42</f>
        <v>0.57411999999999985</v>
      </c>
      <c r="AV49" s="89"/>
      <c r="AW49" s="88"/>
      <c r="AX49" s="51"/>
      <c r="AY49" s="51"/>
      <c r="AZ49" s="51"/>
      <c r="BA49" s="51"/>
    </row>
    <row r="50" spans="1:57" x14ac:dyDescent="0.35">
      <c r="A50" s="7">
        <f t="shared" si="0"/>
        <v>44</v>
      </c>
      <c r="B50" s="69"/>
      <c r="C50" s="87" t="s">
        <v>52</v>
      </c>
      <c r="D50" s="86"/>
      <c r="E50" s="85"/>
      <c r="F50" s="84"/>
      <c r="G50" s="302"/>
      <c r="H50" s="303"/>
      <c r="I50" s="302"/>
      <c r="J50" s="303"/>
      <c r="K50" s="74"/>
      <c r="L50" s="83"/>
      <c r="M50" s="74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7563.3356300000014</v>
      </c>
      <c r="N50" s="83"/>
      <c r="O50" s="74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7563.3356300000014</v>
      </c>
      <c r="P50" s="56">
        <f>ROUND((O50-M50)/M50,3)</f>
        <v>0</v>
      </c>
      <c r="Q50" s="83"/>
      <c r="R50" s="74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7562.0756300000012</v>
      </c>
      <c r="S50" s="56">
        <f>ROUND((R50-M50)/M50,3)</f>
        <v>0</v>
      </c>
      <c r="T50" s="106"/>
      <c r="U50" s="81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7556.815630000001</v>
      </c>
      <c r="V50" s="80">
        <f>ROUND((U50-M50)/M50,3)</f>
        <v>-1E-3</v>
      </c>
      <c r="W50" s="83"/>
      <c r="X50" s="74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7568.0156299999999</v>
      </c>
      <c r="Y50" s="56">
        <f>(X50-M50)/M50</f>
        <v>6.1877460276061702E-4</v>
      </c>
      <c r="Z50" s="83"/>
      <c r="AA50" s="74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7563.9556300000004</v>
      </c>
      <c r="AB50" s="56">
        <f>(AA50-M50)/M50</f>
        <v>8.1974413186127672E-5</v>
      </c>
      <c r="AC50" s="104"/>
      <c r="AD50" s="77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7563.3356300000014</v>
      </c>
      <c r="AE50" s="57">
        <f>(AD50-M50)/M50</f>
        <v>0</v>
      </c>
      <c r="AF50" s="83"/>
      <c r="AG50" s="74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7563.3356300000014</v>
      </c>
      <c r="AH50" s="56">
        <f>(AG50-M50)/M50</f>
        <v>0</v>
      </c>
      <c r="AI50" s="83"/>
      <c r="AJ50" s="74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6645.0056299999997</v>
      </c>
      <c r="AK50" s="73">
        <f>ROUND((AJ50-M50)/M50,3)</f>
        <v>-0.121</v>
      </c>
      <c r="AL50" s="83"/>
      <c r="AM50" s="74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6642.5156299999999</v>
      </c>
      <c r="AN50" s="73">
        <f>ROUND((AM50-M50)/M50,3)</f>
        <v>-0.122</v>
      </c>
      <c r="AO50" s="3"/>
      <c r="AP50" s="8"/>
      <c r="AQ50" s="4">
        <f t="shared" si="19"/>
        <v>0</v>
      </c>
      <c r="AR50" s="4">
        <f t="shared" si="20"/>
        <v>0</v>
      </c>
      <c r="AS50" s="4">
        <f t="shared" si="21"/>
        <v>0</v>
      </c>
      <c r="AT50" s="4">
        <f t="shared" si="32"/>
        <v>0</v>
      </c>
      <c r="AU50" s="72"/>
      <c r="AV50" s="71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7524.3856300000007</v>
      </c>
      <c r="AW50" s="70">
        <f>ROUND((AV50-M50)/M50,3)</f>
        <v>-5.0000000000000001E-3</v>
      </c>
      <c r="AX50" s="51"/>
      <c r="AY50" s="51"/>
      <c r="AZ50" s="51"/>
      <c r="BA50" s="51"/>
    </row>
    <row r="51" spans="1:57" x14ac:dyDescent="0.35">
      <c r="A51" s="7">
        <f t="shared" si="0"/>
        <v>45</v>
      </c>
      <c r="B51" s="7" t="s">
        <v>64</v>
      </c>
      <c r="C51" s="103" t="s">
        <v>49</v>
      </c>
      <c r="D51" s="102">
        <f>+'[2]Washington volumes'!J43</f>
        <v>122543.87639893022</v>
      </c>
      <c r="E51" s="102">
        <v>10000</v>
      </c>
      <c r="F51" s="100">
        <v>51470</v>
      </c>
      <c r="G51" s="300">
        <f>1300+250</f>
        <v>1550</v>
      </c>
      <c r="H51" s="300">
        <f>'[4]Aver Bill by RS'!$J51</f>
        <v>5142.2693365131181</v>
      </c>
      <c r="I51" s="300">
        <f>G51-(IF(H51&gt;(F51*$H$3),(F51*$H$3),H51))</f>
        <v>-3592.2693365131181</v>
      </c>
      <c r="J51" s="300">
        <f>'[4]Aver Bill by RS'!$J51</f>
        <v>5142.2693365131181</v>
      </c>
      <c r="K51" s="91">
        <f>G51-(IF(J51&gt;($F51*$H$4),($F51*$H$4),J51))</f>
        <v>-3592.2693365131181</v>
      </c>
      <c r="L51" s="51">
        <f>+'[2]Rates in summary'!D43</f>
        <v>0.40332000000000001</v>
      </c>
      <c r="M51" s="91"/>
      <c r="N51" s="51">
        <f>'[2]Rates in summary'!D43+[2]Temporaries!K43+[2]Temporaries!L43+[2]Temporaries!M43-[2]Temporaries!AX43</f>
        <v>0.40332000000000001</v>
      </c>
      <c r="O51" s="91"/>
      <c r="P51" s="93"/>
      <c r="Q51" s="51">
        <f>'[2]Rates in summary'!D43+[2]Temporaries!N43+[2]Temporaries!O43-[2]Temporaries!AY43</f>
        <v>0.40332000000000001</v>
      </c>
      <c r="R51" s="91"/>
      <c r="S51" s="93"/>
      <c r="T51" s="99">
        <f>'[2]Rates in detail'!D43+[2]Temporaries!T43-[2]Temporaries!BD43+[2]Temporaries!S43-[2]Temporaries!BC43+[2]Temporaries!P43-[2]Temporaries!BB43++[2]Temporaries!Q43-[2]Temporaries!AW43</f>
        <v>0.40266000000000007</v>
      </c>
      <c r="U51" s="98"/>
      <c r="V51" s="97"/>
      <c r="W51" s="51">
        <f>'[2]Rates in summary'!D43+[2]Temporaries!R43-[2]Temporaries!AZ43</f>
        <v>0.40358000000000005</v>
      </c>
      <c r="X51" s="91"/>
      <c r="Y51" s="93"/>
      <c r="Z51" s="51">
        <f>'[2]Rates in summary'!D43+[2]Permanents!F43</f>
        <v>0.40332000000000001</v>
      </c>
      <c r="AA51" s="91"/>
      <c r="AB51" s="93"/>
      <c r="AC51" s="96">
        <f>'[2]Rates in summary'!D43+[2]Temporaries!U43-[2]Temporaries!BE43</f>
        <v>0.40332000000000001</v>
      </c>
      <c r="AD51" s="95"/>
      <c r="AE51" s="94"/>
      <c r="AF51" s="51">
        <f>'[2]Rates in summary'!D43+[2]Temporaries!V43-[2]Temporaries!BF43</f>
        <v>0.40332000000000001</v>
      </c>
      <c r="AG51" s="91"/>
      <c r="AH51" s="93"/>
      <c r="AI51" s="51">
        <f>'[2]Rates in summary'!G43+[2]Temporaries!J43</f>
        <v>0.40332000000000001</v>
      </c>
      <c r="AJ51" s="91"/>
      <c r="AK51" s="92"/>
      <c r="AL51" s="51">
        <f>+'[2]Rates in summary'!Q43</f>
        <v>0.40292</v>
      </c>
      <c r="AM51" s="91"/>
      <c r="AN51" s="90"/>
      <c r="AO51" s="3"/>
      <c r="AP51" s="8"/>
      <c r="AQ51" s="4">
        <f t="shared" si="19"/>
        <v>0</v>
      </c>
      <c r="AR51" s="4">
        <f t="shared" si="20"/>
        <v>0</v>
      </c>
      <c r="AS51" s="4">
        <f t="shared" si="21"/>
        <v>-4.0000000000001146E-4</v>
      </c>
      <c r="AT51" s="4">
        <f t="shared" si="32"/>
        <v>-4.0000000000001146E-4</v>
      </c>
      <c r="AU51" s="89">
        <f>+'[2]Rates in summary'!D43+[2]Temporaries!K43+[2]Temporaries!M43+[2]Temporaries!L43-[2]Temporaries!AZ43</f>
        <v>0.40139000000000002</v>
      </c>
      <c r="AV51" s="29"/>
      <c r="AW51" s="88"/>
      <c r="AX51" s="51"/>
      <c r="AY51" s="51"/>
      <c r="AZ51" s="51"/>
      <c r="BA51" s="51"/>
    </row>
    <row r="52" spans="1:57" x14ac:dyDescent="0.35">
      <c r="A52" s="7">
        <f t="shared" si="0"/>
        <v>46</v>
      </c>
      <c r="B52" s="7"/>
      <c r="C52" s="103" t="s">
        <v>50</v>
      </c>
      <c r="D52" s="102">
        <f>+'[2]Washington volumes'!J44</f>
        <v>245087.75279786045</v>
      </c>
      <c r="E52" s="102">
        <v>20000</v>
      </c>
      <c r="F52" s="100"/>
      <c r="G52" s="300"/>
      <c r="H52" s="301"/>
      <c r="I52" s="300"/>
      <c r="J52" s="301"/>
      <c r="K52" s="91"/>
      <c r="L52" s="51">
        <f>+'[2]Rates in summary'!D44</f>
        <v>0.38640000000000002</v>
      </c>
      <c r="M52" s="91"/>
      <c r="N52" s="51">
        <f>'[2]Rates in summary'!D44+[2]Temporaries!K44+[2]Temporaries!L44+[2]Temporaries!M44-[2]Temporaries!AX44</f>
        <v>0.38640000000000002</v>
      </c>
      <c r="O52" s="91"/>
      <c r="P52" s="93"/>
      <c r="Q52" s="51">
        <f>'[2]Rates in summary'!D44+[2]Temporaries!N44+[2]Temporaries!O44-[2]Temporaries!AY44</f>
        <v>0.38640000000000002</v>
      </c>
      <c r="R52" s="91"/>
      <c r="S52" s="93"/>
      <c r="T52" s="99">
        <f>'[2]Rates in detail'!D44+[2]Temporaries!T44-[2]Temporaries!BD44+[2]Temporaries!S44-[2]Temporaries!BC44+[2]Temporaries!P44-[2]Temporaries!BB44++[2]Temporaries!Q44-[2]Temporaries!AW44</f>
        <v>0.38574000000000003</v>
      </c>
      <c r="U52" s="98"/>
      <c r="V52" s="97"/>
      <c r="W52" s="51">
        <f>'[2]Rates in summary'!D44+[2]Temporaries!R44-[2]Temporaries!AZ44</f>
        <v>0.38663000000000003</v>
      </c>
      <c r="X52" s="91"/>
      <c r="Y52" s="93"/>
      <c r="Z52" s="51">
        <f>'[2]Rates in summary'!D44+[2]Permanents!F44</f>
        <v>0.38640000000000002</v>
      </c>
      <c r="AA52" s="91"/>
      <c r="AB52" s="93"/>
      <c r="AC52" s="96">
        <f>'[2]Rates in summary'!D44+[2]Temporaries!U44-[2]Temporaries!BE44</f>
        <v>0.38640000000000008</v>
      </c>
      <c r="AD52" s="95"/>
      <c r="AE52" s="94"/>
      <c r="AF52" s="51">
        <f>'[2]Rates in summary'!D44+[2]Temporaries!V44-[2]Temporaries!BF44</f>
        <v>0.38639999999999997</v>
      </c>
      <c r="AG52" s="91"/>
      <c r="AH52" s="93"/>
      <c r="AI52" s="51">
        <f>'[2]Rates in summary'!G44+[2]Temporaries!J44</f>
        <v>0.38640000000000002</v>
      </c>
      <c r="AJ52" s="91"/>
      <c r="AK52" s="92"/>
      <c r="AL52" s="51">
        <f>+'[2]Rates in summary'!Q44</f>
        <v>0.38597000000000004</v>
      </c>
      <c r="AM52" s="91"/>
      <c r="AN52" s="90"/>
      <c r="AO52" s="3"/>
      <c r="AP52" s="8"/>
      <c r="AQ52" s="4">
        <f t="shared" si="19"/>
        <v>0</v>
      </c>
      <c r="AR52" s="4">
        <f t="shared" si="20"/>
        <v>0</v>
      </c>
      <c r="AS52" s="4">
        <f t="shared" si="21"/>
        <v>-4.2999999999998595E-4</v>
      </c>
      <c r="AT52" s="4">
        <f t="shared" si="32"/>
        <v>-4.2999999999998595E-4</v>
      </c>
      <c r="AU52" s="89">
        <f>+'[2]Rates in summary'!D44+[2]Temporaries!K44+[2]Temporaries!M44+[2]Temporaries!L44-[2]Temporaries!AZ44</f>
        <v>0.38467000000000001</v>
      </c>
      <c r="AV52" s="29"/>
      <c r="AW52" s="88"/>
      <c r="AX52" s="51"/>
      <c r="AY52" s="51"/>
      <c r="AZ52" s="51"/>
      <c r="BA52" s="51"/>
    </row>
    <row r="53" spans="1:57" x14ac:dyDescent="0.35">
      <c r="A53" s="7">
        <f t="shared" si="0"/>
        <v>47</v>
      </c>
      <c r="B53" s="7"/>
      <c r="C53" s="103" t="s">
        <v>59</v>
      </c>
      <c r="D53" s="102">
        <f>+'[2]Washington volumes'!J45</f>
        <v>245087.75279786045</v>
      </c>
      <c r="E53" s="102">
        <v>20000</v>
      </c>
      <c r="F53" s="100"/>
      <c r="G53" s="300"/>
      <c r="H53" s="301"/>
      <c r="I53" s="300"/>
      <c r="J53" s="301"/>
      <c r="K53" s="91"/>
      <c r="L53" s="51">
        <f>+'[2]Rates in summary'!D45</f>
        <v>0.35268999999999995</v>
      </c>
      <c r="M53" s="91"/>
      <c r="N53" s="51">
        <f>'[2]Rates in summary'!D45+[2]Temporaries!K45+[2]Temporaries!L45+[2]Temporaries!M45-[2]Temporaries!AX45</f>
        <v>0.35268999999999995</v>
      </c>
      <c r="O53" s="91"/>
      <c r="P53" s="93"/>
      <c r="Q53" s="51">
        <f>'[2]Rates in summary'!D45+[2]Temporaries!N45+[2]Temporaries!O45-[2]Temporaries!AY45</f>
        <v>0.35268999999999995</v>
      </c>
      <c r="R53" s="91"/>
      <c r="S53" s="93"/>
      <c r="T53" s="99">
        <f>'[2]Rates in detail'!D45+[2]Temporaries!T45-[2]Temporaries!BD45+[2]Temporaries!S45-[2]Temporaries!BC45+[2]Temporaries!P45-[2]Temporaries!BB45++[2]Temporaries!Q45-[2]Temporaries!AW45</f>
        <v>0.35200999999999999</v>
      </c>
      <c r="U53" s="98"/>
      <c r="V53" s="97"/>
      <c r="W53" s="51">
        <f>'[2]Rates in summary'!D45+[2]Temporaries!R45-[2]Temporaries!AZ45</f>
        <v>0.35285999999999995</v>
      </c>
      <c r="X53" s="91"/>
      <c r="Y53" s="93"/>
      <c r="Z53" s="51">
        <f>'[2]Rates in summary'!D45+[2]Permanents!F45</f>
        <v>0.35268999999999995</v>
      </c>
      <c r="AA53" s="91"/>
      <c r="AB53" s="93"/>
      <c r="AC53" s="96">
        <f>'[2]Rates in summary'!D45+[2]Temporaries!U45-[2]Temporaries!BE45</f>
        <v>0.35268999999999995</v>
      </c>
      <c r="AD53" s="95"/>
      <c r="AE53" s="94"/>
      <c r="AF53" s="51">
        <f>'[2]Rates in summary'!D45+[2]Temporaries!V45-[2]Temporaries!BF45</f>
        <v>0.35268999999999995</v>
      </c>
      <c r="AG53" s="91"/>
      <c r="AH53" s="93"/>
      <c r="AI53" s="51">
        <f>'[2]Rates in summary'!G45+[2]Temporaries!J45</f>
        <v>0.35268999999999995</v>
      </c>
      <c r="AJ53" s="91"/>
      <c r="AK53" s="92"/>
      <c r="AL53" s="51">
        <f>+'[2]Rates in summary'!Q45</f>
        <v>0.35217999999999994</v>
      </c>
      <c r="AM53" s="91"/>
      <c r="AN53" s="90"/>
      <c r="AO53" s="3"/>
      <c r="AP53" s="8"/>
      <c r="AQ53" s="4">
        <f t="shared" si="19"/>
        <v>0</v>
      </c>
      <c r="AR53" s="4">
        <f t="shared" si="20"/>
        <v>0</v>
      </c>
      <c r="AS53" s="4">
        <f t="shared" si="21"/>
        <v>-5.1000000000001044E-4</v>
      </c>
      <c r="AT53" s="4">
        <f t="shared" si="32"/>
        <v>-5.1000000000001044E-4</v>
      </c>
      <c r="AU53" s="89">
        <f>+'[2]Rates in summary'!D45+[2]Temporaries!K45+[2]Temporaries!M45+[2]Temporaries!L45-[2]Temporaries!AZ45</f>
        <v>0.35135999999999995</v>
      </c>
      <c r="AV53" s="29"/>
      <c r="AW53" s="88"/>
      <c r="AX53" s="51"/>
      <c r="AY53" s="51"/>
      <c r="AZ53" s="51"/>
      <c r="BA53" s="51"/>
    </row>
    <row r="54" spans="1:57" x14ac:dyDescent="0.35">
      <c r="A54" s="7">
        <f t="shared" si="0"/>
        <v>48</v>
      </c>
      <c r="B54" s="7"/>
      <c r="C54" s="103" t="s">
        <v>60</v>
      </c>
      <c r="D54" s="102">
        <f>+'[2]Washington volumes'!J46</f>
        <v>403343.97837634891</v>
      </c>
      <c r="E54" s="102">
        <v>100000</v>
      </c>
      <c r="F54" s="100"/>
      <c r="G54" s="300"/>
      <c r="H54" s="301"/>
      <c r="I54" s="300"/>
      <c r="J54" s="301"/>
      <c r="K54" s="91"/>
      <c r="L54" s="51">
        <f>+'[2]Rates in summary'!D46</f>
        <v>0.33054000000000006</v>
      </c>
      <c r="M54" s="91"/>
      <c r="N54" s="51">
        <f>'[2]Rates in summary'!D46+[2]Temporaries!K46+[2]Temporaries!L46+[2]Temporaries!M46-[2]Temporaries!AX46</f>
        <v>0.33054000000000006</v>
      </c>
      <c r="O54" s="91"/>
      <c r="P54" s="93"/>
      <c r="Q54" s="51">
        <f>'[2]Rates in summary'!D46+[2]Temporaries!N46+[2]Temporaries!O46-[2]Temporaries!AY46</f>
        <v>0.33054000000000006</v>
      </c>
      <c r="R54" s="91"/>
      <c r="S54" s="93"/>
      <c r="T54" s="99">
        <f>'[2]Rates in detail'!D46+[2]Temporaries!T46-[2]Temporaries!BD46+[2]Temporaries!S46-[2]Temporaries!BC46+[2]Temporaries!P46-[2]Temporaries!BB46++[2]Temporaries!Q46-[2]Temporaries!AW46</f>
        <v>0.32982000000000011</v>
      </c>
      <c r="U54" s="98"/>
      <c r="V54" s="97"/>
      <c r="W54" s="51">
        <f>'[2]Rates in summary'!D46+[2]Temporaries!R46-[2]Temporaries!AZ46</f>
        <v>0.33068000000000003</v>
      </c>
      <c r="X54" s="91"/>
      <c r="Y54" s="93"/>
      <c r="Z54" s="51">
        <f>'[2]Rates in summary'!D46+[2]Permanents!F46</f>
        <v>0.33054000000000006</v>
      </c>
      <c r="AA54" s="91"/>
      <c r="AB54" s="93"/>
      <c r="AC54" s="96">
        <f>'[2]Rates in summary'!D46+[2]Temporaries!U46-[2]Temporaries!BE46</f>
        <v>0.33054000000000006</v>
      </c>
      <c r="AD54" s="95"/>
      <c r="AE54" s="94"/>
      <c r="AF54" s="51">
        <f>'[2]Rates in summary'!D46+[2]Temporaries!V46-[2]Temporaries!BF46</f>
        <v>0.33054000000000006</v>
      </c>
      <c r="AG54" s="91"/>
      <c r="AH54" s="93"/>
      <c r="AI54" s="51">
        <f>'[2]Rates in summary'!G46+[2]Temporaries!J46</f>
        <v>0.33054000000000006</v>
      </c>
      <c r="AJ54" s="91"/>
      <c r="AK54" s="92"/>
      <c r="AL54" s="51">
        <f>+'[2]Rates in summary'!Q46</f>
        <v>0.32996000000000003</v>
      </c>
      <c r="AM54" s="91"/>
      <c r="AN54" s="90"/>
      <c r="AO54" s="3"/>
      <c r="AP54" s="8"/>
      <c r="AQ54" s="4">
        <f t="shared" si="19"/>
        <v>0</v>
      </c>
      <c r="AR54" s="4">
        <f t="shared" si="20"/>
        <v>0</v>
      </c>
      <c r="AS54" s="4">
        <f t="shared" si="21"/>
        <v>-5.8000000000002494E-4</v>
      </c>
      <c r="AT54" s="4">
        <f t="shared" si="32"/>
        <v>-5.8000000000002494E-4</v>
      </c>
      <c r="AU54" s="89">
        <f>+'[2]Rates in summary'!D46+[2]Temporaries!K46+[2]Temporaries!M46+[2]Temporaries!L46-[2]Temporaries!AZ46</f>
        <v>0.32948000000000005</v>
      </c>
      <c r="AV54" s="29"/>
      <c r="AW54" s="88"/>
      <c r="AX54" s="51"/>
      <c r="AY54" s="51"/>
      <c r="AZ54" s="51"/>
      <c r="BA54" s="51"/>
    </row>
    <row r="55" spans="1:57" x14ac:dyDescent="0.35">
      <c r="A55" s="7">
        <f t="shared" si="0"/>
        <v>49</v>
      </c>
      <c r="B55" s="7"/>
      <c r="C55" s="103" t="s">
        <v>61</v>
      </c>
      <c r="D55" s="102">
        <f>+'[2]Washington volumes'!J47</f>
        <v>0</v>
      </c>
      <c r="E55" s="102">
        <v>600000</v>
      </c>
      <c r="F55" s="100"/>
      <c r="G55" s="300"/>
      <c r="H55" s="301"/>
      <c r="I55" s="300"/>
      <c r="J55" s="301"/>
      <c r="K55" s="91"/>
      <c r="L55" s="51">
        <f>+'[2]Rates in summary'!D47</f>
        <v>0.30097000000000007</v>
      </c>
      <c r="M55" s="91"/>
      <c r="N55" s="51">
        <f>'[2]Rates in summary'!D47+[2]Temporaries!K47+[2]Temporaries!L47+[2]Temporaries!M47-[2]Temporaries!AX47</f>
        <v>0.30097000000000007</v>
      </c>
      <c r="O55" s="91"/>
      <c r="P55" s="93"/>
      <c r="Q55" s="51">
        <f>'[2]Rates in summary'!D47+[2]Temporaries!N47+[2]Temporaries!O47-[2]Temporaries!AY47</f>
        <v>0.30097000000000007</v>
      </c>
      <c r="R55" s="91"/>
      <c r="S55" s="93"/>
      <c r="T55" s="99">
        <f>'[2]Rates in detail'!D47+[2]Temporaries!T47-[2]Temporaries!BD47+[2]Temporaries!S47-[2]Temporaries!BC47+[2]Temporaries!P47-[2]Temporaries!BB47++[2]Temporaries!Q47-[2]Temporaries!AW47</f>
        <v>0.30025000000000013</v>
      </c>
      <c r="U55" s="98"/>
      <c r="V55" s="97"/>
      <c r="W55" s="51">
        <f>'[2]Rates in summary'!D47+[2]Temporaries!R47-[2]Temporaries!AZ47</f>
        <v>0.30106000000000011</v>
      </c>
      <c r="X55" s="91"/>
      <c r="Y55" s="93"/>
      <c r="Z55" s="51">
        <f>'[2]Rates in summary'!D47+[2]Permanents!F47</f>
        <v>0.30097000000000007</v>
      </c>
      <c r="AA55" s="91"/>
      <c r="AB55" s="93"/>
      <c r="AC55" s="96">
        <f>'[2]Rates in summary'!D47+[2]Temporaries!U47-[2]Temporaries!BE47</f>
        <v>0.30097000000000007</v>
      </c>
      <c r="AD55" s="95"/>
      <c r="AE55" s="94"/>
      <c r="AF55" s="51">
        <f>'[2]Rates in summary'!D47+[2]Temporaries!V47-[2]Temporaries!BF47</f>
        <v>0.30097000000000007</v>
      </c>
      <c r="AG55" s="91"/>
      <c r="AH55" s="93"/>
      <c r="AI55" s="51">
        <f>'[2]Rates in summary'!G47+[2]Temporaries!J47</f>
        <v>0.30097000000000007</v>
      </c>
      <c r="AJ55" s="91"/>
      <c r="AK55" s="92"/>
      <c r="AL55" s="51">
        <f>+'[2]Rates in summary'!Q47</f>
        <v>0.30034000000000005</v>
      </c>
      <c r="AM55" s="91"/>
      <c r="AN55" s="90"/>
      <c r="AO55" s="3"/>
      <c r="AP55" s="8"/>
      <c r="AQ55" s="4">
        <f t="shared" si="19"/>
        <v>0</v>
      </c>
      <c r="AR55" s="4">
        <f t="shared" si="20"/>
        <v>0</v>
      </c>
      <c r="AS55" s="4">
        <f t="shared" si="21"/>
        <v>-6.3000000000001943E-4</v>
      </c>
      <c r="AT55" s="4">
        <f t="shared" si="32"/>
        <v>-6.3000000000001943E-4</v>
      </c>
      <c r="AU55" s="89">
        <f>+'[2]Rates in summary'!D47+[2]Temporaries!K47+[2]Temporaries!M47+[2]Temporaries!L47-[2]Temporaries!AZ47</f>
        <v>0.30026000000000008</v>
      </c>
      <c r="AV55" s="89"/>
      <c r="AW55" s="88"/>
      <c r="AX55" s="51"/>
      <c r="AY55" s="51"/>
      <c r="AZ55" s="51"/>
      <c r="BA55" s="51"/>
    </row>
    <row r="56" spans="1:57" x14ac:dyDescent="0.35">
      <c r="A56" s="7">
        <f t="shared" si="0"/>
        <v>50</v>
      </c>
      <c r="B56" s="7"/>
      <c r="C56" s="103" t="s">
        <v>62</v>
      </c>
      <c r="D56" s="102">
        <f>+'[2]Washington volumes'!J48</f>
        <v>0</v>
      </c>
      <c r="E56" s="101" t="s">
        <v>51</v>
      </c>
      <c r="F56" s="100"/>
      <c r="G56" s="300"/>
      <c r="H56" s="301"/>
      <c r="I56" s="300"/>
      <c r="J56" s="301"/>
      <c r="K56" s="91"/>
      <c r="L56" s="51">
        <f>+'[2]Rates in summary'!D48</f>
        <v>0.26403000000000004</v>
      </c>
      <c r="M56" s="91"/>
      <c r="N56" s="51">
        <f>'[2]Rates in summary'!D48+[2]Temporaries!K48+[2]Temporaries!L48+[2]Temporaries!M48-[2]Temporaries!AX48</f>
        <v>0.26403000000000004</v>
      </c>
      <c r="O56" s="91"/>
      <c r="P56" s="93"/>
      <c r="Q56" s="51">
        <f>'[2]Rates in summary'!D48+[2]Temporaries!N48+[2]Temporaries!O48-[2]Temporaries!AY48</f>
        <v>0.26403000000000004</v>
      </c>
      <c r="R56" s="91"/>
      <c r="S56" s="93"/>
      <c r="T56" s="99">
        <f>'[2]Rates in detail'!D48+[2]Temporaries!T48-[2]Temporaries!BD48+[2]Temporaries!S48-[2]Temporaries!BC48+[2]Temporaries!P48-[2]Temporaries!BB48++[2]Temporaries!Q48-[2]Temporaries!AW48</f>
        <v>0.26328000000000013</v>
      </c>
      <c r="U56" s="98"/>
      <c r="V56" s="97"/>
      <c r="W56" s="51">
        <f>'[2]Rates in summary'!D48+[2]Temporaries!R48-[2]Temporaries!AZ48</f>
        <v>0.26406000000000007</v>
      </c>
      <c r="X56" s="91"/>
      <c r="Y56" s="93"/>
      <c r="Z56" s="51">
        <f>'[2]Rates in summary'!D48+[2]Permanents!F48</f>
        <v>0.26403000000000004</v>
      </c>
      <c r="AA56" s="91"/>
      <c r="AB56" s="93"/>
      <c r="AC56" s="96">
        <f>'[2]Rates in summary'!D48+[2]Temporaries!U48-[2]Temporaries!BE48</f>
        <v>0.26403000000000004</v>
      </c>
      <c r="AD56" s="95"/>
      <c r="AE56" s="94"/>
      <c r="AF56" s="51">
        <f>'[2]Rates in summary'!D48+[2]Temporaries!V48-[2]Temporaries!BF48</f>
        <v>0.2640300000000001</v>
      </c>
      <c r="AG56" s="91"/>
      <c r="AH56" s="93"/>
      <c r="AI56" s="51">
        <f>'[2]Rates in summary'!G48+[2]Temporaries!J48</f>
        <v>0.26403000000000004</v>
      </c>
      <c r="AJ56" s="91"/>
      <c r="AK56" s="92"/>
      <c r="AL56" s="51">
        <f>+'[2]Rates in summary'!Q48</f>
        <v>0.26331000000000004</v>
      </c>
      <c r="AM56" s="91"/>
      <c r="AN56" s="90"/>
      <c r="AO56" s="3"/>
      <c r="AP56" s="8"/>
      <c r="AQ56" s="4">
        <f t="shared" si="19"/>
        <v>0</v>
      </c>
      <c r="AR56" s="4">
        <f t="shared" si="20"/>
        <v>0</v>
      </c>
      <c r="AS56" s="4">
        <f t="shared" si="21"/>
        <v>-7.1999999999999842E-4</v>
      </c>
      <c r="AT56" s="4">
        <f t="shared" si="32"/>
        <v>-7.1999999999999842E-4</v>
      </c>
      <c r="AU56" s="89">
        <f>+'[2]Rates in summary'!D48+[2]Temporaries!K48+[2]Temporaries!M48+[2]Temporaries!L48-[2]Temporaries!AZ48</f>
        <v>0.26376000000000005</v>
      </c>
      <c r="AV56" s="89"/>
      <c r="AW56" s="88"/>
      <c r="AX56" s="51"/>
      <c r="AY56" s="51"/>
      <c r="AZ56" s="51"/>
      <c r="BA56" s="51"/>
    </row>
    <row r="57" spans="1:57" x14ac:dyDescent="0.35">
      <c r="A57" s="7">
        <f t="shared" si="0"/>
        <v>51</v>
      </c>
      <c r="B57" s="69"/>
      <c r="C57" s="87" t="s">
        <v>52</v>
      </c>
      <c r="D57" s="86"/>
      <c r="E57" s="85"/>
      <c r="F57" s="84"/>
      <c r="G57" s="302"/>
      <c r="H57" s="303"/>
      <c r="I57" s="302"/>
      <c r="J57" s="303"/>
      <c r="K57" s="74"/>
      <c r="L57" s="83"/>
      <c r="M57" s="74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15708.620663486881</v>
      </c>
      <c r="N57" s="83"/>
      <c r="O57" s="74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15708.620663486881</v>
      </c>
      <c r="P57" s="56">
        <f>ROUND((O57-M57)/M57,3)</f>
        <v>0</v>
      </c>
      <c r="Q57" s="83"/>
      <c r="R57" s="74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15708.620663486881</v>
      </c>
      <c r="S57" s="56">
        <f>ROUND((R57-M57)/M57,3)</f>
        <v>0</v>
      </c>
      <c r="T57" s="106"/>
      <c r="U57" s="81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15674.170663486881</v>
      </c>
      <c r="V57" s="80">
        <f>ROUND((U57-M57)/M57,3)</f>
        <v>-2E-3</v>
      </c>
      <c r="W57" s="83"/>
      <c r="X57" s="74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15719.430663486883</v>
      </c>
      <c r="Y57" s="56">
        <f>(X57-M57)/M57</f>
        <v>6.8815717379490068E-4</v>
      </c>
      <c r="Z57" s="83"/>
      <c r="AA57" s="74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15708.620663486881</v>
      </c>
      <c r="AB57" s="56">
        <f>(AA57-M57)/M57</f>
        <v>0</v>
      </c>
      <c r="AC57" s="104"/>
      <c r="AD57" s="77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15708.620663486881</v>
      </c>
      <c r="AE57" s="57">
        <f>(AD57-M57)/M57</f>
        <v>0</v>
      </c>
      <c r="AF57" s="83"/>
      <c r="AG57" s="74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15708.620663486881</v>
      </c>
      <c r="AH57" s="56">
        <f>(AG57-M57)/M57</f>
        <v>0</v>
      </c>
      <c r="AI57" s="83"/>
      <c r="AJ57" s="74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15708.620663486881</v>
      </c>
      <c r="AK57" s="73">
        <f>ROUND((AJ57-M57)/M57,3)</f>
        <v>0</v>
      </c>
      <c r="AL57" s="83"/>
      <c r="AM57" s="74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15684.970663486883</v>
      </c>
      <c r="AN57" s="73">
        <f>ROUND((AM57-M57)/M57,3)</f>
        <v>-2E-3</v>
      </c>
      <c r="AO57" s="3"/>
      <c r="AP57" s="8"/>
      <c r="AQ57" s="4">
        <f t="shared" si="19"/>
        <v>0</v>
      </c>
      <c r="AR57" s="4">
        <f t="shared" si="20"/>
        <v>0</v>
      </c>
      <c r="AS57" s="4">
        <f t="shared" si="21"/>
        <v>0</v>
      </c>
      <c r="AT57" s="4">
        <f t="shared" si="32"/>
        <v>0</v>
      </c>
      <c r="AU57" s="72"/>
      <c r="AV57" s="71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15626.570663486882</v>
      </c>
      <c r="AW57" s="70">
        <f>ROUND((AV57-M57)/M57,3)</f>
        <v>-5.0000000000000001E-3</v>
      </c>
      <c r="AX57" s="51"/>
      <c r="AY57" s="51"/>
      <c r="AZ57" s="51"/>
      <c r="BA57" s="51"/>
      <c r="BB57" s="112"/>
      <c r="BC57" s="111"/>
      <c r="BD57" s="111"/>
      <c r="BE57" s="111"/>
    </row>
    <row r="58" spans="1:57" x14ac:dyDescent="0.35">
      <c r="A58" s="7">
        <f t="shared" si="0"/>
        <v>52</v>
      </c>
      <c r="B58" s="7" t="s">
        <v>65</v>
      </c>
      <c r="C58" s="103" t="s">
        <v>49</v>
      </c>
      <c r="D58" s="102">
        <f>+'[2]Washington volumes'!J49</f>
        <v>933451.95163091726</v>
      </c>
      <c r="E58" s="102">
        <v>10000</v>
      </c>
      <c r="F58" s="100">
        <v>63374</v>
      </c>
      <c r="G58" s="300">
        <f>1300+250</f>
        <v>1550</v>
      </c>
      <c r="H58" s="300">
        <f>'[4]Aver Bill by RS'!$J58</f>
        <v>3945.7691048183847</v>
      </c>
      <c r="I58" s="300">
        <f>G58-(IF(H58&gt;(F58*$H$3),(F58*$H$3),H58))</f>
        <v>-2395.7691048183847</v>
      </c>
      <c r="J58" s="300">
        <f>'[4]Aver Bill by RS'!$J58</f>
        <v>3945.7691048183847</v>
      </c>
      <c r="K58" s="91">
        <f>G58-(IF(J58&gt;($F58*$H$4),($F58*$H$4),J58))</f>
        <v>-2395.7691048183847</v>
      </c>
      <c r="L58" s="51">
        <f>+'[2]Rates in summary'!D49</f>
        <v>0.40095999999999998</v>
      </c>
      <c r="M58" s="91"/>
      <c r="N58" s="51">
        <f>'[2]Rates in summary'!D49+[2]Temporaries!K49+[2]Temporaries!L49+[2]Temporaries!M49-[2]Temporaries!AX49</f>
        <v>0.40095999999999998</v>
      </c>
      <c r="O58" s="91"/>
      <c r="P58" s="93"/>
      <c r="Q58" s="51">
        <f>'[2]Rates in summary'!D49+[2]Temporaries!N49+[2]Temporaries!O49-[2]Temporaries!AY49</f>
        <v>0.40095999999999998</v>
      </c>
      <c r="R58" s="91"/>
      <c r="S58" s="93"/>
      <c r="T58" s="99">
        <f>'[2]Rates in detail'!D49+[2]Temporaries!T49-[2]Temporaries!BD49+[2]Temporaries!S49-[2]Temporaries!BC49+[2]Temporaries!P49-[2]Temporaries!BB49++[2]Temporaries!Q49-[2]Temporaries!AW49</f>
        <v>0.40032000000000006</v>
      </c>
      <c r="U58" s="98"/>
      <c r="V58" s="97"/>
      <c r="W58" s="51">
        <f>'[2]Rates in summary'!D49+[2]Temporaries!R49-[2]Temporaries!AZ49</f>
        <v>0.40120999999999996</v>
      </c>
      <c r="X58" s="91"/>
      <c r="Y58" s="93"/>
      <c r="Z58" s="51">
        <f>'[2]Rates in summary'!D49+[2]Permanents!F49</f>
        <v>0.40095999999999998</v>
      </c>
      <c r="AA58" s="91"/>
      <c r="AB58" s="93"/>
      <c r="AC58" s="96">
        <f>'[2]Rates in summary'!D49+[2]Temporaries!U49-[2]Temporaries!BE49</f>
        <v>0.40095999999999998</v>
      </c>
      <c r="AD58" s="95"/>
      <c r="AE58" s="94"/>
      <c r="AF58" s="51">
        <f>'[2]Rates in summary'!D49+[2]Temporaries!V49-[2]Temporaries!BF49</f>
        <v>0.40095999999999998</v>
      </c>
      <c r="AG58" s="91"/>
      <c r="AH58" s="93"/>
      <c r="AI58" s="51">
        <f>'[2]Rates in summary'!G49+[2]Temporaries!J49</f>
        <v>0.40095999999999998</v>
      </c>
      <c r="AJ58" s="91"/>
      <c r="AK58" s="93"/>
      <c r="AL58" s="51">
        <f>+'[2]Rates in summary'!Q49</f>
        <v>0.40056999999999998</v>
      </c>
      <c r="AM58" s="91"/>
      <c r="AN58" s="90"/>
      <c r="AO58" s="3"/>
      <c r="AP58" s="8"/>
      <c r="AQ58" s="4">
        <f t="shared" si="19"/>
        <v>0</v>
      </c>
      <c r="AR58" s="4">
        <f t="shared" si="20"/>
        <v>0</v>
      </c>
      <c r="AS58" s="4">
        <f t="shared" si="21"/>
        <v>-3.9000000000000146E-4</v>
      </c>
      <c r="AT58" s="4">
        <f t="shared" si="32"/>
        <v>-3.9000000000000146E-4</v>
      </c>
      <c r="AU58" s="89">
        <f>+'[2]Rates in summary'!D49+[2]Temporaries!K49+[2]Temporaries!M49+[2]Temporaries!L49-[2]Temporaries!AZ49</f>
        <v>0.39889999999999998</v>
      </c>
      <c r="AV58" s="29"/>
      <c r="AW58" s="88"/>
      <c r="AX58" s="51"/>
      <c r="AY58" s="51"/>
      <c r="AZ58" s="51"/>
      <c r="BA58" s="51"/>
      <c r="BB58" s="112"/>
      <c r="BC58" s="111"/>
      <c r="BD58" s="111"/>
      <c r="BE58" s="111"/>
    </row>
    <row r="59" spans="1:57" x14ac:dyDescent="0.35">
      <c r="A59" s="7">
        <f t="shared" si="0"/>
        <v>53</v>
      </c>
      <c r="B59" s="7"/>
      <c r="C59" s="103" t="s">
        <v>50</v>
      </c>
      <c r="D59" s="102">
        <f>+'[2]Washington volumes'!J50</f>
        <v>1354331.8549391942</v>
      </c>
      <c r="E59" s="102">
        <v>20000</v>
      </c>
      <c r="F59" s="100"/>
      <c r="G59" s="300"/>
      <c r="H59" s="301"/>
      <c r="I59" s="300"/>
      <c r="J59" s="301"/>
      <c r="K59" s="91"/>
      <c r="L59" s="51">
        <f>+'[2]Rates in summary'!D50</f>
        <v>0.38426999999999989</v>
      </c>
      <c r="M59" s="91"/>
      <c r="N59" s="51">
        <f>'[2]Rates in summary'!D50+[2]Temporaries!K50+[2]Temporaries!L50+[2]Temporaries!M50-[2]Temporaries!AX50</f>
        <v>0.38426999999999989</v>
      </c>
      <c r="O59" s="91"/>
      <c r="P59" s="93"/>
      <c r="Q59" s="51">
        <f>'[2]Rates in summary'!D50+[2]Temporaries!N50+[2]Temporaries!O50-[2]Temporaries!AY50</f>
        <v>0.38426999999999989</v>
      </c>
      <c r="R59" s="91"/>
      <c r="S59" s="93"/>
      <c r="T59" s="99">
        <f>'[2]Rates in detail'!D50+[2]Temporaries!T50-[2]Temporaries!BD50+[2]Temporaries!S50-[2]Temporaries!BC50+[2]Temporaries!P50-[2]Temporaries!BB50++[2]Temporaries!Q50-[2]Temporaries!AW50</f>
        <v>0.38361999999999996</v>
      </c>
      <c r="U59" s="98"/>
      <c r="V59" s="97"/>
      <c r="W59" s="51">
        <f>'[2]Rates in summary'!D50+[2]Temporaries!R50-[2]Temporaries!AZ50</f>
        <v>0.3844999999999999</v>
      </c>
      <c r="X59" s="91"/>
      <c r="Y59" s="93"/>
      <c r="Z59" s="51">
        <f>'[2]Rates in summary'!D50+[2]Permanents!F50</f>
        <v>0.38426999999999989</v>
      </c>
      <c r="AA59" s="91"/>
      <c r="AB59" s="93"/>
      <c r="AC59" s="96">
        <f>'[2]Rates in summary'!D50+[2]Temporaries!U50-[2]Temporaries!BE50</f>
        <v>0.38426999999999989</v>
      </c>
      <c r="AD59" s="95"/>
      <c r="AE59" s="94"/>
      <c r="AF59" s="51">
        <f>'[2]Rates in summary'!D50+[2]Temporaries!V50-[2]Temporaries!BF50</f>
        <v>0.38426999999999989</v>
      </c>
      <c r="AG59" s="91"/>
      <c r="AH59" s="93"/>
      <c r="AI59" s="51">
        <f>'[2]Rates in summary'!G50+[2]Temporaries!J50</f>
        <v>0.38426999999999989</v>
      </c>
      <c r="AJ59" s="91"/>
      <c r="AK59" s="93"/>
      <c r="AL59" s="51">
        <f>+'[2]Rates in summary'!Q50</f>
        <v>0.38384999999999991</v>
      </c>
      <c r="AM59" s="91"/>
      <c r="AN59" s="90"/>
      <c r="AO59" s="3"/>
      <c r="AP59" s="8"/>
      <c r="AQ59" s="4">
        <f t="shared" si="19"/>
        <v>0</v>
      </c>
      <c r="AR59" s="4">
        <f t="shared" si="20"/>
        <v>0</v>
      </c>
      <c r="AS59" s="4">
        <f t="shared" si="21"/>
        <v>-4.1999999999997595E-4</v>
      </c>
      <c r="AT59" s="4">
        <f t="shared" si="32"/>
        <v>-4.1999999999997595E-4</v>
      </c>
      <c r="AU59" s="89">
        <f>+'[2]Rates in summary'!D50+[2]Temporaries!K50+[2]Temporaries!M50+[2]Temporaries!L50-[2]Temporaries!AZ50</f>
        <v>0.38242999999999988</v>
      </c>
      <c r="AV59" s="29"/>
      <c r="AW59" s="88"/>
      <c r="AX59" s="51"/>
      <c r="AY59" s="51"/>
      <c r="AZ59" s="51"/>
      <c r="BA59" s="51"/>
      <c r="BB59" s="112"/>
      <c r="BC59" s="111"/>
      <c r="BD59" s="111"/>
      <c r="BE59" s="111"/>
    </row>
    <row r="60" spans="1:57" x14ac:dyDescent="0.35">
      <c r="A60" s="7">
        <f t="shared" si="0"/>
        <v>54</v>
      </c>
      <c r="B60" s="7"/>
      <c r="C60" s="103" t="s">
        <v>59</v>
      </c>
      <c r="D60" s="102">
        <f>+'[2]Washington volumes'!J51</f>
        <v>1182764.9803330612</v>
      </c>
      <c r="E60" s="102">
        <v>20000</v>
      </c>
      <c r="F60" s="100"/>
      <c r="G60" s="300"/>
      <c r="H60" s="301"/>
      <c r="I60" s="300"/>
      <c r="J60" s="301"/>
      <c r="K60" s="91"/>
      <c r="L60" s="51">
        <f>+'[2]Rates in summary'!D51</f>
        <v>0.35105000000000003</v>
      </c>
      <c r="M60" s="91"/>
      <c r="N60" s="51">
        <f>'[2]Rates in summary'!D51+[2]Temporaries!K51+[2]Temporaries!L51+[2]Temporaries!M51-[2]Temporaries!AX51</f>
        <v>0.35105000000000003</v>
      </c>
      <c r="O60" s="91"/>
      <c r="P60" s="93"/>
      <c r="Q60" s="51">
        <f>'[2]Rates in summary'!D51+[2]Temporaries!N51+[2]Temporaries!O51-[2]Temporaries!AY51</f>
        <v>0.35105000000000003</v>
      </c>
      <c r="R60" s="91"/>
      <c r="S60" s="93"/>
      <c r="T60" s="99">
        <f>'[2]Rates in detail'!D51+[2]Temporaries!T51-[2]Temporaries!BD51+[2]Temporaries!S51-[2]Temporaries!BC51+[2]Temporaries!P51-[2]Temporaries!BB51++[2]Temporaries!Q51-[2]Temporaries!AW51</f>
        <v>0.35038000000000008</v>
      </c>
      <c r="U60" s="98"/>
      <c r="V60" s="97"/>
      <c r="W60" s="51">
        <f>'[2]Rates in summary'!D51+[2]Temporaries!R51-[2]Temporaries!AZ51</f>
        <v>0.35122999999999999</v>
      </c>
      <c r="X60" s="91"/>
      <c r="Y60" s="93"/>
      <c r="Z60" s="51">
        <f>'[2]Rates in summary'!D51+[2]Permanents!F51</f>
        <v>0.35105000000000003</v>
      </c>
      <c r="AA60" s="91"/>
      <c r="AB60" s="93"/>
      <c r="AC60" s="96">
        <f>'[2]Rates in summary'!D51+[2]Temporaries!U51-[2]Temporaries!BE51</f>
        <v>0.35105000000000003</v>
      </c>
      <c r="AD60" s="95"/>
      <c r="AE60" s="94"/>
      <c r="AF60" s="51">
        <f>'[2]Rates in summary'!D51+[2]Temporaries!V51-[2]Temporaries!BF51</f>
        <v>0.35104999999999997</v>
      </c>
      <c r="AG60" s="91"/>
      <c r="AH60" s="93"/>
      <c r="AI60" s="51">
        <f>'[2]Rates in summary'!G51+[2]Temporaries!J51</f>
        <v>0.35105000000000003</v>
      </c>
      <c r="AJ60" s="91"/>
      <c r="AK60" s="93"/>
      <c r="AL60" s="51">
        <f>+'[2]Rates in summary'!Q51</f>
        <v>0.35056000000000004</v>
      </c>
      <c r="AM60" s="91"/>
      <c r="AN60" s="90"/>
      <c r="AO60" s="3"/>
      <c r="AP60" s="8"/>
      <c r="AQ60" s="4">
        <f t="shared" si="19"/>
        <v>0</v>
      </c>
      <c r="AR60" s="4">
        <f t="shared" si="20"/>
        <v>0</v>
      </c>
      <c r="AS60" s="4">
        <f t="shared" si="21"/>
        <v>-4.8999999999999044E-4</v>
      </c>
      <c r="AT60" s="4">
        <f t="shared" si="32"/>
        <v>-4.8999999999999044E-4</v>
      </c>
      <c r="AU60" s="89">
        <f>+'[2]Rates in summary'!D51+[2]Temporaries!K51+[2]Temporaries!M51+[2]Temporaries!L51-[2]Temporaries!AZ51</f>
        <v>0.34964000000000001</v>
      </c>
      <c r="AV60" s="29"/>
      <c r="AW60" s="88"/>
      <c r="AX60" s="51"/>
      <c r="AY60" s="51"/>
      <c r="AZ60" s="51"/>
      <c r="BA60" s="51"/>
      <c r="BB60" s="112"/>
      <c r="BC60" s="111"/>
      <c r="BD60" s="111"/>
      <c r="BE60" s="111"/>
    </row>
    <row r="61" spans="1:57" x14ac:dyDescent="0.35">
      <c r="A61" s="7">
        <f t="shared" si="0"/>
        <v>55</v>
      </c>
      <c r="B61" s="7"/>
      <c r="C61" s="103" t="s">
        <v>60</v>
      </c>
      <c r="D61" s="102">
        <f>+'[2]Washington volumes'!J52</f>
        <v>2743941.1371104051</v>
      </c>
      <c r="E61" s="102">
        <v>100000</v>
      </c>
      <c r="F61" s="100"/>
      <c r="G61" s="300"/>
      <c r="H61" s="301"/>
      <c r="I61" s="300"/>
      <c r="J61" s="301"/>
      <c r="K61" s="91"/>
      <c r="L61" s="51">
        <f>+'[2]Rates in summary'!D52</f>
        <v>0.32922000000000012</v>
      </c>
      <c r="M61" s="91"/>
      <c r="N61" s="51">
        <f>'[2]Rates in summary'!D52+[2]Temporaries!K52+[2]Temporaries!L52+[2]Temporaries!M52-[2]Temporaries!AX52</f>
        <v>0.32922000000000012</v>
      </c>
      <c r="O61" s="91"/>
      <c r="P61" s="93"/>
      <c r="Q61" s="51">
        <f>'[2]Rates in summary'!D52+[2]Temporaries!N52+[2]Temporaries!O52-[2]Temporaries!AY52</f>
        <v>0.32922000000000012</v>
      </c>
      <c r="R61" s="91"/>
      <c r="S61" s="93"/>
      <c r="T61" s="99">
        <f>'[2]Rates in detail'!D52+[2]Temporaries!T52-[2]Temporaries!BD52+[2]Temporaries!S52-[2]Temporaries!BC52+[2]Temporaries!P52-[2]Temporaries!BB52++[2]Temporaries!Q52-[2]Temporaries!AW52</f>
        <v>0.32853000000000016</v>
      </c>
      <c r="U61" s="98"/>
      <c r="V61" s="97"/>
      <c r="W61" s="51">
        <f>'[2]Rates in summary'!D52+[2]Temporaries!R52-[2]Temporaries!AZ52</f>
        <v>0.3293600000000001</v>
      </c>
      <c r="X61" s="91"/>
      <c r="Y61" s="93"/>
      <c r="Z61" s="51">
        <f>'[2]Rates in summary'!D52+[2]Permanents!F52</f>
        <v>0.32922000000000012</v>
      </c>
      <c r="AA61" s="91"/>
      <c r="AB61" s="93"/>
      <c r="AC61" s="96">
        <f>'[2]Rates in summary'!D52+[2]Temporaries!U52-[2]Temporaries!BE52</f>
        <v>0.32922000000000012</v>
      </c>
      <c r="AD61" s="95"/>
      <c r="AE61" s="94"/>
      <c r="AF61" s="51">
        <f>'[2]Rates in summary'!D52+[2]Temporaries!V52-[2]Temporaries!BF52</f>
        <v>0.32922000000000018</v>
      </c>
      <c r="AG61" s="91"/>
      <c r="AH61" s="93"/>
      <c r="AI61" s="51">
        <f>'[2]Rates in summary'!G52+[2]Temporaries!J52</f>
        <v>0.32922000000000012</v>
      </c>
      <c r="AJ61" s="91"/>
      <c r="AK61" s="93"/>
      <c r="AL61" s="51">
        <f>+'[2]Rates in summary'!Q52</f>
        <v>0.32867000000000013</v>
      </c>
      <c r="AM61" s="91"/>
      <c r="AN61" s="90"/>
      <c r="AO61" s="3"/>
      <c r="AP61" s="8"/>
      <c r="AQ61" s="4">
        <f t="shared" si="19"/>
        <v>0</v>
      </c>
      <c r="AR61" s="4">
        <f t="shared" si="20"/>
        <v>0</v>
      </c>
      <c r="AS61" s="4">
        <f t="shared" si="21"/>
        <v>-5.4999999999999494E-4</v>
      </c>
      <c r="AT61" s="4">
        <f t="shared" si="32"/>
        <v>-5.4999999999999494E-4</v>
      </c>
      <c r="AU61" s="89">
        <f>+'[2]Rates in summary'!D52+[2]Temporaries!K52+[2]Temporaries!M52+[2]Temporaries!L52-[2]Temporaries!AZ52</f>
        <v>0.3280900000000001</v>
      </c>
      <c r="AV61" s="29"/>
      <c r="AW61" s="88"/>
      <c r="AX61" s="51"/>
      <c r="AY61" s="51"/>
      <c r="AZ61" s="51"/>
      <c r="BA61" s="51"/>
      <c r="BB61" s="112"/>
      <c r="BC61" s="111"/>
      <c r="BD61" s="111"/>
      <c r="BE61" s="111"/>
    </row>
    <row r="62" spans="1:57" x14ac:dyDescent="0.35">
      <c r="A62" s="7">
        <f t="shared" si="0"/>
        <v>56</v>
      </c>
      <c r="B62" s="7"/>
      <c r="C62" s="103" t="s">
        <v>61</v>
      </c>
      <c r="D62" s="102">
        <f>+'[2]Washington volumes'!J53</f>
        <v>1030133.9063092957</v>
      </c>
      <c r="E62" s="102">
        <v>600000</v>
      </c>
      <c r="F62" s="100"/>
      <c r="G62" s="300"/>
      <c r="H62" s="301"/>
      <c r="I62" s="300"/>
      <c r="J62" s="301"/>
      <c r="K62" s="91"/>
      <c r="L62" s="51">
        <f>+'[2]Rates in summary'!D53</f>
        <v>0.30008999999999997</v>
      </c>
      <c r="M62" s="91"/>
      <c r="N62" s="51">
        <f>'[2]Rates in summary'!D53+[2]Temporaries!K53+[2]Temporaries!L53+[2]Temporaries!M53-[2]Temporaries!AX53</f>
        <v>0.30008999999999997</v>
      </c>
      <c r="O62" s="91"/>
      <c r="P62" s="93"/>
      <c r="Q62" s="51">
        <f>'[2]Rates in summary'!D53+[2]Temporaries!N53+[2]Temporaries!O53-[2]Temporaries!AY53</f>
        <v>0.30008999999999997</v>
      </c>
      <c r="R62" s="91"/>
      <c r="S62" s="93"/>
      <c r="T62" s="99">
        <f>'[2]Rates in detail'!D53+[2]Temporaries!T53-[2]Temporaries!BD53+[2]Temporaries!S53-[2]Temporaries!BC53+[2]Temporaries!P53-[2]Temporaries!BB53++[2]Temporaries!Q53-[2]Temporaries!AW53</f>
        <v>0.29938000000000003</v>
      </c>
      <c r="U62" s="98"/>
      <c r="V62" s="97"/>
      <c r="W62" s="51">
        <f>'[2]Rates in summary'!D53+[2]Temporaries!R53-[2]Temporaries!AZ53</f>
        <v>0.30019000000000001</v>
      </c>
      <c r="X62" s="91"/>
      <c r="Y62" s="93"/>
      <c r="Z62" s="51">
        <f>'[2]Rates in summary'!D53+[2]Permanents!F53</f>
        <v>0.30008999999999997</v>
      </c>
      <c r="AA62" s="91"/>
      <c r="AB62" s="93"/>
      <c r="AC62" s="96">
        <f>'[2]Rates in summary'!D53+[2]Temporaries!U53-[2]Temporaries!BE53</f>
        <v>0.30008999999999997</v>
      </c>
      <c r="AD62" s="95"/>
      <c r="AE62" s="94"/>
      <c r="AF62" s="51">
        <f>'[2]Rates in summary'!D53+[2]Temporaries!V53-[2]Temporaries!BF53</f>
        <v>0.30008999999999997</v>
      </c>
      <c r="AG62" s="91"/>
      <c r="AH62" s="93"/>
      <c r="AI62" s="51">
        <f>'[2]Rates in summary'!G53+[2]Temporaries!J53</f>
        <v>0.30008999999999997</v>
      </c>
      <c r="AJ62" s="91"/>
      <c r="AK62" s="93"/>
      <c r="AL62" s="51">
        <f>+'[2]Rates in summary'!Q53</f>
        <v>0.29947999999999997</v>
      </c>
      <c r="AM62" s="91"/>
      <c r="AN62" s="90"/>
      <c r="AO62" s="3"/>
      <c r="AP62" s="8"/>
      <c r="AQ62" s="4">
        <f t="shared" si="19"/>
        <v>0</v>
      </c>
      <c r="AR62" s="4">
        <f t="shared" si="20"/>
        <v>0</v>
      </c>
      <c r="AS62" s="4">
        <f t="shared" si="21"/>
        <v>-6.0999999999999943E-4</v>
      </c>
      <c r="AT62" s="4">
        <f t="shared" si="32"/>
        <v>-6.0999999999999943E-4</v>
      </c>
      <c r="AU62" s="89">
        <f>+'[2]Rates in summary'!D53+[2]Temporaries!K53+[2]Temporaries!M53+[2]Temporaries!L53-[2]Temporaries!AZ53</f>
        <v>0.29933999999999999</v>
      </c>
      <c r="AV62" s="89"/>
      <c r="AW62" s="88"/>
      <c r="AX62" s="51"/>
      <c r="AY62" s="51"/>
      <c r="AZ62" s="51"/>
      <c r="BA62" s="51"/>
      <c r="BB62" s="112"/>
      <c r="BC62" s="111"/>
      <c r="BD62" s="111"/>
      <c r="BE62" s="111"/>
    </row>
    <row r="63" spans="1:57" x14ac:dyDescent="0.35">
      <c r="A63" s="7">
        <f t="shared" si="0"/>
        <v>57</v>
      </c>
      <c r="B63" s="7"/>
      <c r="C63" s="103" t="s">
        <v>62</v>
      </c>
      <c r="D63" s="102">
        <f>+'[2]Washington volumes'!J54</f>
        <v>0</v>
      </c>
      <c r="E63" s="101" t="s">
        <v>51</v>
      </c>
      <c r="F63" s="100"/>
      <c r="G63" s="300"/>
      <c r="H63" s="301"/>
      <c r="I63" s="300"/>
      <c r="J63" s="301"/>
      <c r="K63" s="91"/>
      <c r="L63" s="51">
        <f>+'[2]Rates in summary'!D54</f>
        <v>0.26369000000000009</v>
      </c>
      <c r="M63" s="91"/>
      <c r="N63" s="51">
        <f>'[2]Rates in summary'!D54+[2]Temporaries!K54+[2]Temporaries!L54+[2]Temporaries!M54-[2]Temporaries!AX54</f>
        <v>0.26369000000000009</v>
      </c>
      <c r="O63" s="91"/>
      <c r="P63" s="93"/>
      <c r="Q63" s="51">
        <f>'[2]Rates in summary'!D54+[2]Temporaries!N54+[2]Temporaries!O54-[2]Temporaries!AY54</f>
        <v>0.26369000000000009</v>
      </c>
      <c r="R63" s="91"/>
      <c r="S63" s="93"/>
      <c r="T63" s="99">
        <f>'[2]Rates in detail'!D54+[2]Temporaries!T54-[2]Temporaries!BD54+[2]Temporaries!S54-[2]Temporaries!BC54+[2]Temporaries!P54-[2]Temporaries!BB54++[2]Temporaries!Q54-[2]Temporaries!AW54</f>
        <v>0.26296000000000014</v>
      </c>
      <c r="U63" s="98"/>
      <c r="V63" s="97"/>
      <c r="W63" s="51">
        <f>'[2]Rates in summary'!D54+[2]Temporaries!R54-[2]Temporaries!AZ54</f>
        <v>0.26373000000000008</v>
      </c>
      <c r="X63" s="91"/>
      <c r="Y63" s="93"/>
      <c r="Z63" s="51">
        <f>'[2]Rates in summary'!D54+[2]Permanents!F54</f>
        <v>0.26369000000000009</v>
      </c>
      <c r="AA63" s="91"/>
      <c r="AB63" s="93"/>
      <c r="AC63" s="96">
        <f>'[2]Rates in summary'!D54+[2]Temporaries!U54-[2]Temporaries!BE54</f>
        <v>0.26369000000000009</v>
      </c>
      <c r="AD63" s="95"/>
      <c r="AE63" s="94"/>
      <c r="AF63" s="51">
        <f>'[2]Rates in summary'!D54+[2]Temporaries!V54-[2]Temporaries!BF54</f>
        <v>0.26369000000000009</v>
      </c>
      <c r="AG63" s="91"/>
      <c r="AH63" s="93"/>
      <c r="AI63" s="51">
        <f>'[2]Rates in summary'!G54+[2]Temporaries!J54</f>
        <v>0.26369000000000009</v>
      </c>
      <c r="AJ63" s="91"/>
      <c r="AK63" s="93"/>
      <c r="AL63" s="51">
        <f>+'[2]Rates in summary'!Q54</f>
        <v>0.26300000000000012</v>
      </c>
      <c r="AM63" s="91"/>
      <c r="AN63" s="90"/>
      <c r="AO63" s="3"/>
      <c r="AP63" s="8"/>
      <c r="AQ63" s="4">
        <f t="shared" si="19"/>
        <v>0</v>
      </c>
      <c r="AR63" s="4">
        <f t="shared" si="20"/>
        <v>0</v>
      </c>
      <c r="AS63" s="4">
        <f t="shared" si="21"/>
        <v>-6.8999999999996842E-4</v>
      </c>
      <c r="AT63" s="4">
        <f t="shared" si="32"/>
        <v>-6.8999999999996842E-4</v>
      </c>
      <c r="AU63" s="89">
        <f>+'[2]Rates in summary'!D54+[2]Temporaries!K54+[2]Temporaries!M54+[2]Temporaries!L54-[2]Temporaries!AZ54</f>
        <v>0.26341000000000009</v>
      </c>
      <c r="AV63" s="89"/>
      <c r="AW63" s="88"/>
      <c r="AX63" s="51"/>
      <c r="AY63" s="51"/>
      <c r="AZ63" s="51"/>
      <c r="BA63" s="51"/>
      <c r="BB63" s="112"/>
      <c r="BC63" s="111"/>
      <c r="BD63" s="111"/>
      <c r="BE63" s="111"/>
    </row>
    <row r="64" spans="1:57" x14ac:dyDescent="0.35">
      <c r="A64" s="7">
        <f t="shared" si="0"/>
        <v>58</v>
      </c>
      <c r="B64" s="69"/>
      <c r="C64" s="87" t="s">
        <v>52</v>
      </c>
      <c r="D64" s="86"/>
      <c r="E64" s="85"/>
      <c r="F64" s="84"/>
      <c r="G64" s="302"/>
      <c r="H64" s="303"/>
      <c r="I64" s="302"/>
      <c r="J64" s="303"/>
      <c r="K64" s="74"/>
      <c r="L64" s="83"/>
      <c r="M64" s="74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20723.220895181617</v>
      </c>
      <c r="N64" s="83"/>
      <c r="O64" s="74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20723.220895181617</v>
      </c>
      <c r="P64" s="56">
        <f>ROUND((O64-M64)/M64,3)</f>
        <v>0</v>
      </c>
      <c r="Q64" s="83"/>
      <c r="R64" s="74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20723.220895181617</v>
      </c>
      <c r="S64" s="56">
        <f>ROUND((R64-M64)/M64,3)</f>
        <v>0</v>
      </c>
      <c r="T64" s="106"/>
      <c r="U64" s="81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20681.190895181615</v>
      </c>
      <c r="V64" s="80">
        <f>ROUND((U64-M64)/M64,3)</f>
        <v>-2E-3</v>
      </c>
      <c r="W64" s="83"/>
      <c r="X64" s="74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20735.790895181617</v>
      </c>
      <c r="Y64" s="56">
        <f>(X64-M64)/M64</f>
        <v>6.0656594182820179E-4</v>
      </c>
      <c r="Z64" s="83"/>
      <c r="AA64" s="74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20723.220895181617</v>
      </c>
      <c r="AB64" s="56">
        <f>(AA64-M64)/M64</f>
        <v>0</v>
      </c>
      <c r="AC64" s="104"/>
      <c r="AD64" s="77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20723.220895181617</v>
      </c>
      <c r="AE64" s="57">
        <f>(AD64-M64)/M64</f>
        <v>0</v>
      </c>
      <c r="AF64" s="83"/>
      <c r="AG64" s="74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20723.220895181617</v>
      </c>
      <c r="AH64" s="56">
        <f>(AG64-M64)/M64</f>
        <v>0</v>
      </c>
      <c r="AI64" s="83"/>
      <c r="AJ64" s="74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20723.220895181617</v>
      </c>
      <c r="AK64" s="56">
        <f>ROUND((AJ64-M64)/M64,3)</f>
        <v>0</v>
      </c>
      <c r="AL64" s="83"/>
      <c r="AM64" s="74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20693.760895181615</v>
      </c>
      <c r="AN64" s="56">
        <f>ROUND((AM64-M64)/M64,3)</f>
        <v>-1E-3</v>
      </c>
      <c r="AO64" s="3"/>
      <c r="AP64" s="8"/>
      <c r="AQ64" s="4">
        <f t="shared" si="19"/>
        <v>0</v>
      </c>
      <c r="AR64" s="4">
        <f t="shared" si="20"/>
        <v>0</v>
      </c>
      <c r="AS64" s="4">
        <f t="shared" si="21"/>
        <v>0</v>
      </c>
      <c r="AT64" s="4">
        <f t="shared" si="32"/>
        <v>0</v>
      </c>
      <c r="AU64" s="72"/>
      <c r="AV64" s="71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20622.510895181615</v>
      </c>
      <c r="AW64" s="110">
        <f>ROUND((AV64-M64)/M64,3)</f>
        <v>-5.0000000000000001E-3</v>
      </c>
      <c r="AX64" s="51"/>
      <c r="AY64" s="51"/>
      <c r="AZ64" s="51"/>
      <c r="BA64" s="51"/>
    </row>
    <row r="65" spans="1:53" x14ac:dyDescent="0.35">
      <c r="A65" s="7">
        <f t="shared" si="0"/>
        <v>59</v>
      </c>
      <c r="B65" s="7" t="s">
        <v>66</v>
      </c>
      <c r="C65" s="103" t="s">
        <v>49</v>
      </c>
      <c r="D65" s="102">
        <f>+'[2]Washington volumes'!J55</f>
        <v>237823.79371068976</v>
      </c>
      <c r="E65" s="102">
        <v>10000</v>
      </c>
      <c r="F65" s="100">
        <v>39322</v>
      </c>
      <c r="G65" s="300">
        <v>1300</v>
      </c>
      <c r="H65" s="300">
        <f>'[4]Aver Bill by RS'!$J65</f>
        <v>5142.2693365131181</v>
      </c>
      <c r="I65" s="300">
        <f>G65-(IF(H65&gt;(F65*$H$3),(F65*$H$3),H65))</f>
        <v>-3842.2693365131181</v>
      </c>
      <c r="J65" s="300">
        <f>'[4]Aver Bill by RS'!$J65</f>
        <v>5142.2693365131181</v>
      </c>
      <c r="K65" s="91">
        <f>G65-(IF(J65&gt;($F65*$H$4),($F65*$H$4),J65))</f>
        <v>-3842.2693365131181</v>
      </c>
      <c r="L65" s="51">
        <f>+'[2]Rates in summary'!D55</f>
        <v>0.71133000000000013</v>
      </c>
      <c r="M65" s="91"/>
      <c r="N65" s="51">
        <f>'[2]Rates in summary'!D55+[2]Temporaries!K55+[2]Temporaries!L55+[2]Temporaries!M55-[2]Temporaries!AX55</f>
        <v>0.71192000000000011</v>
      </c>
      <c r="O65" s="91"/>
      <c r="P65" s="93"/>
      <c r="Q65" s="51">
        <f>'[2]Rates in summary'!D55+[2]Temporaries!N55+[2]Temporaries!O55-[2]Temporaries!AY55</f>
        <v>0.71109000000000011</v>
      </c>
      <c r="R65" s="91"/>
      <c r="S65" s="93"/>
      <c r="T65" s="99">
        <f>'[2]Rates in detail'!D55+[2]Temporaries!T55-[2]Temporaries!BD55+[2]Temporaries!S55-[2]Temporaries!BC55+[2]Temporaries!P55-[2]Temporaries!BB55++[2]Temporaries!Q55-[2]Temporaries!AW55</f>
        <v>0.71132000000000017</v>
      </c>
      <c r="U65" s="98"/>
      <c r="V65" s="97"/>
      <c r="W65" s="51">
        <f>'[2]Rates in summary'!D55+[2]Temporaries!R55-[2]Temporaries!AZ55</f>
        <v>0.71149000000000007</v>
      </c>
      <c r="X65" s="91"/>
      <c r="Y65" s="93"/>
      <c r="Z65" s="51">
        <f>'[2]Rates in summary'!D55+[2]Permanents!F55</f>
        <v>0.7113600000000001</v>
      </c>
      <c r="AA65" s="91"/>
      <c r="AB65" s="93"/>
      <c r="AC65" s="96">
        <f>'[2]Rates in summary'!D55+[2]Temporaries!U55-[2]Temporaries!BE55</f>
        <v>0.71133000000000013</v>
      </c>
      <c r="AD65" s="95"/>
      <c r="AE65" s="94"/>
      <c r="AF65" s="51">
        <f>'[2]Rates in summary'!D55+[2]Temporaries!V55-[2]Temporaries!BF55</f>
        <v>0.71133000000000013</v>
      </c>
      <c r="AG65" s="91"/>
      <c r="AH65" s="93"/>
      <c r="AI65" s="51">
        <f>'[2]Rates in summary'!G55+[2]Temporaries!J55</f>
        <v>0.67227000000000003</v>
      </c>
      <c r="AJ65" s="91"/>
      <c r="AK65" s="92"/>
      <c r="AL65" s="51">
        <f>+'[2]Rates in summary'!Q55</f>
        <v>0.67280000000000006</v>
      </c>
      <c r="AM65" s="91"/>
      <c r="AN65" s="75"/>
      <c r="AO65" s="3"/>
      <c r="AP65" s="8"/>
      <c r="AQ65" s="4">
        <f t="shared" si="19"/>
        <v>0</v>
      </c>
      <c r="AR65" s="4">
        <f t="shared" si="20"/>
        <v>0</v>
      </c>
      <c r="AS65" s="4">
        <f t="shared" si="21"/>
        <v>-3.8530000000000064E-2</v>
      </c>
      <c r="AT65" s="4">
        <f t="shared" si="32"/>
        <v>-3.8530000000000064E-2</v>
      </c>
      <c r="AU65" s="89">
        <f>+'[2]Rates in summary'!D55+[2]Temporaries!K55+[2]Temporaries!M55+[2]Temporaries!L55-[2]Temporaries!AZ55</f>
        <v>0.72826000000000013</v>
      </c>
      <c r="AV65" s="29"/>
      <c r="AW65" s="107"/>
      <c r="AX65" s="51"/>
      <c r="AY65" s="51"/>
      <c r="AZ65" s="51"/>
      <c r="BA65" s="51"/>
    </row>
    <row r="66" spans="1:53" x14ac:dyDescent="0.35">
      <c r="A66" s="7">
        <f t="shared" si="0"/>
        <v>60</v>
      </c>
      <c r="B66" s="7"/>
      <c r="C66" s="103" t="s">
        <v>50</v>
      </c>
      <c r="D66" s="102">
        <f>+'[2]Washington volumes'!J56</f>
        <v>449890.27963003801</v>
      </c>
      <c r="E66" s="102">
        <v>20000</v>
      </c>
      <c r="F66" s="109"/>
      <c r="G66" s="304"/>
      <c r="H66" s="305"/>
      <c r="I66" s="304"/>
      <c r="J66" s="305"/>
      <c r="K66" s="108"/>
      <c r="L66" s="51">
        <f>+'[2]Rates in summary'!D56</f>
        <v>0.69042999999999966</v>
      </c>
      <c r="M66" s="91"/>
      <c r="N66" s="51">
        <f>'[2]Rates in summary'!D56+[2]Temporaries!K56+[2]Temporaries!L56+[2]Temporaries!M56-[2]Temporaries!AX56</f>
        <v>0.69094999999999973</v>
      </c>
      <c r="O66" s="91"/>
      <c r="P66" s="93"/>
      <c r="Q66" s="51">
        <f>'[2]Rates in summary'!D56+[2]Temporaries!N56+[2]Temporaries!O56-[2]Temporaries!AY56</f>
        <v>0.69021999999999961</v>
      </c>
      <c r="R66" s="91"/>
      <c r="S66" s="93"/>
      <c r="T66" s="99">
        <f>'[2]Rates in detail'!D56+[2]Temporaries!T56-[2]Temporaries!BD56+[2]Temporaries!S56-[2]Temporaries!BC56+[2]Temporaries!P56-[2]Temporaries!BB56++[2]Temporaries!Q56-[2]Temporaries!AW56</f>
        <v>0.69039999999999968</v>
      </c>
      <c r="U66" s="98"/>
      <c r="V66" s="97"/>
      <c r="W66" s="51">
        <f>'[2]Rates in summary'!D56+[2]Temporaries!R56-[2]Temporaries!AZ56</f>
        <v>0.69056999999999968</v>
      </c>
      <c r="X66" s="91"/>
      <c r="Y66" s="93"/>
      <c r="Z66" s="51">
        <f>'[2]Rates in summary'!D56+[2]Permanents!F56</f>
        <v>0.69045999999999963</v>
      </c>
      <c r="AA66" s="91"/>
      <c r="AB66" s="93"/>
      <c r="AC66" s="96">
        <f>'[2]Rates in summary'!D56+[2]Temporaries!U56-[2]Temporaries!BE56</f>
        <v>0.69042999999999966</v>
      </c>
      <c r="AD66" s="95"/>
      <c r="AE66" s="94"/>
      <c r="AF66" s="51">
        <f>'[2]Rates in summary'!D56+[2]Temporaries!V56-[2]Temporaries!BF56</f>
        <v>0.69042999999999966</v>
      </c>
      <c r="AG66" s="91"/>
      <c r="AH66" s="93"/>
      <c r="AI66" s="51">
        <f>'[2]Rates in summary'!G56+[2]Temporaries!J56</f>
        <v>0.65136999999999967</v>
      </c>
      <c r="AJ66" s="91"/>
      <c r="AK66" s="92"/>
      <c r="AL66" s="51">
        <f>+'[2]Rates in summary'!Q56</f>
        <v>0.65181999999999962</v>
      </c>
      <c r="AM66" s="91"/>
      <c r="AN66" s="75"/>
      <c r="AO66" s="3"/>
      <c r="AP66" s="8"/>
      <c r="AQ66" s="4">
        <f t="shared" si="19"/>
        <v>0</v>
      </c>
      <c r="AR66" s="4">
        <f t="shared" si="20"/>
        <v>0</v>
      </c>
      <c r="AS66" s="4">
        <f t="shared" si="21"/>
        <v>-3.8610000000000033E-2</v>
      </c>
      <c r="AT66" s="4">
        <f t="shared" si="32"/>
        <v>-3.8610000000000033E-2</v>
      </c>
      <c r="AU66" s="89">
        <f>+'[2]Rates in summary'!D56+[2]Temporaries!K56+[2]Temporaries!M56+[2]Temporaries!L56-[2]Temporaries!AZ56</f>
        <v>0.7055699999999997</v>
      </c>
      <c r="AV66" s="29"/>
      <c r="AW66" s="107"/>
      <c r="AX66" s="51"/>
      <c r="AY66" s="51"/>
      <c r="AZ66" s="51"/>
      <c r="BA66" s="51"/>
    </row>
    <row r="67" spans="1:53" x14ac:dyDescent="0.35">
      <c r="A67" s="7">
        <f t="shared" si="0"/>
        <v>61</v>
      </c>
      <c r="B67" s="7"/>
      <c r="C67" s="103" t="s">
        <v>59</v>
      </c>
      <c r="D67" s="102">
        <f>+'[2]Washington volumes'!J57</f>
        <v>201896.54594079489</v>
      </c>
      <c r="E67" s="102">
        <v>20000</v>
      </c>
      <c r="F67" s="109"/>
      <c r="G67" s="304"/>
      <c r="H67" s="305"/>
      <c r="I67" s="304"/>
      <c r="J67" s="305"/>
      <c r="K67" s="108"/>
      <c r="L67" s="51">
        <f>+'[2]Rates in summary'!D57</f>
        <v>0.64878000000000013</v>
      </c>
      <c r="M67" s="91"/>
      <c r="N67" s="51">
        <f>'[2]Rates in summary'!D57+[2]Temporaries!K57+[2]Temporaries!L57+[2]Temporaries!M57-[2]Temporaries!AX57</f>
        <v>0.64917000000000014</v>
      </c>
      <c r="O67" s="91"/>
      <c r="P67" s="93"/>
      <c r="Q67" s="51">
        <f>'[2]Rates in summary'!D57+[2]Temporaries!N57+[2]Temporaries!O57-[2]Temporaries!AY57</f>
        <v>0.64862000000000009</v>
      </c>
      <c r="R67" s="91"/>
      <c r="S67" s="93"/>
      <c r="T67" s="99">
        <f>'[2]Rates in detail'!D57+[2]Temporaries!T57-[2]Temporaries!BD57+[2]Temporaries!S57-[2]Temporaries!BC57+[2]Temporaries!P57-[2]Temporaries!BB57++[2]Temporaries!Q57-[2]Temporaries!AW57</f>
        <v>0.64873000000000003</v>
      </c>
      <c r="U67" s="98"/>
      <c r="V67" s="97"/>
      <c r="W67" s="51">
        <f>'[2]Rates in summary'!D57+[2]Temporaries!R57-[2]Temporaries!AZ57</f>
        <v>0.64889000000000019</v>
      </c>
      <c r="X67" s="91"/>
      <c r="Y67" s="93"/>
      <c r="Z67" s="51">
        <f>'[2]Rates in summary'!D57+[2]Permanents!F57</f>
        <v>0.64880000000000015</v>
      </c>
      <c r="AA67" s="91"/>
      <c r="AB67" s="93"/>
      <c r="AC67" s="96">
        <f>'[2]Rates in summary'!D57+[2]Temporaries!U57-[2]Temporaries!BE57</f>
        <v>0.64878000000000013</v>
      </c>
      <c r="AD67" s="95"/>
      <c r="AE67" s="94"/>
      <c r="AF67" s="51">
        <f>'[2]Rates in summary'!D57+[2]Temporaries!V57-[2]Temporaries!BF57</f>
        <v>0.64878000000000013</v>
      </c>
      <c r="AG67" s="91"/>
      <c r="AH67" s="93"/>
      <c r="AI67" s="51">
        <f>'[2]Rates in summary'!G57+[2]Temporaries!J57</f>
        <v>0.60972000000000015</v>
      </c>
      <c r="AJ67" s="91"/>
      <c r="AK67" s="92"/>
      <c r="AL67" s="51">
        <f>+'[2]Rates in summary'!Q57</f>
        <v>0.61003000000000018</v>
      </c>
      <c r="AM67" s="91"/>
      <c r="AN67" s="75"/>
      <c r="AO67" s="3"/>
      <c r="AP67" s="8"/>
      <c r="AQ67" s="4">
        <f t="shared" si="19"/>
        <v>0</v>
      </c>
      <c r="AR67" s="4">
        <f t="shared" si="20"/>
        <v>0</v>
      </c>
      <c r="AS67" s="4">
        <f t="shared" si="21"/>
        <v>-3.8749999999999951E-2</v>
      </c>
      <c r="AT67" s="4">
        <f t="shared" si="32"/>
        <v>-3.8749999999999951E-2</v>
      </c>
      <c r="AU67" s="89">
        <f>+'[2]Rates in summary'!D57+[2]Temporaries!K57+[2]Temporaries!M57+[2]Temporaries!L57-[2]Temporaries!AZ57</f>
        <v>0.66039000000000014</v>
      </c>
      <c r="AV67" s="29"/>
      <c r="AW67" s="107"/>
      <c r="AX67" s="51"/>
      <c r="AY67" s="51"/>
      <c r="AZ67" s="51"/>
      <c r="BA67" s="51"/>
    </row>
    <row r="68" spans="1:53" x14ac:dyDescent="0.35">
      <c r="A68" s="7">
        <f t="shared" si="0"/>
        <v>62</v>
      </c>
      <c r="B68" s="7"/>
      <c r="C68" s="103" t="s">
        <v>60</v>
      </c>
      <c r="D68" s="102">
        <f>+'[2]Washington volumes'!J58</f>
        <v>59595.669906477466</v>
      </c>
      <c r="E68" s="102">
        <v>100000</v>
      </c>
      <c r="F68" s="109"/>
      <c r="G68" s="304"/>
      <c r="H68" s="305"/>
      <c r="I68" s="304"/>
      <c r="J68" s="305"/>
      <c r="K68" s="108"/>
      <c r="L68" s="51">
        <f>+'[2]Rates in summary'!D58</f>
        <v>0.62140999999999991</v>
      </c>
      <c r="M68" s="91"/>
      <c r="N68" s="51">
        <f>'[2]Rates in summary'!D58+[2]Temporaries!K58+[2]Temporaries!L58+[2]Temporaries!M58-[2]Temporaries!AX58</f>
        <v>0.62173999999999985</v>
      </c>
      <c r="O68" s="91"/>
      <c r="P68" s="93"/>
      <c r="Q68" s="51">
        <f>'[2]Rates in summary'!D58+[2]Temporaries!N58+[2]Temporaries!O58-[2]Temporaries!AY58</f>
        <v>0.62126999999999988</v>
      </c>
      <c r="R68" s="91"/>
      <c r="S68" s="93"/>
      <c r="T68" s="99">
        <f>'[2]Rates in detail'!D58+[2]Temporaries!T58-[2]Temporaries!BD58+[2]Temporaries!S58-[2]Temporaries!BC58+[2]Temporaries!P58-[2]Temporaries!BB58++[2]Temporaries!Q58-[2]Temporaries!AW58</f>
        <v>0.62132999999999983</v>
      </c>
      <c r="U68" s="98"/>
      <c r="V68" s="97"/>
      <c r="W68" s="51">
        <f>'[2]Rates in summary'!D58+[2]Temporaries!R58-[2]Temporaries!AZ58</f>
        <v>0.62148999999999999</v>
      </c>
      <c r="X68" s="91"/>
      <c r="Y68" s="93"/>
      <c r="Z68" s="51">
        <f>'[2]Rates in summary'!D58+[2]Permanents!F58</f>
        <v>0.62142999999999993</v>
      </c>
      <c r="AA68" s="91"/>
      <c r="AB68" s="93"/>
      <c r="AC68" s="96">
        <f>'[2]Rates in summary'!D58+[2]Temporaries!U58-[2]Temporaries!BE58</f>
        <v>0.62140999999999991</v>
      </c>
      <c r="AD68" s="95"/>
      <c r="AE68" s="94"/>
      <c r="AF68" s="51">
        <f>'[2]Rates in summary'!D58+[2]Temporaries!V58-[2]Temporaries!BF58</f>
        <v>0.62140999999999991</v>
      </c>
      <c r="AG68" s="91"/>
      <c r="AH68" s="93"/>
      <c r="AI68" s="51">
        <f>'[2]Rates in summary'!G58+[2]Temporaries!J58</f>
        <v>0.58234999999999981</v>
      </c>
      <c r="AJ68" s="91"/>
      <c r="AK68" s="92"/>
      <c r="AL68" s="51">
        <f>+'[2]Rates in summary'!Q58</f>
        <v>0.58255999999999986</v>
      </c>
      <c r="AM68" s="91"/>
      <c r="AN68" s="75"/>
      <c r="AO68" s="3"/>
      <c r="AP68" s="8"/>
      <c r="AQ68" s="4">
        <f t="shared" si="19"/>
        <v>0</v>
      </c>
      <c r="AR68" s="4">
        <f t="shared" si="20"/>
        <v>0</v>
      </c>
      <c r="AS68" s="4">
        <f t="shared" si="21"/>
        <v>-3.8850000000000051E-2</v>
      </c>
      <c r="AT68" s="4">
        <f t="shared" si="32"/>
        <v>-3.8850000000000051E-2</v>
      </c>
      <c r="AU68" s="89">
        <f>+'[2]Rates in summary'!D58+[2]Temporaries!K58+[2]Temporaries!M58+[2]Temporaries!L58-[2]Temporaries!AZ58</f>
        <v>0.63069999999999993</v>
      </c>
      <c r="AV68" s="29"/>
      <c r="AW68" s="107"/>
      <c r="AX68" s="51"/>
      <c r="AY68" s="51"/>
      <c r="AZ68" s="51"/>
      <c r="BA68" s="51"/>
    </row>
    <row r="69" spans="1:53" x14ac:dyDescent="0.35">
      <c r="A69" s="7">
        <f t="shared" si="0"/>
        <v>63</v>
      </c>
      <c r="B69" s="7"/>
      <c r="C69" s="103" t="s">
        <v>61</v>
      </c>
      <c r="D69" s="102">
        <f>+'[2]Washington volumes'!J59</f>
        <v>0</v>
      </c>
      <c r="E69" s="102">
        <v>600000</v>
      </c>
      <c r="F69" s="109"/>
      <c r="G69" s="304"/>
      <c r="H69" s="305"/>
      <c r="I69" s="304"/>
      <c r="J69" s="305"/>
      <c r="K69" s="108"/>
      <c r="L69" s="51">
        <f>+'[2]Rates in summary'!D59</f>
        <v>0.58492999999999984</v>
      </c>
      <c r="M69" s="91"/>
      <c r="N69" s="51">
        <f>'[2]Rates in summary'!D59+[2]Temporaries!K59+[2]Temporaries!L59+[2]Temporaries!M59-[2]Temporaries!AX59</f>
        <v>0.58513999999999977</v>
      </c>
      <c r="O69" s="91"/>
      <c r="P69" s="93"/>
      <c r="Q69" s="51">
        <f>'[2]Rates in summary'!D59+[2]Temporaries!N59+[2]Temporaries!O59-[2]Temporaries!AY59</f>
        <v>0.58483999999999992</v>
      </c>
      <c r="R69" s="91"/>
      <c r="S69" s="93"/>
      <c r="T69" s="99">
        <f>'[2]Rates in detail'!D59+[2]Temporaries!T59-[2]Temporaries!BD59+[2]Temporaries!S59-[2]Temporaries!BC59+[2]Temporaries!P59-[2]Temporaries!BB59++[2]Temporaries!Q59-[2]Temporaries!AW59</f>
        <v>0.5848399999999998</v>
      </c>
      <c r="U69" s="98"/>
      <c r="V69" s="97"/>
      <c r="W69" s="51">
        <f>'[2]Rates in summary'!D59+[2]Temporaries!R59-[2]Temporaries!AZ59</f>
        <v>0.58497999999999983</v>
      </c>
      <c r="X69" s="91"/>
      <c r="Y69" s="93"/>
      <c r="Z69" s="51">
        <f>'[2]Rates in summary'!D59+[2]Permanents!F59</f>
        <v>0.58493999999999979</v>
      </c>
      <c r="AA69" s="91"/>
      <c r="AB69" s="93"/>
      <c r="AC69" s="96">
        <f>'[2]Rates in summary'!D59+[2]Temporaries!U59-[2]Temporaries!BE59</f>
        <v>0.58492999999999984</v>
      </c>
      <c r="AD69" s="95"/>
      <c r="AE69" s="94"/>
      <c r="AF69" s="51">
        <f>'[2]Rates in summary'!D59+[2]Temporaries!V59-[2]Temporaries!BF59</f>
        <v>0.58492999999999984</v>
      </c>
      <c r="AG69" s="91"/>
      <c r="AH69" s="93"/>
      <c r="AI69" s="51">
        <f>'[2]Rates in summary'!G59+[2]Temporaries!J59</f>
        <v>0.54586999999999974</v>
      </c>
      <c r="AJ69" s="91"/>
      <c r="AK69" s="92"/>
      <c r="AL69" s="51">
        <f>+'[2]Rates in summary'!Q59</f>
        <v>0.54595999999999978</v>
      </c>
      <c r="AM69" s="91"/>
      <c r="AN69" s="75"/>
      <c r="AO69" s="3"/>
      <c r="AP69" s="8"/>
      <c r="AQ69" s="4">
        <f t="shared" si="19"/>
        <v>0</v>
      </c>
      <c r="AR69" s="4">
        <f t="shared" si="20"/>
        <v>0</v>
      </c>
      <c r="AS69" s="4">
        <f t="shared" si="21"/>
        <v>-3.897000000000006E-2</v>
      </c>
      <c r="AT69" s="4">
        <f t="shared" si="32"/>
        <v>-3.897000000000006E-2</v>
      </c>
      <c r="AU69" s="89">
        <f>+'[2]Rates in summary'!D59+[2]Temporaries!K59+[2]Temporaries!M59+[2]Temporaries!L59-[2]Temporaries!AZ59</f>
        <v>0.59111999999999976</v>
      </c>
      <c r="AV69" s="89"/>
      <c r="AW69" s="107"/>
      <c r="AX69" s="51"/>
      <c r="AY69" s="51"/>
      <c r="AZ69" s="51"/>
      <c r="BA69" s="51"/>
    </row>
    <row r="70" spans="1:53" x14ac:dyDescent="0.35">
      <c r="A70" s="7">
        <f t="shared" si="0"/>
        <v>64</v>
      </c>
      <c r="B70" s="7"/>
      <c r="C70" s="103" t="s">
        <v>62</v>
      </c>
      <c r="D70" s="102">
        <f>+'[2]Washington volumes'!J60</f>
        <v>0</v>
      </c>
      <c r="E70" s="101" t="s">
        <v>51</v>
      </c>
      <c r="F70" s="109"/>
      <c r="G70" s="304"/>
      <c r="H70" s="305"/>
      <c r="I70" s="304"/>
      <c r="J70" s="305"/>
      <c r="K70" s="108"/>
      <c r="L70" s="51">
        <f>+'[2]Rates in summary'!D60</f>
        <v>0.53925000000000001</v>
      </c>
      <c r="M70" s="91"/>
      <c r="N70" s="51">
        <f>'[2]Rates in summary'!D60+[2]Temporaries!K60+[2]Temporaries!L60+[2]Temporaries!M60-[2]Temporaries!AX60</f>
        <v>0.53934000000000004</v>
      </c>
      <c r="O70" s="91"/>
      <c r="P70" s="93"/>
      <c r="Q70" s="51">
        <f>'[2]Rates in summary'!D60+[2]Temporaries!N60+[2]Temporaries!O60-[2]Temporaries!AY60</f>
        <v>0.53921999999999992</v>
      </c>
      <c r="R70" s="91"/>
      <c r="S70" s="93"/>
      <c r="T70" s="99">
        <f>'[2]Rates in detail'!D60+[2]Temporaries!T60-[2]Temporaries!BD60+[2]Temporaries!S60-[2]Temporaries!BC60+[2]Temporaries!P60-[2]Temporaries!BB60++[2]Temporaries!Q60-[2]Temporaries!AW60</f>
        <v>0.53913999999999995</v>
      </c>
      <c r="U70" s="98"/>
      <c r="V70" s="97"/>
      <c r="W70" s="51">
        <f>'[2]Rates in summary'!D60+[2]Temporaries!R60-[2]Temporaries!AZ60</f>
        <v>0.53927999999999998</v>
      </c>
      <c r="X70" s="91"/>
      <c r="Y70" s="93"/>
      <c r="Z70" s="51">
        <f>'[2]Rates in summary'!D60+[2]Permanents!F60</f>
        <v>0.53925000000000001</v>
      </c>
      <c r="AA70" s="91"/>
      <c r="AB70" s="93"/>
      <c r="AC70" s="96">
        <f>'[2]Rates in summary'!D60+[2]Temporaries!U60-[2]Temporaries!BE60</f>
        <v>0.53925000000000001</v>
      </c>
      <c r="AD70" s="95"/>
      <c r="AE70" s="94"/>
      <c r="AF70" s="51">
        <f>'[2]Rates in summary'!D60+[2]Temporaries!V60-[2]Temporaries!BF60</f>
        <v>0.53925000000000001</v>
      </c>
      <c r="AG70" s="91"/>
      <c r="AH70" s="93"/>
      <c r="AI70" s="51">
        <f>'[2]Rates in summary'!G60+[2]Temporaries!J60</f>
        <v>0.50019000000000002</v>
      </c>
      <c r="AJ70" s="91"/>
      <c r="AK70" s="92"/>
      <c r="AL70" s="51">
        <f>+'[2]Rates in summary'!Q60</f>
        <v>0.50017</v>
      </c>
      <c r="AM70" s="91"/>
      <c r="AN70" s="75"/>
      <c r="AO70" s="3"/>
      <c r="AP70" s="8"/>
      <c r="AQ70" s="4">
        <f t="shared" si="19"/>
        <v>0</v>
      </c>
      <c r="AR70" s="4">
        <f t="shared" si="20"/>
        <v>0</v>
      </c>
      <c r="AS70" s="4">
        <f t="shared" si="21"/>
        <v>-3.9080000000000004E-2</v>
      </c>
      <c r="AT70" s="4">
        <f t="shared" si="32"/>
        <v>-3.9080000000000004E-2</v>
      </c>
      <c r="AU70" s="89">
        <f>+'[2]Rates in summary'!D60+[2]Temporaries!K60+[2]Temporaries!M60+[2]Temporaries!L60-[2]Temporaries!AZ60</f>
        <v>0.54158000000000006</v>
      </c>
      <c r="AV70" s="89"/>
      <c r="AW70" s="107"/>
      <c r="AX70" s="51"/>
      <c r="AY70" s="51"/>
      <c r="AZ70" s="51"/>
      <c r="BA70" s="51"/>
    </row>
    <row r="71" spans="1:53" x14ac:dyDescent="0.35">
      <c r="A71" s="7">
        <f t="shared" si="0"/>
        <v>65</v>
      </c>
      <c r="B71" s="69"/>
      <c r="C71" s="87" t="s">
        <v>52</v>
      </c>
      <c r="D71" s="86"/>
      <c r="E71" s="85"/>
      <c r="F71" s="84"/>
      <c r="G71" s="302"/>
      <c r="H71" s="303"/>
      <c r="I71" s="302"/>
      <c r="J71" s="303"/>
      <c r="K71" s="74"/>
      <c r="L71" s="83"/>
      <c r="M71" s="74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23127.560663486882</v>
      </c>
      <c r="N71" s="83"/>
      <c r="O71" s="74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23147.490663486882</v>
      </c>
      <c r="P71" s="56">
        <f>ROUND((O71-M71)/M71,3)</f>
        <v>1E-3</v>
      </c>
      <c r="Q71" s="83"/>
      <c r="R71" s="74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23119.470663486885</v>
      </c>
      <c r="S71" s="56">
        <f>ROUND((R71-M71)/M71,3)</f>
        <v>0</v>
      </c>
      <c r="T71" s="106"/>
      <c r="U71" s="81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23126.390663486884</v>
      </c>
      <c r="V71" s="80">
        <f>ROUND((U71-M71)/M71,3)</f>
        <v>0</v>
      </c>
      <c r="W71" s="83"/>
      <c r="X71" s="74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23132.98066348688</v>
      </c>
      <c r="Y71" s="56">
        <f>(X71-M71)/M71</f>
        <v>2.3435242820723379E-4</v>
      </c>
      <c r="Z71" s="83"/>
      <c r="AA71" s="74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23128.640663486884</v>
      </c>
      <c r="AB71" s="56">
        <f>(AA71-M71)/M71</f>
        <v>4.6697531819982153E-5</v>
      </c>
      <c r="AC71" s="104"/>
      <c r="AD71" s="77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23127.560663486882</v>
      </c>
      <c r="AE71" s="57">
        <f>(AD71-M71)/M71</f>
        <v>0</v>
      </c>
      <c r="AF71" s="83"/>
      <c r="AG71" s="74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23127.560663486882</v>
      </c>
      <c r="AH71" s="56">
        <f>(AG71-M71)/M71</f>
        <v>0</v>
      </c>
      <c r="AI71" s="83"/>
      <c r="AJ71" s="74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21591.640663486884</v>
      </c>
      <c r="AK71" s="73">
        <f>ROUND((AJ71-M71)/M71,3)</f>
        <v>-6.6000000000000003E-2</v>
      </c>
      <c r="AL71" s="83"/>
      <c r="AM71" s="74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21608.830663486879</v>
      </c>
      <c r="AN71" s="73">
        <f>ROUND((AM71-M71)/M71,3)</f>
        <v>-6.6000000000000003E-2</v>
      </c>
      <c r="AO71" s="3"/>
      <c r="AP71" s="8"/>
      <c r="AQ71" s="4">
        <f t="shared" si="19"/>
        <v>0</v>
      </c>
      <c r="AR71" s="4">
        <f t="shared" si="20"/>
        <v>0</v>
      </c>
      <c r="AS71" s="4">
        <f t="shared" si="21"/>
        <v>0</v>
      </c>
      <c r="AT71" s="4">
        <f t="shared" si="32"/>
        <v>0</v>
      </c>
      <c r="AU71" s="72"/>
      <c r="AV71" s="71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23707.890663486884</v>
      </c>
      <c r="AW71" s="70">
        <f>ROUND((AV71-M71)/M71,3)</f>
        <v>2.5000000000000001E-2</v>
      </c>
      <c r="AX71" s="51"/>
      <c r="AY71" s="51"/>
      <c r="AZ71" s="51"/>
      <c r="BA71" s="51"/>
    </row>
    <row r="72" spans="1:53" x14ac:dyDescent="0.35">
      <c r="A72" s="7">
        <f t="shared" ref="A72:A105" si="33">+A71+1</f>
        <v>66</v>
      </c>
      <c r="B72" s="7" t="s">
        <v>67</v>
      </c>
      <c r="C72" s="103" t="s">
        <v>49</v>
      </c>
      <c r="D72" s="102">
        <f>+'[2]Washington volumes'!J61</f>
        <v>171532.62817612645</v>
      </c>
      <c r="E72" s="102">
        <v>10000</v>
      </c>
      <c r="F72" s="100">
        <v>13758</v>
      </c>
      <c r="G72" s="300">
        <v>1300</v>
      </c>
      <c r="H72" s="300">
        <f>'[4]Aver Bill by RS'!$J72</f>
        <v>3945.7691048183847</v>
      </c>
      <c r="I72" s="300">
        <f>G72-(IF(H72&gt;(F72*$H$3),(F72*$H$3),H72))</f>
        <v>-2011.9633399999998</v>
      </c>
      <c r="J72" s="300">
        <f>'[4]Aver Bill by RS'!$J72</f>
        <v>3945.7691048183847</v>
      </c>
      <c r="K72" s="91">
        <f>G72-(IF(J72&gt;($F72*$H$4),($F72*$H$4),J72))</f>
        <v>-2011.9633399999998</v>
      </c>
      <c r="L72" s="51">
        <f>+'[2]Rates in summary'!D61</f>
        <v>0.69063999999999992</v>
      </c>
      <c r="M72" s="91"/>
      <c r="N72" s="51">
        <f>'[2]Rates in summary'!D61+[2]Temporaries!K61+[2]Temporaries!L61+[2]Temporaries!M61-[2]Temporaries!AX61</f>
        <v>0.69063999999999992</v>
      </c>
      <c r="O72" s="91"/>
      <c r="P72" s="93"/>
      <c r="Q72" s="51">
        <f>'[2]Rates in summary'!D61+[2]Temporaries!N61+[2]Temporaries!O61-[2]Temporaries!AY61</f>
        <v>0.69030999999999987</v>
      </c>
      <c r="R72" s="91"/>
      <c r="S72" s="93"/>
      <c r="T72" s="99">
        <f>'[2]Rates in detail'!D61+[2]Temporaries!T61-[2]Temporaries!BD61+[2]Temporaries!S61-[2]Temporaries!BC61+[2]Temporaries!P61-[2]Temporaries!BB61++[2]Temporaries!Q61-[2]Temporaries!AW61</f>
        <v>0.6900799999999998</v>
      </c>
      <c r="U72" s="98"/>
      <c r="V72" s="97"/>
      <c r="W72" s="51">
        <f>'[2]Rates in summary'!D61+[2]Temporaries!R61-[2]Temporaries!AZ61</f>
        <v>0.6907899999999999</v>
      </c>
      <c r="X72" s="91"/>
      <c r="Y72" s="93"/>
      <c r="Z72" s="51">
        <f>'[2]Rates in summary'!D61+[2]Permanents!F61</f>
        <v>0.69067999999999996</v>
      </c>
      <c r="AA72" s="91"/>
      <c r="AB72" s="93"/>
      <c r="AC72" s="96">
        <f>'[2]Rates in summary'!D61+[2]Temporaries!U61-[2]Temporaries!BE61</f>
        <v>0.69063999999999992</v>
      </c>
      <c r="AD72" s="95"/>
      <c r="AE72" s="94"/>
      <c r="AF72" s="51">
        <f>'[2]Rates in summary'!D61+[2]Temporaries!V61-[2]Temporaries!BF61</f>
        <v>0.69063999999999992</v>
      </c>
      <c r="AG72" s="91"/>
      <c r="AH72" s="93"/>
      <c r="AI72" s="51">
        <f>'[2]Rates in summary'!G61+[2]Temporaries!J61</f>
        <v>0.65157999999999994</v>
      </c>
      <c r="AJ72" s="91"/>
      <c r="AK72" s="92"/>
      <c r="AL72" s="51">
        <f>+'[2]Rates in summary'!Q61</f>
        <v>0.65088000000000001</v>
      </c>
      <c r="AM72" s="91"/>
      <c r="AN72" s="90"/>
      <c r="AO72" s="3"/>
      <c r="AP72" s="8"/>
      <c r="AQ72" s="4">
        <f t="shared" si="19"/>
        <v>0</v>
      </c>
      <c r="AR72" s="4">
        <f t="shared" si="20"/>
        <v>0</v>
      </c>
      <c r="AS72" s="4">
        <f t="shared" si="21"/>
        <v>-3.9759999999999907E-2</v>
      </c>
      <c r="AT72" s="4">
        <f t="shared" si="32"/>
        <v>-3.9759999999999907E-2</v>
      </c>
      <c r="AU72" s="89">
        <f>+'[2]Rates in summary'!D61+[2]Temporaries!K61+[2]Temporaries!M61+[2]Temporaries!L61-[2]Temporaries!AZ61</f>
        <v>0.68782999999999994</v>
      </c>
      <c r="AV72" s="29"/>
      <c r="AW72" s="88"/>
      <c r="AX72" s="51"/>
      <c r="AY72" s="51"/>
      <c r="AZ72" s="51"/>
      <c r="BA72" s="51"/>
    </row>
    <row r="73" spans="1:53" x14ac:dyDescent="0.35">
      <c r="A73" s="7">
        <f t="shared" si="33"/>
        <v>67</v>
      </c>
      <c r="B73" s="7"/>
      <c r="C73" s="103" t="s">
        <v>50</v>
      </c>
      <c r="D73" s="102">
        <f>+'[2]Washington volumes'!J62</f>
        <v>27036.058789873507</v>
      </c>
      <c r="E73" s="102">
        <v>20000</v>
      </c>
      <c r="F73" s="100"/>
      <c r="G73" s="300"/>
      <c r="H73" s="301"/>
      <c r="I73" s="300"/>
      <c r="J73" s="301"/>
      <c r="K73" s="91"/>
      <c r="L73" s="51">
        <f>+'[2]Rates in summary'!D62</f>
        <v>0.67198999999999998</v>
      </c>
      <c r="M73" s="91"/>
      <c r="N73" s="51">
        <f>'[2]Rates in summary'!D62+[2]Temporaries!K62+[2]Temporaries!L62+[2]Temporaries!M62-[2]Temporaries!AX62</f>
        <v>0.67198999999999998</v>
      </c>
      <c r="O73" s="91"/>
      <c r="P73" s="93"/>
      <c r="Q73" s="51">
        <f>'[2]Rates in summary'!D62+[2]Temporaries!N62+[2]Temporaries!O62-[2]Temporaries!AY62</f>
        <v>0.67169000000000001</v>
      </c>
      <c r="R73" s="91"/>
      <c r="S73" s="93"/>
      <c r="T73" s="99">
        <f>'[2]Rates in detail'!D62+[2]Temporaries!T62-[2]Temporaries!BD62+[2]Temporaries!S62-[2]Temporaries!BC62+[2]Temporaries!P62-[2]Temporaries!BB62++[2]Temporaries!Q62-[2]Temporaries!AW62</f>
        <v>0.67140999999999995</v>
      </c>
      <c r="U73" s="98"/>
      <c r="V73" s="97"/>
      <c r="W73" s="51">
        <f>'[2]Rates in summary'!D62+[2]Temporaries!R62-[2]Temporaries!AZ62</f>
        <v>0.67212000000000005</v>
      </c>
      <c r="X73" s="91"/>
      <c r="Y73" s="93"/>
      <c r="Z73" s="51">
        <f>'[2]Rates in summary'!D62+[2]Permanents!F62</f>
        <v>0.67203000000000002</v>
      </c>
      <c r="AA73" s="91"/>
      <c r="AB73" s="93"/>
      <c r="AC73" s="96">
        <f>'[2]Rates in summary'!D62+[2]Temporaries!U62-[2]Temporaries!BE62</f>
        <v>0.67198999999999998</v>
      </c>
      <c r="AD73" s="95"/>
      <c r="AE73" s="94"/>
      <c r="AF73" s="51">
        <f>'[2]Rates in summary'!D62+[2]Temporaries!V62-[2]Temporaries!BF62</f>
        <v>0.67198999999999998</v>
      </c>
      <c r="AG73" s="91"/>
      <c r="AH73" s="93"/>
      <c r="AI73" s="51">
        <f>'[2]Rates in summary'!G62+[2]Temporaries!J62</f>
        <v>0.63292999999999988</v>
      </c>
      <c r="AJ73" s="91"/>
      <c r="AK73" s="92"/>
      <c r="AL73" s="51">
        <f>+'[2]Rates in summary'!Q62</f>
        <v>0.63222</v>
      </c>
      <c r="AM73" s="91"/>
      <c r="AN73" s="90"/>
      <c r="AO73" s="3"/>
      <c r="AP73" s="8"/>
      <c r="AQ73" s="4">
        <f t="shared" si="19"/>
        <v>0</v>
      </c>
      <c r="AR73" s="4">
        <f t="shared" si="20"/>
        <v>0</v>
      </c>
      <c r="AS73" s="4">
        <f t="shared" si="21"/>
        <v>-3.9769999999999972E-2</v>
      </c>
      <c r="AT73" s="4">
        <f t="shared" si="32"/>
        <v>-3.9769999999999972E-2</v>
      </c>
      <c r="AU73" s="89">
        <f>+'[2]Rates in summary'!D62+[2]Temporaries!K62+[2]Temporaries!M62+[2]Temporaries!L62-[2]Temporaries!AZ62</f>
        <v>0.66947000000000001</v>
      </c>
      <c r="AV73" s="29"/>
      <c r="AW73" s="88"/>
      <c r="AX73" s="51"/>
      <c r="AY73" s="51"/>
      <c r="AZ73" s="51"/>
      <c r="BA73" s="51"/>
    </row>
    <row r="74" spans="1:53" x14ac:dyDescent="0.35">
      <c r="A74" s="7">
        <f t="shared" si="33"/>
        <v>68</v>
      </c>
      <c r="B74" s="7"/>
      <c r="C74" s="103" t="s">
        <v>59</v>
      </c>
      <c r="D74" s="102">
        <f>+'[2]Washington volumes'!J63</f>
        <v>0</v>
      </c>
      <c r="E74" s="102">
        <v>20000</v>
      </c>
      <c r="F74" s="100"/>
      <c r="G74" s="300"/>
      <c r="H74" s="301"/>
      <c r="I74" s="300"/>
      <c r="J74" s="301"/>
      <c r="K74" s="91"/>
      <c r="L74" s="51">
        <f>+'[2]Rates in summary'!D63</f>
        <v>0.63488999999999995</v>
      </c>
      <c r="M74" s="91"/>
      <c r="N74" s="51">
        <f>'[2]Rates in summary'!D63+[2]Temporaries!K63+[2]Temporaries!L63+[2]Temporaries!M63-[2]Temporaries!AX63</f>
        <v>0.63488999999999995</v>
      </c>
      <c r="O74" s="91"/>
      <c r="P74" s="93"/>
      <c r="Q74" s="51">
        <f>'[2]Rates in summary'!D63+[2]Temporaries!N63+[2]Temporaries!O63-[2]Temporaries!AY63</f>
        <v>0.63464999999999994</v>
      </c>
      <c r="R74" s="91"/>
      <c r="S74" s="93"/>
      <c r="T74" s="99">
        <f>'[2]Rates in detail'!D63+[2]Temporaries!T63-[2]Temporaries!BD63+[2]Temporaries!S63-[2]Temporaries!BC63+[2]Temporaries!P63-[2]Temporaries!BB63++[2]Temporaries!Q63-[2]Temporaries!AW63</f>
        <v>0.63426999999999989</v>
      </c>
      <c r="U74" s="98"/>
      <c r="V74" s="97"/>
      <c r="W74" s="51">
        <f>'[2]Rates in summary'!D63+[2]Temporaries!R63-[2]Temporaries!AZ63</f>
        <v>0.63498999999999994</v>
      </c>
      <c r="X74" s="91"/>
      <c r="Y74" s="93"/>
      <c r="Z74" s="51">
        <f>'[2]Rates in summary'!D63+[2]Permanents!F63</f>
        <v>0.63491999999999993</v>
      </c>
      <c r="AA74" s="91"/>
      <c r="AB74" s="93"/>
      <c r="AC74" s="96">
        <f>'[2]Rates in summary'!D63+[2]Temporaries!U63-[2]Temporaries!BE63</f>
        <v>0.63488999999999995</v>
      </c>
      <c r="AD74" s="95"/>
      <c r="AE74" s="94"/>
      <c r="AF74" s="51">
        <f>'[2]Rates in summary'!D63+[2]Temporaries!V63-[2]Temporaries!BF63</f>
        <v>0.63488999999999995</v>
      </c>
      <c r="AG74" s="91"/>
      <c r="AH74" s="93"/>
      <c r="AI74" s="51">
        <f>'[2]Rates in summary'!G63+[2]Temporaries!J63</f>
        <v>0.59582999999999997</v>
      </c>
      <c r="AJ74" s="91"/>
      <c r="AK74" s="92"/>
      <c r="AL74" s="51">
        <f>+'[2]Rates in summary'!Q63</f>
        <v>0.59509999999999996</v>
      </c>
      <c r="AM74" s="91"/>
      <c r="AN74" s="90"/>
      <c r="AO74" s="3"/>
      <c r="AP74" s="8"/>
      <c r="AQ74" s="4">
        <f t="shared" si="19"/>
        <v>0</v>
      </c>
      <c r="AR74" s="4">
        <f t="shared" si="20"/>
        <v>0</v>
      </c>
      <c r="AS74" s="4">
        <f t="shared" si="21"/>
        <v>-3.9789999999999992E-2</v>
      </c>
      <c r="AT74" s="4">
        <f t="shared" si="32"/>
        <v>-3.9789999999999992E-2</v>
      </c>
      <c r="AU74" s="89">
        <f>+'[2]Rates in summary'!D63+[2]Temporaries!K63+[2]Temporaries!M63+[2]Temporaries!L63-[2]Temporaries!AZ63</f>
        <v>0.63295999999999997</v>
      </c>
      <c r="AV74" s="29"/>
      <c r="AW74" s="88"/>
      <c r="AX74" s="51"/>
      <c r="AY74" s="51"/>
      <c r="AZ74" s="51"/>
      <c r="BA74" s="51"/>
    </row>
    <row r="75" spans="1:53" x14ac:dyDescent="0.35">
      <c r="A75" s="7">
        <f t="shared" si="33"/>
        <v>69</v>
      </c>
      <c r="B75" s="7"/>
      <c r="C75" s="103" t="s">
        <v>60</v>
      </c>
      <c r="D75" s="102">
        <f>+'[2]Washington volumes'!J64</f>
        <v>0</v>
      </c>
      <c r="E75" s="102">
        <v>100000</v>
      </c>
      <c r="F75" s="100"/>
      <c r="G75" s="300"/>
      <c r="H75" s="301"/>
      <c r="I75" s="300"/>
      <c r="J75" s="301"/>
      <c r="K75" s="91"/>
      <c r="L75" s="51">
        <f>+'[2]Rates in summary'!D64</f>
        <v>0.61047999999999969</v>
      </c>
      <c r="M75" s="91"/>
      <c r="N75" s="51">
        <f>'[2]Rates in summary'!D64+[2]Temporaries!K64+[2]Temporaries!L64+[2]Temporaries!M64-[2]Temporaries!AX64</f>
        <v>0.61047999999999969</v>
      </c>
      <c r="O75" s="91"/>
      <c r="P75" s="93"/>
      <c r="Q75" s="51">
        <f>'[2]Rates in summary'!D64+[2]Temporaries!N64+[2]Temporaries!O64-[2]Temporaries!AY64</f>
        <v>0.61028999999999967</v>
      </c>
      <c r="R75" s="91"/>
      <c r="S75" s="93"/>
      <c r="T75" s="99">
        <f>'[2]Rates in detail'!D64+[2]Temporaries!T64-[2]Temporaries!BD64+[2]Temporaries!S64-[2]Temporaries!BC64+[2]Temporaries!P64-[2]Temporaries!BB64++[2]Temporaries!Q64-[2]Temporaries!AW64</f>
        <v>0.60982999999999965</v>
      </c>
      <c r="U75" s="98"/>
      <c r="V75" s="97"/>
      <c r="W75" s="51">
        <f>'[2]Rates in summary'!D64+[2]Temporaries!R64-[2]Temporaries!AZ64</f>
        <v>0.61056999999999972</v>
      </c>
      <c r="X75" s="91"/>
      <c r="Y75" s="93"/>
      <c r="Z75" s="51">
        <f>'[2]Rates in summary'!D64+[2]Permanents!F64</f>
        <v>0.61049999999999971</v>
      </c>
      <c r="AA75" s="91"/>
      <c r="AB75" s="93"/>
      <c r="AC75" s="96">
        <f>'[2]Rates in summary'!D64+[2]Temporaries!U64-[2]Temporaries!BE64</f>
        <v>0.61047999999999969</v>
      </c>
      <c r="AD75" s="95"/>
      <c r="AE75" s="94"/>
      <c r="AF75" s="51">
        <f>'[2]Rates in summary'!D64+[2]Temporaries!V64-[2]Temporaries!BF64</f>
        <v>0.61047999999999969</v>
      </c>
      <c r="AG75" s="91"/>
      <c r="AH75" s="93"/>
      <c r="AI75" s="51">
        <f>'[2]Rates in summary'!G64+[2]Temporaries!J64</f>
        <v>0.57141999999999971</v>
      </c>
      <c r="AJ75" s="91"/>
      <c r="AK75" s="92"/>
      <c r="AL75" s="51">
        <f>+'[2]Rates in summary'!Q64</f>
        <v>0.57068999999999981</v>
      </c>
      <c r="AM75" s="91"/>
      <c r="AN75" s="90"/>
      <c r="AO75" s="3"/>
      <c r="AP75" s="8"/>
      <c r="AQ75" s="4">
        <f t="shared" si="19"/>
        <v>0</v>
      </c>
      <c r="AR75" s="4">
        <f t="shared" si="20"/>
        <v>0</v>
      </c>
      <c r="AS75" s="4">
        <f t="shared" si="21"/>
        <v>-3.9789999999999881E-2</v>
      </c>
      <c r="AT75" s="4">
        <f t="shared" si="32"/>
        <v>-3.9789999999999881E-2</v>
      </c>
      <c r="AU75" s="89">
        <f>+'[2]Rates in summary'!D64+[2]Temporaries!K64+[2]Temporaries!M64+[2]Temporaries!L64-[2]Temporaries!AZ64</f>
        <v>0.6089399999999997</v>
      </c>
      <c r="AV75" s="29"/>
      <c r="AW75" s="88"/>
      <c r="AX75" s="51"/>
      <c r="AY75" s="51"/>
      <c r="AZ75" s="51"/>
      <c r="BA75" s="51"/>
    </row>
    <row r="76" spans="1:53" x14ac:dyDescent="0.35">
      <c r="A76" s="7">
        <f t="shared" si="33"/>
        <v>70</v>
      </c>
      <c r="B76" s="7"/>
      <c r="C76" s="103" t="s">
        <v>61</v>
      </c>
      <c r="D76" s="102">
        <f>+'[2]Washington volumes'!J65</f>
        <v>0</v>
      </c>
      <c r="E76" s="102">
        <v>600000</v>
      </c>
      <c r="F76" s="100"/>
      <c r="G76" s="300"/>
      <c r="H76" s="301"/>
      <c r="I76" s="300"/>
      <c r="J76" s="301"/>
      <c r="K76" s="91"/>
      <c r="L76" s="51">
        <f>+'[2]Rates in summary'!D65</f>
        <v>0.57791000000000003</v>
      </c>
      <c r="M76" s="91"/>
      <c r="N76" s="51">
        <f>'[2]Rates in summary'!D65+[2]Temporaries!K65+[2]Temporaries!L65+[2]Temporaries!M65-[2]Temporaries!AX65</f>
        <v>0.57791000000000003</v>
      </c>
      <c r="O76" s="91"/>
      <c r="P76" s="93"/>
      <c r="Q76" s="51">
        <f>'[2]Rates in summary'!D65+[2]Temporaries!N65+[2]Temporaries!O65-[2]Temporaries!AY65</f>
        <v>0.57780000000000009</v>
      </c>
      <c r="R76" s="91"/>
      <c r="S76" s="93"/>
      <c r="T76" s="99">
        <f>'[2]Rates in detail'!D65+[2]Temporaries!T65-[2]Temporaries!BD65+[2]Temporaries!S65-[2]Temporaries!BC65+[2]Temporaries!P65-[2]Temporaries!BB65++[2]Temporaries!Q65-[2]Temporaries!AW65</f>
        <v>0.57723000000000002</v>
      </c>
      <c r="U76" s="98"/>
      <c r="V76" s="97"/>
      <c r="W76" s="51">
        <f>'[2]Rates in summary'!D65+[2]Temporaries!R65-[2]Temporaries!AZ65</f>
        <v>0.57796000000000003</v>
      </c>
      <c r="X76" s="91"/>
      <c r="Y76" s="93"/>
      <c r="Z76" s="51">
        <f>'[2]Rates in summary'!D65+[2]Permanents!F65</f>
        <v>0.57791999999999999</v>
      </c>
      <c r="AA76" s="91"/>
      <c r="AB76" s="93"/>
      <c r="AC76" s="96">
        <f>'[2]Rates in summary'!D65+[2]Temporaries!U65-[2]Temporaries!BE65</f>
        <v>0.57791000000000003</v>
      </c>
      <c r="AD76" s="95"/>
      <c r="AE76" s="94"/>
      <c r="AF76" s="51">
        <f>'[2]Rates in summary'!D65+[2]Temporaries!V65-[2]Temporaries!BF65</f>
        <v>0.57791000000000003</v>
      </c>
      <c r="AG76" s="91"/>
      <c r="AH76" s="93"/>
      <c r="AI76" s="51">
        <f>'[2]Rates in summary'!G65+[2]Temporaries!J65</f>
        <v>0.53884999999999994</v>
      </c>
      <c r="AJ76" s="91"/>
      <c r="AK76" s="92"/>
      <c r="AL76" s="51">
        <f>+'[2]Rates in summary'!Q65</f>
        <v>0.53811999999999993</v>
      </c>
      <c r="AM76" s="91"/>
      <c r="AN76" s="90"/>
      <c r="AO76" s="3"/>
      <c r="AP76" s="8"/>
      <c r="AQ76" s="4">
        <f t="shared" si="19"/>
        <v>0</v>
      </c>
      <c r="AR76" s="4">
        <f t="shared" si="20"/>
        <v>0</v>
      </c>
      <c r="AS76" s="4">
        <f t="shared" si="21"/>
        <v>-3.9790000000000103E-2</v>
      </c>
      <c r="AT76" s="4">
        <f t="shared" si="32"/>
        <v>-3.9790000000000103E-2</v>
      </c>
      <c r="AU76" s="89">
        <f>+'[2]Rates in summary'!D65+[2]Temporaries!K65+[2]Temporaries!M65+[2]Temporaries!L65-[2]Temporaries!AZ65</f>
        <v>0.57688000000000006</v>
      </c>
      <c r="AV76" s="89"/>
      <c r="AW76" s="88"/>
      <c r="AX76" s="51"/>
      <c r="AY76" s="51"/>
      <c r="AZ76" s="51"/>
      <c r="BA76" s="51"/>
    </row>
    <row r="77" spans="1:53" x14ac:dyDescent="0.35">
      <c r="A77" s="7">
        <f t="shared" si="33"/>
        <v>71</v>
      </c>
      <c r="B77" s="7"/>
      <c r="C77" s="103" t="s">
        <v>62</v>
      </c>
      <c r="D77" s="102">
        <f>+'[2]Washington volumes'!J66</f>
        <v>0</v>
      </c>
      <c r="E77" s="101" t="s">
        <v>51</v>
      </c>
      <c r="F77" s="100"/>
      <c r="G77" s="300"/>
      <c r="H77" s="301"/>
      <c r="I77" s="300"/>
      <c r="J77" s="301"/>
      <c r="K77" s="91"/>
      <c r="L77" s="51">
        <f>+'[2]Rates in summary'!D66</f>
        <v>0.53723999999999983</v>
      </c>
      <c r="M77" s="91"/>
      <c r="N77" s="51">
        <f>'[2]Rates in summary'!D66+[2]Temporaries!K66+[2]Temporaries!L66+[2]Temporaries!M66-[2]Temporaries!AX66</f>
        <v>0.53723999999999983</v>
      </c>
      <c r="O77" s="91"/>
      <c r="P77" s="93"/>
      <c r="Q77" s="51">
        <f>'[2]Rates in summary'!D66+[2]Temporaries!N66+[2]Temporaries!O66-[2]Temporaries!AY66</f>
        <v>0.53718999999999983</v>
      </c>
      <c r="R77" s="91"/>
      <c r="S77" s="93"/>
      <c r="T77" s="99">
        <f>'[2]Rates in detail'!D66+[2]Temporaries!T66-[2]Temporaries!BD66+[2]Temporaries!S66-[2]Temporaries!BC66+[2]Temporaries!P66-[2]Temporaries!BB66++[2]Temporaries!Q66-[2]Temporaries!AW66</f>
        <v>0.53652999999999984</v>
      </c>
      <c r="U77" s="98"/>
      <c r="V77" s="97"/>
      <c r="W77" s="51">
        <f>'[2]Rates in summary'!D66+[2]Temporaries!R66-[2]Temporaries!AZ66</f>
        <v>0.53725999999999985</v>
      </c>
      <c r="X77" s="91"/>
      <c r="Y77" s="93"/>
      <c r="Z77" s="51">
        <f>'[2]Rates in summary'!D66+[2]Permanents!F66</f>
        <v>0.53724999999999978</v>
      </c>
      <c r="AA77" s="91"/>
      <c r="AB77" s="93"/>
      <c r="AC77" s="96">
        <f>'[2]Rates in summary'!D66+[2]Temporaries!U66-[2]Temporaries!BE66</f>
        <v>0.53723999999999983</v>
      </c>
      <c r="AD77" s="95"/>
      <c r="AE77" s="94"/>
      <c r="AF77" s="51">
        <f>'[2]Rates in summary'!D66+[2]Temporaries!V66-[2]Temporaries!BF66</f>
        <v>0.53723999999999983</v>
      </c>
      <c r="AG77" s="91"/>
      <c r="AH77" s="93"/>
      <c r="AI77" s="51">
        <f>'[2]Rates in summary'!G66+[2]Temporaries!J66</f>
        <v>0.49817999999999973</v>
      </c>
      <c r="AJ77" s="91"/>
      <c r="AK77" s="92"/>
      <c r="AL77" s="51">
        <f>+'[2]Rates in summary'!Q66</f>
        <v>0.49744999999999978</v>
      </c>
      <c r="AM77" s="91"/>
      <c r="AN77" s="90"/>
      <c r="AO77" s="3"/>
      <c r="AP77" s="8"/>
      <c r="AQ77" s="4">
        <f t="shared" ref="AQ77:AQ94" si="34">AC77-L77</f>
        <v>0</v>
      </c>
      <c r="AR77" s="4">
        <f t="shared" ref="AR77:AR94" si="35">AF77-L77</f>
        <v>0</v>
      </c>
      <c r="AS77" s="4">
        <f t="shared" ref="AS77:AS94" si="36">AL77-L77</f>
        <v>-3.9790000000000048E-2</v>
      </c>
      <c r="AT77" s="4">
        <f t="shared" si="32"/>
        <v>-3.9790000000000048E-2</v>
      </c>
      <c r="AU77" s="89">
        <f>+'[2]Rates in summary'!D66+[2]Temporaries!K66+[2]Temporaries!M66+[2]Temporaries!L66-[2]Temporaries!AZ66</f>
        <v>0.53684999999999983</v>
      </c>
      <c r="AV77" s="89"/>
      <c r="AW77" s="88"/>
      <c r="AX77" s="51"/>
      <c r="AY77" s="51"/>
      <c r="AZ77" s="51"/>
      <c r="BA77" s="51"/>
    </row>
    <row r="78" spans="1:53" x14ac:dyDescent="0.35">
      <c r="A78" s="7">
        <f t="shared" si="33"/>
        <v>72</v>
      </c>
      <c r="B78" s="69"/>
      <c r="C78" s="87" t="s">
        <v>52</v>
      </c>
      <c r="D78" s="86"/>
      <c r="E78" s="85"/>
      <c r="F78" s="84"/>
      <c r="G78" s="302"/>
      <c r="H78" s="303"/>
      <c r="I78" s="302"/>
      <c r="J78" s="303"/>
      <c r="K78" s="74"/>
      <c r="L78" s="83"/>
      <c r="M78" s="74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7419.7766599999995</v>
      </c>
      <c r="N78" s="83"/>
      <c r="O78" s="74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7419.7766599999995</v>
      </c>
      <c r="P78" s="56">
        <f>ROUND((O78-M78)/M78,3)</f>
        <v>0</v>
      </c>
      <c r="Q78" s="83"/>
      <c r="R78" s="74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7415.3466599999992</v>
      </c>
      <c r="S78" s="56">
        <f>ROUND((R78-M78)/M78,3)</f>
        <v>-1E-3</v>
      </c>
      <c r="T78" s="106"/>
      <c r="U78" s="81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7411.9966599999989</v>
      </c>
      <c r="V78" s="80">
        <f>ROUND((U78-M78)/M78,3)</f>
        <v>-1E-3</v>
      </c>
      <c r="W78" s="83"/>
      <c r="X78" s="74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7421.7666599999993</v>
      </c>
      <c r="Y78" s="56">
        <f>(X78-M78)/M78</f>
        <v>2.6820214289304255E-4</v>
      </c>
      <c r="Z78" s="83"/>
      <c r="AA78" s="74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7420.3266600000006</v>
      </c>
      <c r="AB78" s="56">
        <f>(AA78-M78)/M78</f>
        <v>7.4126220397729785E-5</v>
      </c>
      <c r="AC78" s="104"/>
      <c r="AD78" s="77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7419.7766599999995</v>
      </c>
      <c r="AE78" s="57">
        <f>(AD78-M78)/M78</f>
        <v>0</v>
      </c>
      <c r="AF78" s="83"/>
      <c r="AG78" s="74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7419.7766599999995</v>
      </c>
      <c r="AH78" s="56">
        <f>(AG78-M78)/M78</f>
        <v>0</v>
      </c>
      <c r="AI78" s="83"/>
      <c r="AJ78" s="74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6882.3866600000001</v>
      </c>
      <c r="AK78" s="73">
        <f>ROUND((AJ78-M78)/M78,3)</f>
        <v>-7.1999999999999995E-2</v>
      </c>
      <c r="AL78" s="83"/>
      <c r="AM78" s="74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6872.71666</v>
      </c>
      <c r="AN78" s="73">
        <f>ROUND((AM78-M78)/M78,3)</f>
        <v>-7.3999999999999996E-2</v>
      </c>
      <c r="AO78" s="3"/>
      <c r="AP78" s="8"/>
      <c r="AQ78" s="4">
        <f t="shared" si="34"/>
        <v>0</v>
      </c>
      <c r="AR78" s="4">
        <f t="shared" si="35"/>
        <v>0</v>
      </c>
      <c r="AS78" s="4">
        <f t="shared" si="36"/>
        <v>0</v>
      </c>
      <c r="AT78" s="4">
        <f t="shared" ref="AT78:AT94" si="37">AS78-(AQ78+AR78)</f>
        <v>0</v>
      </c>
      <c r="AU78" s="72"/>
      <c r="AV78" s="71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7382.2066599999998</v>
      </c>
      <c r="AW78" s="70">
        <f>ROUND((AV78-M78)/M78,3)</f>
        <v>-5.0000000000000001E-3</v>
      </c>
      <c r="AX78" s="51"/>
      <c r="AY78" s="51"/>
      <c r="AZ78" s="51"/>
      <c r="BA78" s="51"/>
    </row>
    <row r="79" spans="1:53" x14ac:dyDescent="0.35">
      <c r="A79" s="7">
        <f t="shared" si="33"/>
        <v>73</v>
      </c>
      <c r="B79" s="7" t="s">
        <v>68</v>
      </c>
      <c r="C79" s="103" t="s">
        <v>49</v>
      </c>
      <c r="D79" s="102">
        <f>+'[2]Washington volumes'!J67</f>
        <v>0</v>
      </c>
      <c r="E79" s="102">
        <v>10000</v>
      </c>
      <c r="F79" s="100">
        <v>0</v>
      </c>
      <c r="G79" s="300">
        <f>1300+250</f>
        <v>1550</v>
      </c>
      <c r="H79" s="300">
        <f>'[4]Aver Bill by RS'!$J79</f>
        <v>5142.2693365131181</v>
      </c>
      <c r="I79" s="300">
        <f>G79-(IF(H79&gt;(F79*$H$3),(F79*$H$3),H79))</f>
        <v>1550</v>
      </c>
      <c r="J79" s="300">
        <f>'[4]Aver Bill by RS'!$J79</f>
        <v>5142.2693365131181</v>
      </c>
      <c r="K79" s="91">
        <f>G79-(IF(J79&gt;($F79*$H$4),($F79*$H$4),J79))</f>
        <v>1550</v>
      </c>
      <c r="L79" s="51">
        <f>+'[2]Rates in summary'!D67</f>
        <v>0.39076</v>
      </c>
      <c r="M79" s="91"/>
      <c r="N79" s="51">
        <f>'[2]Rates in summary'!D67+[2]Temporaries!K67+[2]Temporaries!L67+[2]Temporaries!M67-[2]Temporaries!AX67</f>
        <v>0.39076</v>
      </c>
      <c r="O79" s="91"/>
      <c r="P79" s="93"/>
      <c r="Q79" s="51">
        <f>'[2]Rates in summary'!D67+[2]Temporaries!N67+[2]Temporaries!O67-[2]Temporaries!AY67</f>
        <v>0.39076</v>
      </c>
      <c r="R79" s="91"/>
      <c r="S79" s="93"/>
      <c r="T79" s="99">
        <f>'[2]Rates in detail'!D67+[2]Temporaries!T67-[2]Temporaries!BD67+[2]Temporaries!S67-[2]Temporaries!BC67+[2]Temporaries!P67-[2]Temporaries!BB67++[2]Temporaries!Q67-[2]Temporaries!AW67</f>
        <v>0.39021000000000006</v>
      </c>
      <c r="U79" s="98"/>
      <c r="V79" s="97"/>
      <c r="W79" s="51">
        <f>'[2]Rates in summary'!D67+[2]Temporaries!R67-[2]Temporaries!AZ67</f>
        <v>0.39088000000000001</v>
      </c>
      <c r="X79" s="91"/>
      <c r="Y79" s="93"/>
      <c r="Z79" s="51">
        <f>'[2]Rates in summary'!D67+[2]Permanents!F67</f>
        <v>0.39076</v>
      </c>
      <c r="AA79" s="91"/>
      <c r="AB79" s="93"/>
      <c r="AC79" s="96">
        <f>'[2]Rates in summary'!D67+[2]Temporaries!U67-[2]Temporaries!BE67</f>
        <v>0.39076</v>
      </c>
      <c r="AD79" s="95"/>
      <c r="AE79" s="94"/>
      <c r="AF79" s="51">
        <f>'[2]Rates in summary'!D67+[2]Temporaries!V67-[2]Temporaries!BF67</f>
        <v>0.39076</v>
      </c>
      <c r="AG79" s="91"/>
      <c r="AH79" s="93"/>
      <c r="AI79" s="51">
        <f>'[2]Rates in summary'!G67+[2]Temporaries!J67</f>
        <v>0.39076</v>
      </c>
      <c r="AJ79" s="91"/>
      <c r="AK79" s="92"/>
      <c r="AL79" s="51">
        <f>+'[2]Rates in summary'!Q67</f>
        <v>0.39032999999999995</v>
      </c>
      <c r="AM79" s="91"/>
      <c r="AN79" s="90"/>
      <c r="AO79" s="3"/>
      <c r="AP79" s="8"/>
      <c r="AQ79" s="4">
        <f t="shared" si="34"/>
        <v>0</v>
      </c>
      <c r="AR79" s="4">
        <f t="shared" si="35"/>
        <v>0</v>
      </c>
      <c r="AS79" s="4">
        <f t="shared" si="36"/>
        <v>-4.3000000000004146E-4</v>
      </c>
      <c r="AT79" s="4">
        <f t="shared" si="37"/>
        <v>-4.3000000000004146E-4</v>
      </c>
      <c r="AU79" s="89">
        <f>+'[2]Rates in summary'!D67+[2]Temporaries!K67+[2]Temporaries!M67+[2]Temporaries!L67-[2]Temporaries!AZ67</f>
        <v>0.38874999999999998</v>
      </c>
      <c r="AV79" s="29"/>
      <c r="AW79" s="88"/>
      <c r="AX79" s="51"/>
      <c r="AY79" s="51"/>
      <c r="AZ79" s="51"/>
      <c r="BA79" s="51"/>
    </row>
    <row r="80" spans="1:53" x14ac:dyDescent="0.35">
      <c r="A80" s="7">
        <f t="shared" si="33"/>
        <v>74</v>
      </c>
      <c r="B80" s="7"/>
      <c r="C80" s="103" t="s">
        <v>50</v>
      </c>
      <c r="D80" s="102">
        <f>+'[2]Washington volumes'!J68</f>
        <v>0</v>
      </c>
      <c r="E80" s="102">
        <v>20000</v>
      </c>
      <c r="F80" s="100"/>
      <c r="G80" s="300"/>
      <c r="H80" s="301"/>
      <c r="I80" s="300"/>
      <c r="J80" s="301"/>
      <c r="K80" s="91"/>
      <c r="L80" s="51">
        <f>+'[2]Rates in summary'!D68</f>
        <v>0.37516000000000005</v>
      </c>
      <c r="M80" s="91"/>
      <c r="N80" s="51">
        <f>'[2]Rates in summary'!D68+[2]Temporaries!K68+[2]Temporaries!L68+[2]Temporaries!M68-[2]Temporaries!AX68</f>
        <v>0.37516000000000005</v>
      </c>
      <c r="O80" s="91"/>
      <c r="P80" s="93"/>
      <c r="Q80" s="51">
        <f>'[2]Rates in summary'!D68+[2]Temporaries!N68+[2]Temporaries!O68-[2]Temporaries!AY68</f>
        <v>0.37516000000000005</v>
      </c>
      <c r="R80" s="91"/>
      <c r="S80" s="93"/>
      <c r="T80" s="99">
        <f>'[2]Rates in detail'!D68+[2]Temporaries!T68-[2]Temporaries!BD68+[2]Temporaries!S68-[2]Temporaries!BC68+[2]Temporaries!P68-[2]Temporaries!BB68++[2]Temporaries!Q68-[2]Temporaries!AW68</f>
        <v>0.37460000000000004</v>
      </c>
      <c r="U80" s="98"/>
      <c r="V80" s="97"/>
      <c r="W80" s="51">
        <f>'[2]Rates in summary'!D68+[2]Temporaries!R68-[2]Temporaries!AZ68</f>
        <v>0.37527000000000005</v>
      </c>
      <c r="X80" s="91"/>
      <c r="Y80" s="93"/>
      <c r="Z80" s="51">
        <f>'[2]Rates in summary'!D68+[2]Permanents!F68</f>
        <v>0.37516000000000005</v>
      </c>
      <c r="AA80" s="91"/>
      <c r="AB80" s="93"/>
      <c r="AC80" s="96">
        <f>'[2]Rates in summary'!D68+[2]Temporaries!U68-[2]Temporaries!BE68</f>
        <v>0.37516000000000005</v>
      </c>
      <c r="AD80" s="95"/>
      <c r="AE80" s="94"/>
      <c r="AF80" s="51">
        <f>'[2]Rates in summary'!D68+[2]Temporaries!V68-[2]Temporaries!BF68</f>
        <v>0.37516000000000005</v>
      </c>
      <c r="AG80" s="91"/>
      <c r="AH80" s="93"/>
      <c r="AI80" s="51">
        <f>'[2]Rates in summary'!G68+[2]Temporaries!J68</f>
        <v>0.37516000000000005</v>
      </c>
      <c r="AJ80" s="91"/>
      <c r="AK80" s="92"/>
      <c r="AL80" s="51">
        <f>+'[2]Rates in summary'!Q68</f>
        <v>0.37471000000000004</v>
      </c>
      <c r="AM80" s="91"/>
      <c r="AN80" s="90"/>
      <c r="AO80" s="3"/>
      <c r="AP80" s="8"/>
      <c r="AQ80" s="4">
        <f t="shared" si="34"/>
        <v>0</v>
      </c>
      <c r="AR80" s="4">
        <f t="shared" si="35"/>
        <v>0</v>
      </c>
      <c r="AS80" s="4">
        <f t="shared" si="36"/>
        <v>-4.5000000000000595E-4</v>
      </c>
      <c r="AT80" s="4">
        <f t="shared" si="37"/>
        <v>-4.5000000000000595E-4</v>
      </c>
      <c r="AU80" s="89">
        <f>+'[2]Rates in summary'!D68+[2]Temporaries!K68+[2]Temporaries!M68+[2]Temporaries!L68-[2]Temporaries!AZ68</f>
        <v>0.37336000000000003</v>
      </c>
      <c r="AV80" s="29"/>
      <c r="AW80" s="88"/>
      <c r="AX80" s="51"/>
      <c r="AY80" s="51"/>
      <c r="AZ80" s="51"/>
      <c r="BA80" s="51"/>
    </row>
    <row r="81" spans="1:53" x14ac:dyDescent="0.35">
      <c r="A81" s="7">
        <f t="shared" si="33"/>
        <v>75</v>
      </c>
      <c r="B81" s="7"/>
      <c r="C81" s="103" t="s">
        <v>59</v>
      </c>
      <c r="D81" s="102">
        <f>+'[2]Washington volumes'!J69</f>
        <v>0</v>
      </c>
      <c r="E81" s="102">
        <v>20000</v>
      </c>
      <c r="F81" s="100"/>
      <c r="G81" s="300"/>
      <c r="H81" s="301"/>
      <c r="I81" s="300"/>
      <c r="J81" s="301"/>
      <c r="K81" s="91"/>
      <c r="L81" s="51">
        <f>+'[2]Rates in summary'!D69</f>
        <v>0.34404999999999997</v>
      </c>
      <c r="M81" s="91"/>
      <c r="N81" s="51">
        <f>'[2]Rates in summary'!D69+[2]Temporaries!K69+[2]Temporaries!L69+[2]Temporaries!M69-[2]Temporaries!AX69</f>
        <v>0.34404999999999997</v>
      </c>
      <c r="O81" s="91"/>
      <c r="P81" s="93"/>
      <c r="Q81" s="51">
        <f>'[2]Rates in summary'!D69+[2]Temporaries!N69+[2]Temporaries!O69-[2]Temporaries!AY69</f>
        <v>0.34404999999999997</v>
      </c>
      <c r="R81" s="91"/>
      <c r="S81" s="93"/>
      <c r="T81" s="99">
        <f>'[2]Rates in detail'!D69+[2]Temporaries!T69-[2]Temporaries!BD69+[2]Temporaries!S69-[2]Temporaries!BC69+[2]Temporaries!P69-[2]Temporaries!BB69++[2]Temporaries!Q69-[2]Temporaries!AW69</f>
        <v>0.34345999999999999</v>
      </c>
      <c r="U81" s="98"/>
      <c r="V81" s="97"/>
      <c r="W81" s="51">
        <f>'[2]Rates in summary'!D69+[2]Temporaries!R69-[2]Temporaries!AZ69</f>
        <v>0.34412999999999999</v>
      </c>
      <c r="X81" s="91"/>
      <c r="Y81" s="93"/>
      <c r="Z81" s="51">
        <f>'[2]Rates in summary'!D69+[2]Permanents!F69</f>
        <v>0.34404999999999997</v>
      </c>
      <c r="AA81" s="91"/>
      <c r="AB81" s="93"/>
      <c r="AC81" s="96">
        <f>'[2]Rates in summary'!D69+[2]Temporaries!U69-[2]Temporaries!BE69</f>
        <v>0.34404999999999997</v>
      </c>
      <c r="AD81" s="95"/>
      <c r="AE81" s="94"/>
      <c r="AF81" s="51">
        <f>'[2]Rates in summary'!D69+[2]Temporaries!V69-[2]Temporaries!BF69</f>
        <v>0.34404999999999997</v>
      </c>
      <c r="AG81" s="91"/>
      <c r="AH81" s="93"/>
      <c r="AI81" s="51">
        <f>'[2]Rates in summary'!G69+[2]Temporaries!J69</f>
        <v>0.34404999999999997</v>
      </c>
      <c r="AJ81" s="91"/>
      <c r="AK81" s="92"/>
      <c r="AL81" s="51">
        <f>+'[2]Rates in summary'!Q69</f>
        <v>0.34353999999999996</v>
      </c>
      <c r="AM81" s="91"/>
      <c r="AN81" s="90"/>
      <c r="AO81" s="3"/>
      <c r="AP81" s="8"/>
      <c r="AQ81" s="4">
        <f t="shared" si="34"/>
        <v>0</v>
      </c>
      <c r="AR81" s="4">
        <f t="shared" si="35"/>
        <v>0</v>
      </c>
      <c r="AS81" s="4">
        <f t="shared" si="36"/>
        <v>-5.1000000000001044E-4</v>
      </c>
      <c r="AT81" s="4">
        <f t="shared" si="37"/>
        <v>-5.1000000000001044E-4</v>
      </c>
      <c r="AU81" s="89">
        <f>+'[2]Rates in summary'!D69+[2]Temporaries!K69+[2]Temporaries!M69+[2]Temporaries!L69-[2]Temporaries!AZ69</f>
        <v>0.34266999999999997</v>
      </c>
      <c r="AV81" s="29"/>
      <c r="AW81" s="88"/>
      <c r="AX81" s="51"/>
      <c r="AY81" s="51"/>
      <c r="AZ81" s="51"/>
      <c r="BA81" s="51"/>
    </row>
    <row r="82" spans="1:53" x14ac:dyDescent="0.35">
      <c r="A82" s="7">
        <f t="shared" si="33"/>
        <v>76</v>
      </c>
      <c r="B82" s="7"/>
      <c r="C82" s="103" t="s">
        <v>60</v>
      </c>
      <c r="D82" s="102">
        <f>+'[2]Washington volumes'!J70</f>
        <v>0</v>
      </c>
      <c r="E82" s="102">
        <v>100000</v>
      </c>
      <c r="F82" s="100"/>
      <c r="G82" s="300"/>
      <c r="H82" s="301"/>
      <c r="I82" s="300"/>
      <c r="J82" s="301"/>
      <c r="K82" s="91"/>
      <c r="L82" s="51">
        <f>+'[2]Rates in summary'!D70</f>
        <v>0.3236</v>
      </c>
      <c r="M82" s="91"/>
      <c r="N82" s="51">
        <f>'[2]Rates in summary'!D70+[2]Temporaries!K70+[2]Temporaries!L70+[2]Temporaries!M70-[2]Temporaries!AX70</f>
        <v>0.3236</v>
      </c>
      <c r="O82" s="91"/>
      <c r="P82" s="93"/>
      <c r="Q82" s="51">
        <f>'[2]Rates in summary'!D70+[2]Temporaries!N70+[2]Temporaries!O70-[2]Temporaries!AY70</f>
        <v>0.3236</v>
      </c>
      <c r="R82" s="91"/>
      <c r="S82" s="93"/>
      <c r="T82" s="99">
        <f>'[2]Rates in detail'!D70+[2]Temporaries!T70-[2]Temporaries!BD70+[2]Temporaries!S70-[2]Temporaries!BC70+[2]Temporaries!P70-[2]Temporaries!BB70++[2]Temporaries!Q70-[2]Temporaries!AW70</f>
        <v>0.32300000000000001</v>
      </c>
      <c r="U82" s="98"/>
      <c r="V82" s="97"/>
      <c r="W82" s="51">
        <f>'[2]Rates in summary'!D70+[2]Temporaries!R70-[2]Temporaries!AZ70</f>
        <v>0.32366</v>
      </c>
      <c r="X82" s="91"/>
      <c r="Y82" s="93"/>
      <c r="Z82" s="51">
        <f>'[2]Rates in summary'!D70+[2]Permanents!F70</f>
        <v>0.3236</v>
      </c>
      <c r="AA82" s="91"/>
      <c r="AB82" s="93"/>
      <c r="AC82" s="96">
        <f>'[2]Rates in summary'!D70+[2]Temporaries!U70-[2]Temporaries!BE70</f>
        <v>0.3236</v>
      </c>
      <c r="AD82" s="95"/>
      <c r="AE82" s="94"/>
      <c r="AF82" s="51">
        <f>'[2]Rates in summary'!D70+[2]Temporaries!V70-[2]Temporaries!BF70</f>
        <v>0.3236</v>
      </c>
      <c r="AG82" s="91"/>
      <c r="AH82" s="93"/>
      <c r="AI82" s="51">
        <f>'[2]Rates in summary'!G70+[2]Temporaries!J70</f>
        <v>0.3236</v>
      </c>
      <c r="AJ82" s="91"/>
      <c r="AK82" s="92"/>
      <c r="AL82" s="51">
        <f>+'[2]Rates in summary'!Q70</f>
        <v>0.32306000000000001</v>
      </c>
      <c r="AM82" s="91"/>
      <c r="AN82" s="90"/>
      <c r="AO82" s="3"/>
      <c r="AP82" s="8"/>
      <c r="AQ82" s="4">
        <f t="shared" si="34"/>
        <v>0</v>
      </c>
      <c r="AR82" s="4">
        <f t="shared" si="35"/>
        <v>0</v>
      </c>
      <c r="AS82" s="4">
        <f t="shared" si="36"/>
        <v>-5.3999999999998494E-4</v>
      </c>
      <c r="AT82" s="4">
        <f t="shared" si="37"/>
        <v>-5.3999999999998494E-4</v>
      </c>
      <c r="AU82" s="89">
        <f>+'[2]Rates in summary'!D70+[2]Temporaries!K70+[2]Temporaries!M70+[2]Temporaries!L70-[2]Temporaries!AZ70</f>
        <v>0.32249</v>
      </c>
      <c r="AV82" s="29"/>
      <c r="AW82" s="88"/>
      <c r="AX82" s="51"/>
      <c r="AY82" s="51"/>
      <c r="AZ82" s="51"/>
      <c r="BA82" s="51"/>
    </row>
    <row r="83" spans="1:53" x14ac:dyDescent="0.35">
      <c r="A83" s="7">
        <f t="shared" si="33"/>
        <v>77</v>
      </c>
      <c r="B83" s="7"/>
      <c r="C83" s="103" t="s">
        <v>61</v>
      </c>
      <c r="D83" s="102">
        <f>+'[2]Washington volumes'!J71</f>
        <v>0</v>
      </c>
      <c r="E83" s="102">
        <v>600000</v>
      </c>
      <c r="F83" s="100"/>
      <c r="G83" s="300"/>
      <c r="H83" s="301"/>
      <c r="I83" s="300"/>
      <c r="J83" s="301"/>
      <c r="K83" s="91"/>
      <c r="L83" s="51">
        <f>+'[2]Rates in summary'!D71</f>
        <v>0.29632999999999998</v>
      </c>
      <c r="M83" s="91"/>
      <c r="N83" s="51">
        <f>'[2]Rates in summary'!D71+[2]Temporaries!K71+[2]Temporaries!L71+[2]Temporaries!M71-[2]Temporaries!AX71</f>
        <v>0.29632999999999998</v>
      </c>
      <c r="O83" s="91"/>
      <c r="P83" s="93"/>
      <c r="Q83" s="51">
        <f>'[2]Rates in summary'!D71+[2]Temporaries!N71+[2]Temporaries!O71-[2]Temporaries!AY71</f>
        <v>0.29632999999999998</v>
      </c>
      <c r="R83" s="91"/>
      <c r="S83" s="93"/>
      <c r="T83" s="99">
        <f>'[2]Rates in detail'!D71+[2]Temporaries!T71-[2]Temporaries!BD71+[2]Temporaries!S71-[2]Temporaries!BC71+[2]Temporaries!P71-[2]Temporaries!BB71++[2]Temporaries!Q71-[2]Temporaries!AW71</f>
        <v>0.29570000000000002</v>
      </c>
      <c r="U83" s="98"/>
      <c r="V83" s="97"/>
      <c r="W83" s="51">
        <f>'[2]Rates in summary'!D71+[2]Temporaries!R71-[2]Temporaries!AZ71</f>
        <v>0.29636999999999997</v>
      </c>
      <c r="X83" s="91"/>
      <c r="Y83" s="93"/>
      <c r="Z83" s="51">
        <f>'[2]Rates in summary'!D71+[2]Permanents!F71</f>
        <v>0.29632999999999998</v>
      </c>
      <c r="AA83" s="91"/>
      <c r="AB83" s="93"/>
      <c r="AC83" s="96">
        <f>'[2]Rates in summary'!D71+[2]Temporaries!U71-[2]Temporaries!BE71</f>
        <v>0.29632999999999998</v>
      </c>
      <c r="AD83" s="95"/>
      <c r="AE83" s="94"/>
      <c r="AF83" s="51">
        <f>'[2]Rates in summary'!D71+[2]Temporaries!V71-[2]Temporaries!BF71</f>
        <v>0.29632999999999998</v>
      </c>
      <c r="AG83" s="91"/>
      <c r="AH83" s="93"/>
      <c r="AI83" s="51">
        <f>'[2]Rates in summary'!G71+[2]Temporaries!J71</f>
        <v>0.29632999999999998</v>
      </c>
      <c r="AJ83" s="91"/>
      <c r="AK83" s="92"/>
      <c r="AL83" s="51">
        <f>+'[2]Rates in summary'!Q71</f>
        <v>0.29574</v>
      </c>
      <c r="AM83" s="91"/>
      <c r="AN83" s="90"/>
      <c r="AO83" s="3"/>
      <c r="AP83" s="8"/>
      <c r="AQ83" s="4">
        <f t="shared" si="34"/>
        <v>0</v>
      </c>
      <c r="AR83" s="4">
        <f t="shared" si="35"/>
        <v>0</v>
      </c>
      <c r="AS83" s="4">
        <f t="shared" si="36"/>
        <v>-5.8999999999997943E-4</v>
      </c>
      <c r="AT83" s="4">
        <f t="shared" si="37"/>
        <v>-5.8999999999997943E-4</v>
      </c>
      <c r="AU83" s="89">
        <f>+'[2]Rates in summary'!D71+[2]Temporaries!K71+[2]Temporaries!M71+[2]Temporaries!L71-[2]Temporaries!AZ71</f>
        <v>0.29558999999999996</v>
      </c>
      <c r="AV83" s="89"/>
      <c r="AW83" s="88"/>
      <c r="AX83" s="51"/>
      <c r="AY83" s="51"/>
      <c r="AZ83" s="51"/>
      <c r="BA83" s="51"/>
    </row>
    <row r="84" spans="1:53" x14ac:dyDescent="0.35">
      <c r="A84" s="7">
        <f t="shared" si="33"/>
        <v>78</v>
      </c>
      <c r="B84" s="7"/>
      <c r="C84" s="103" t="s">
        <v>62</v>
      </c>
      <c r="D84" s="102">
        <f>+'[2]Washington volumes'!J72</f>
        <v>0</v>
      </c>
      <c r="E84" s="101" t="s">
        <v>51</v>
      </c>
      <c r="F84" s="100"/>
      <c r="G84" s="300"/>
      <c r="H84" s="301"/>
      <c r="I84" s="300"/>
      <c r="J84" s="301"/>
      <c r="K84" s="91"/>
      <c r="L84" s="51">
        <f>+'[2]Rates in summary'!D72</f>
        <v>0.26221000000000005</v>
      </c>
      <c r="M84" s="91"/>
      <c r="N84" s="51">
        <f>'[2]Rates in summary'!D72+[2]Temporaries!K72+[2]Temporaries!L72+[2]Temporaries!M72-[2]Temporaries!AX72</f>
        <v>0.26221000000000005</v>
      </c>
      <c r="O84" s="91"/>
      <c r="P84" s="93"/>
      <c r="Q84" s="51">
        <f>'[2]Rates in summary'!D72+[2]Temporaries!N72+[2]Temporaries!O72-[2]Temporaries!AY72</f>
        <v>0.26221000000000005</v>
      </c>
      <c r="R84" s="91"/>
      <c r="S84" s="93"/>
      <c r="T84" s="99">
        <f>'[2]Rates in detail'!D72+[2]Temporaries!T72-[2]Temporaries!BD72+[2]Temporaries!S72-[2]Temporaries!BC72+[2]Temporaries!P72-[2]Temporaries!BB72++[2]Temporaries!Q72-[2]Temporaries!AW72</f>
        <v>0.26155000000000012</v>
      </c>
      <c r="U84" s="98"/>
      <c r="V84" s="97"/>
      <c r="W84" s="51">
        <f>'[2]Rates in summary'!D72+[2]Temporaries!R72-[2]Temporaries!AZ72</f>
        <v>0.26222000000000006</v>
      </c>
      <c r="X84" s="91"/>
      <c r="Y84" s="93"/>
      <c r="Z84" s="51">
        <f>'[2]Rates in summary'!D72+[2]Permanents!F72</f>
        <v>0.26221000000000005</v>
      </c>
      <c r="AA84" s="91"/>
      <c r="AB84" s="93"/>
      <c r="AC84" s="96">
        <f>'[2]Rates in summary'!D72+[2]Temporaries!U72-[2]Temporaries!BE72</f>
        <v>0.26221000000000005</v>
      </c>
      <c r="AD84" s="95"/>
      <c r="AE84" s="94"/>
      <c r="AF84" s="51">
        <f>'[2]Rates in summary'!D72+[2]Temporaries!V72-[2]Temporaries!BF72</f>
        <v>0.26221000000000005</v>
      </c>
      <c r="AG84" s="91"/>
      <c r="AH84" s="93"/>
      <c r="AI84" s="51">
        <f>'[2]Rates in summary'!G72+[2]Temporaries!J72</f>
        <v>0.26221000000000005</v>
      </c>
      <c r="AJ84" s="91"/>
      <c r="AK84" s="92"/>
      <c r="AL84" s="51">
        <f>+'[2]Rates in summary'!Q72</f>
        <v>0.26156000000000007</v>
      </c>
      <c r="AM84" s="91"/>
      <c r="AN84" s="90"/>
      <c r="AO84" s="3"/>
      <c r="AP84" s="8"/>
      <c r="AQ84" s="4">
        <f t="shared" si="34"/>
        <v>0</v>
      </c>
      <c r="AR84" s="4">
        <f t="shared" si="35"/>
        <v>0</v>
      </c>
      <c r="AS84" s="4">
        <f t="shared" si="36"/>
        <v>-6.4999999999998392E-4</v>
      </c>
      <c r="AT84" s="4">
        <f t="shared" si="37"/>
        <v>-6.4999999999998392E-4</v>
      </c>
      <c r="AU84" s="89">
        <f>+'[2]Rates in summary'!D72+[2]Temporaries!K72+[2]Temporaries!M72+[2]Temporaries!L72-[2]Temporaries!AZ72</f>
        <v>0.26193000000000005</v>
      </c>
      <c r="AV84" s="89"/>
      <c r="AW84" s="88"/>
      <c r="AX84" s="51"/>
      <c r="AY84" s="51"/>
      <c r="AZ84" s="51"/>
      <c r="BA84" s="51"/>
    </row>
    <row r="85" spans="1:53" x14ac:dyDescent="0.35">
      <c r="A85" s="7">
        <f t="shared" si="33"/>
        <v>79</v>
      </c>
      <c r="B85" s="69"/>
      <c r="C85" s="87" t="s">
        <v>52</v>
      </c>
      <c r="D85" s="86"/>
      <c r="E85" s="85"/>
      <c r="F85" s="84"/>
      <c r="G85" s="302"/>
      <c r="H85" s="303"/>
      <c r="I85" s="302"/>
      <c r="J85" s="303"/>
      <c r="K85" s="74"/>
      <c r="L85" s="83"/>
      <c r="M85" s="74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74"/>
      <c r="O85" s="74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56">
        <f>ROUND((O85-M85)/M85,3)</f>
        <v>0</v>
      </c>
      <c r="Q85" s="74"/>
      <c r="R85" s="74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56">
        <f>ROUND((R85-M85)/M85,3)</f>
        <v>0</v>
      </c>
      <c r="T85" s="105"/>
      <c r="U85" s="81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80">
        <f>ROUND((U85-M85)/M85,3)</f>
        <v>0</v>
      </c>
      <c r="W85" s="74"/>
      <c r="X85" s="74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79">
        <f>(X85-M85)/M85</f>
        <v>0</v>
      </c>
      <c r="Z85" s="83"/>
      <c r="AA85" s="74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56">
        <f>(AA85-M85)/M85</f>
        <v>0</v>
      </c>
      <c r="AC85" s="104"/>
      <c r="AD85" s="77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57">
        <f>(AD85-M85)/M85</f>
        <v>0</v>
      </c>
      <c r="AF85" s="83"/>
      <c r="AG85" s="74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56">
        <f>(AG85-M85)/M85</f>
        <v>0</v>
      </c>
      <c r="AI85" s="76"/>
      <c r="AJ85" s="74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75">
        <f>ROUND((AJ85-M85)/M85,3)</f>
        <v>0</v>
      </c>
      <c r="AL85" s="51"/>
      <c r="AM85" s="74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73">
        <f>ROUND((AM85-M85)/M85,3)</f>
        <v>0</v>
      </c>
      <c r="AO85" s="3"/>
      <c r="AP85" s="8"/>
      <c r="AQ85" s="4">
        <f t="shared" si="34"/>
        <v>0</v>
      </c>
      <c r="AR85" s="4">
        <f t="shared" si="35"/>
        <v>0</v>
      </c>
      <c r="AS85" s="4">
        <f t="shared" si="36"/>
        <v>0</v>
      </c>
      <c r="AT85" s="4">
        <f t="shared" si="37"/>
        <v>0</v>
      </c>
      <c r="AU85" s="72"/>
      <c r="AV85" s="71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70">
        <f>ROUND((AV85-M85)/M85,3)</f>
        <v>0</v>
      </c>
      <c r="AX85" s="51"/>
      <c r="AY85" s="51"/>
      <c r="AZ85" s="51"/>
      <c r="BA85" s="51"/>
    </row>
    <row r="86" spans="1:53" x14ac:dyDescent="0.35">
      <c r="A86" s="7">
        <f t="shared" si="33"/>
        <v>80</v>
      </c>
      <c r="B86" s="7" t="s">
        <v>69</v>
      </c>
      <c r="C86" s="103" t="s">
        <v>49</v>
      </c>
      <c r="D86" s="102">
        <f>+'[2]Washington volumes'!J73</f>
        <v>952237.06746634038</v>
      </c>
      <c r="E86" s="102">
        <v>10000</v>
      </c>
      <c r="F86" s="100">
        <v>95634</v>
      </c>
      <c r="G86" s="300">
        <f>1300+250</f>
        <v>1550</v>
      </c>
      <c r="H86" s="300">
        <f>'[4]Aver Bill by RS'!$J86</f>
        <v>3945.7691048183847</v>
      </c>
      <c r="I86" s="300">
        <f>G86-(IF(H86&gt;(F86*$H$3),(F86*$H$3),H86))</f>
        <v>-2395.7691048183847</v>
      </c>
      <c r="J86" s="300">
        <f>'[4]Aver Bill by RS'!$J86</f>
        <v>3945.7691048183847</v>
      </c>
      <c r="K86" s="91">
        <f>G86-(IF(J86&gt;($F86*$H$4),($F86*$H$4),J86))</f>
        <v>-2395.7691048183847</v>
      </c>
      <c r="L86" s="51">
        <f>+'[2]Rates in summary'!D73</f>
        <v>0.39346999999999999</v>
      </c>
      <c r="M86" s="91"/>
      <c r="N86" s="51">
        <f>'[2]Rates in summary'!D73+[2]Temporaries!K73+[2]Temporaries!L73+[2]Temporaries!M73-[2]Temporaries!AX73</f>
        <v>0.39346999999999999</v>
      </c>
      <c r="O86" s="91"/>
      <c r="P86" s="93"/>
      <c r="Q86" s="51">
        <f>'[2]Rates in summary'!D73+[2]Temporaries!N73+[2]Temporaries!O73-[2]Temporaries!AY73</f>
        <v>0.39346999999999999</v>
      </c>
      <c r="R86" s="91"/>
      <c r="S86" s="93"/>
      <c r="T86" s="99">
        <f>'[2]Rates in detail'!D73+[2]Temporaries!T73-[2]Temporaries!BD73+[2]Temporaries!S73-[2]Temporaries!BC73+[2]Temporaries!P73-[2]Temporaries!BB73++[2]Temporaries!Q73-[2]Temporaries!AW73</f>
        <v>0.39283000000000007</v>
      </c>
      <c r="U86" s="98"/>
      <c r="V86" s="97"/>
      <c r="W86" s="51">
        <f>'[2]Rates in summary'!D73+[2]Temporaries!R73-[2]Temporaries!AZ73</f>
        <v>0.39356999999999998</v>
      </c>
      <c r="X86" s="91"/>
      <c r="Y86" s="93"/>
      <c r="Z86" s="51">
        <f>'[2]Rates in summary'!D73+[2]Permanents!F73</f>
        <v>0.39346999999999999</v>
      </c>
      <c r="AA86" s="91"/>
      <c r="AB86" s="93"/>
      <c r="AC86" s="96">
        <f>'[2]Rates in summary'!D73+[2]Temporaries!U73-[2]Temporaries!BE73</f>
        <v>0.39346999999999999</v>
      </c>
      <c r="AD86" s="95"/>
      <c r="AE86" s="94"/>
      <c r="AF86" s="51">
        <f>'[2]Rates in summary'!D73+[2]Temporaries!V73-[2]Temporaries!BF73</f>
        <v>0.39346999999999999</v>
      </c>
      <c r="AG86" s="91"/>
      <c r="AH86" s="93"/>
      <c r="AI86" s="51">
        <f>'[2]Rates in summary'!G73+[2]Temporaries!J73</f>
        <v>0.39346999999999999</v>
      </c>
      <c r="AJ86" s="91"/>
      <c r="AK86" s="92"/>
      <c r="AL86" s="51">
        <f>+'[2]Rates in summary'!Q73</f>
        <v>0.39293</v>
      </c>
      <c r="AM86" s="91"/>
      <c r="AN86" s="90"/>
      <c r="AO86" s="3"/>
      <c r="AP86" s="8"/>
      <c r="AQ86" s="4">
        <f t="shared" si="34"/>
        <v>0</v>
      </c>
      <c r="AR86" s="4">
        <f t="shared" si="35"/>
        <v>0</v>
      </c>
      <c r="AS86" s="4">
        <f t="shared" si="36"/>
        <v>-5.3999999999998494E-4</v>
      </c>
      <c r="AT86" s="4">
        <f t="shared" si="37"/>
        <v>-5.3999999999998494E-4</v>
      </c>
      <c r="AU86" s="89">
        <f>+'[2]Rates in summary'!D80+[2]Temporaries!K74+[2]Temporaries!M74+[2]Temporaries!L74-[2]Temporaries!AZ74</f>
        <v>0.24504999999999996</v>
      </c>
      <c r="AV86" s="29"/>
      <c r="AW86" s="88"/>
      <c r="AX86" s="51"/>
      <c r="AY86" s="51"/>
      <c r="AZ86" s="51"/>
      <c r="BA86" s="51"/>
    </row>
    <row r="87" spans="1:53" x14ac:dyDescent="0.35">
      <c r="A87" s="7">
        <f t="shared" si="33"/>
        <v>81</v>
      </c>
      <c r="B87" s="7"/>
      <c r="C87" s="103" t="s">
        <v>50</v>
      </c>
      <c r="D87" s="102">
        <f>+'[2]Washington volumes'!J74</f>
        <v>1827774.6796347289</v>
      </c>
      <c r="E87" s="102">
        <v>20000</v>
      </c>
      <c r="F87" s="100"/>
      <c r="G87" s="300"/>
      <c r="H87" s="301"/>
      <c r="I87" s="300"/>
      <c r="J87" s="301"/>
      <c r="K87" s="91"/>
      <c r="L87" s="51">
        <f>+'[2]Rates in summary'!D74</f>
        <v>0.37758000000000003</v>
      </c>
      <c r="M87" s="91"/>
      <c r="N87" s="51">
        <f>'[2]Rates in summary'!D74+[2]Temporaries!K74+[2]Temporaries!L74+[2]Temporaries!M74-[2]Temporaries!AX74</f>
        <v>0.37758000000000003</v>
      </c>
      <c r="O87" s="91"/>
      <c r="P87" s="93"/>
      <c r="Q87" s="51">
        <f>'[2]Rates in summary'!D74+[2]Temporaries!N74+[2]Temporaries!O74-[2]Temporaries!AY74</f>
        <v>0.37758000000000003</v>
      </c>
      <c r="R87" s="91"/>
      <c r="S87" s="93"/>
      <c r="T87" s="99">
        <f>'[2]Rates in detail'!D74+[2]Temporaries!T74-[2]Temporaries!BD74+[2]Temporaries!S74-[2]Temporaries!BC74+[2]Temporaries!P74-[2]Temporaries!BB74++[2]Temporaries!Q74-[2]Temporaries!AW74</f>
        <v>0.37693000000000004</v>
      </c>
      <c r="U87" s="98"/>
      <c r="V87" s="97"/>
      <c r="W87" s="51">
        <f>'[2]Rates in summary'!D74+[2]Temporaries!R74-[2]Temporaries!AZ74</f>
        <v>0.37767000000000001</v>
      </c>
      <c r="X87" s="91"/>
      <c r="Y87" s="93"/>
      <c r="Z87" s="51">
        <f>'[2]Rates in summary'!D74+[2]Permanents!F74</f>
        <v>0.37758000000000003</v>
      </c>
      <c r="AA87" s="91"/>
      <c r="AB87" s="93"/>
      <c r="AC87" s="96">
        <f>'[2]Rates in summary'!D74+[2]Temporaries!U74-[2]Temporaries!BE74</f>
        <v>0.37758000000000003</v>
      </c>
      <c r="AD87" s="95"/>
      <c r="AE87" s="94"/>
      <c r="AF87" s="51">
        <f>'[2]Rates in summary'!D74+[2]Temporaries!V74-[2]Temporaries!BF74</f>
        <v>0.37758000000000003</v>
      </c>
      <c r="AG87" s="91"/>
      <c r="AH87" s="93"/>
      <c r="AI87" s="51">
        <f>'[2]Rates in summary'!G74+[2]Temporaries!J74</f>
        <v>0.37758000000000003</v>
      </c>
      <c r="AJ87" s="91"/>
      <c r="AK87" s="92"/>
      <c r="AL87" s="51">
        <f>+'[2]Rates in summary'!Q74</f>
        <v>0.37702000000000002</v>
      </c>
      <c r="AM87" s="91"/>
      <c r="AN87" s="90"/>
      <c r="AO87" s="3"/>
      <c r="AP87" s="8"/>
      <c r="AQ87" s="4">
        <f t="shared" si="34"/>
        <v>0</v>
      </c>
      <c r="AR87" s="4">
        <f t="shared" si="35"/>
        <v>0</v>
      </c>
      <c r="AS87" s="4">
        <f t="shared" si="36"/>
        <v>-5.6000000000000494E-4</v>
      </c>
      <c r="AT87" s="4">
        <f t="shared" si="37"/>
        <v>-5.6000000000000494E-4</v>
      </c>
      <c r="AU87" s="89">
        <f>+'[2]Rates in summary'!D81+[2]Temporaries!K75+[2]Temporaries!M75+[2]Temporaries!L75-[2]Temporaries!AZ75</f>
        <v>-1.3799999999999999E-3</v>
      </c>
      <c r="AV87" s="29"/>
      <c r="AW87" s="88"/>
      <c r="AX87" s="51"/>
      <c r="AY87" s="51"/>
      <c r="AZ87" s="51"/>
      <c r="BA87" s="51"/>
    </row>
    <row r="88" spans="1:53" x14ac:dyDescent="0.35">
      <c r="A88" s="7">
        <f t="shared" si="33"/>
        <v>82</v>
      </c>
      <c r="B88" s="7"/>
      <c r="C88" s="103" t="s">
        <v>59</v>
      </c>
      <c r="D88" s="102">
        <f>+'[2]Washington volumes'!J75</f>
        <v>1364375.8495009863</v>
      </c>
      <c r="E88" s="102">
        <v>20000</v>
      </c>
      <c r="F88" s="100"/>
      <c r="G88" s="300"/>
      <c r="H88" s="301"/>
      <c r="I88" s="300"/>
      <c r="J88" s="301"/>
      <c r="K88" s="91"/>
      <c r="L88" s="51">
        <f>+'[2]Rates in summary'!D75</f>
        <v>0.34592000000000001</v>
      </c>
      <c r="M88" s="91"/>
      <c r="N88" s="51">
        <f>'[2]Rates in summary'!D75+[2]Temporaries!K75+[2]Temporaries!L75+[2]Temporaries!M75-[2]Temporaries!AX75</f>
        <v>0.34592000000000001</v>
      </c>
      <c r="O88" s="91"/>
      <c r="P88" s="93"/>
      <c r="Q88" s="51">
        <f>'[2]Rates in summary'!D75+[2]Temporaries!N75+[2]Temporaries!O75-[2]Temporaries!AY75</f>
        <v>0.34592000000000001</v>
      </c>
      <c r="R88" s="91"/>
      <c r="S88" s="93"/>
      <c r="T88" s="99">
        <f>'[2]Rates in detail'!D75+[2]Temporaries!T75-[2]Temporaries!BD75+[2]Temporaries!S75-[2]Temporaries!BC75+[2]Temporaries!P75-[2]Temporaries!BB75++[2]Temporaries!Q75-[2]Temporaries!AW75</f>
        <v>0.34525000000000006</v>
      </c>
      <c r="U88" s="98"/>
      <c r="V88" s="97"/>
      <c r="W88" s="51">
        <f>'[2]Rates in summary'!D75+[2]Temporaries!R75-[2]Temporaries!AZ75</f>
        <v>0.34599000000000002</v>
      </c>
      <c r="X88" s="91"/>
      <c r="Y88" s="93"/>
      <c r="Z88" s="51">
        <f>'[2]Rates in summary'!D75+[2]Permanents!F75</f>
        <v>0.34592000000000001</v>
      </c>
      <c r="AA88" s="91"/>
      <c r="AB88" s="93"/>
      <c r="AC88" s="96">
        <f>'[2]Rates in summary'!D75+[2]Temporaries!U75-[2]Temporaries!BE75</f>
        <v>0.34592000000000001</v>
      </c>
      <c r="AD88" s="95"/>
      <c r="AE88" s="94"/>
      <c r="AF88" s="51">
        <f>'[2]Rates in summary'!D75+[2]Temporaries!V75-[2]Temporaries!BF75</f>
        <v>0.34592000000000001</v>
      </c>
      <c r="AG88" s="91"/>
      <c r="AH88" s="93"/>
      <c r="AI88" s="51">
        <f>'[2]Rates in summary'!G75+[2]Temporaries!J75</f>
        <v>0.34592000000000001</v>
      </c>
      <c r="AJ88" s="91"/>
      <c r="AK88" s="92"/>
      <c r="AL88" s="51">
        <f>+'[2]Rates in summary'!Q75</f>
        <v>0.34531999999999996</v>
      </c>
      <c r="AM88" s="91"/>
      <c r="AN88" s="90"/>
      <c r="AO88" s="3"/>
      <c r="AP88" s="8"/>
      <c r="AQ88" s="4">
        <f t="shared" si="34"/>
        <v>0</v>
      </c>
      <c r="AR88" s="4">
        <f t="shared" si="35"/>
        <v>0</v>
      </c>
      <c r="AS88" s="4">
        <f t="shared" si="36"/>
        <v>-6.0000000000004494E-4</v>
      </c>
      <c r="AT88" s="4">
        <f t="shared" si="37"/>
        <v>-6.0000000000004494E-4</v>
      </c>
      <c r="AU88" s="89">
        <f>+'[2]Rates in summary'!D82+[2]Temporaries!K76+[2]Temporaries!M76+[2]Temporaries!L76-[2]Temporaries!AZ76</f>
        <v>-1.1000000000000001E-3</v>
      </c>
      <c r="AV88" s="29"/>
      <c r="AW88" s="88"/>
      <c r="AX88" s="51"/>
      <c r="AY88" s="51"/>
      <c r="AZ88" s="51"/>
      <c r="BA88" s="51"/>
    </row>
    <row r="89" spans="1:53" x14ac:dyDescent="0.35">
      <c r="A89" s="7">
        <f t="shared" si="33"/>
        <v>83</v>
      </c>
      <c r="B89" s="7"/>
      <c r="C89" s="103" t="s">
        <v>60</v>
      </c>
      <c r="D89" s="102">
        <f>+'[2]Washington volumes'!J76</f>
        <v>4116253.0789308902</v>
      </c>
      <c r="E89" s="102">
        <v>100000</v>
      </c>
      <c r="F89" s="100"/>
      <c r="G89" s="300"/>
      <c r="H89" s="301"/>
      <c r="I89" s="300"/>
      <c r="J89" s="301"/>
      <c r="K89" s="91"/>
      <c r="L89" s="51">
        <f>+'[2]Rates in summary'!D76</f>
        <v>0.32511000000000001</v>
      </c>
      <c r="M89" s="91"/>
      <c r="N89" s="51">
        <f>'[2]Rates in summary'!D76+[2]Temporaries!K76+[2]Temporaries!L76+[2]Temporaries!M76-[2]Temporaries!AX76</f>
        <v>0.32511000000000001</v>
      </c>
      <c r="O89" s="91"/>
      <c r="P89" s="93"/>
      <c r="Q89" s="51">
        <f>'[2]Rates in summary'!D76+[2]Temporaries!N76+[2]Temporaries!O76-[2]Temporaries!AY76</f>
        <v>0.32511000000000001</v>
      </c>
      <c r="R89" s="91"/>
      <c r="S89" s="93"/>
      <c r="T89" s="99">
        <f>'[2]Rates in detail'!D76+[2]Temporaries!T76-[2]Temporaries!BD76+[2]Temporaries!S76-[2]Temporaries!BC76+[2]Temporaries!P76-[2]Temporaries!BB76++[2]Temporaries!Q76-[2]Temporaries!AW76</f>
        <v>0.32443000000000005</v>
      </c>
      <c r="U89" s="98"/>
      <c r="V89" s="97"/>
      <c r="W89" s="51">
        <f>'[2]Rates in summary'!D76+[2]Temporaries!R76-[2]Temporaries!AZ76</f>
        <v>0.32517000000000001</v>
      </c>
      <c r="X89" s="91"/>
      <c r="Y89" s="93"/>
      <c r="Z89" s="51">
        <f>'[2]Rates in summary'!D76+[2]Permanents!F76</f>
        <v>0.32511000000000001</v>
      </c>
      <c r="AA89" s="91"/>
      <c r="AB89" s="93"/>
      <c r="AC89" s="96">
        <f>'[2]Rates in summary'!D76+[2]Temporaries!U76-[2]Temporaries!BE76</f>
        <v>0.32511000000000001</v>
      </c>
      <c r="AD89" s="95"/>
      <c r="AE89" s="94"/>
      <c r="AF89" s="51">
        <f>'[2]Rates in summary'!D76+[2]Temporaries!V76-[2]Temporaries!BF76</f>
        <v>0.32511000000000001</v>
      </c>
      <c r="AG89" s="91"/>
      <c r="AH89" s="93"/>
      <c r="AI89" s="51">
        <f>'[2]Rates in summary'!G76+[2]Temporaries!J76</f>
        <v>0.32511000000000001</v>
      </c>
      <c r="AJ89" s="91"/>
      <c r="AK89" s="92"/>
      <c r="AL89" s="51">
        <f>+'[2]Rates in summary'!Q76</f>
        <v>0.32449000000000006</v>
      </c>
      <c r="AM89" s="91"/>
      <c r="AN89" s="90"/>
      <c r="AO89" s="3"/>
      <c r="AP89" s="8"/>
      <c r="AQ89" s="4">
        <f t="shared" si="34"/>
        <v>0</v>
      </c>
      <c r="AR89" s="4">
        <f t="shared" si="35"/>
        <v>0</v>
      </c>
      <c r="AS89" s="4">
        <f t="shared" si="36"/>
        <v>-6.1999999999995392E-4</v>
      </c>
      <c r="AT89" s="4">
        <f t="shared" si="37"/>
        <v>-6.1999999999995392E-4</v>
      </c>
      <c r="AU89" s="89">
        <f>+'[2]Rates in summary'!D83+[2]Temporaries!K77+[2]Temporaries!M77+[2]Temporaries!L77-[2]Temporaries!AZ77</f>
        <v>-7.3999999999999999E-4</v>
      </c>
      <c r="AV89" s="29"/>
      <c r="AW89" s="88"/>
      <c r="AX89" s="51"/>
      <c r="AY89" s="51"/>
      <c r="AZ89" s="51"/>
      <c r="BA89" s="51"/>
    </row>
    <row r="90" spans="1:53" x14ac:dyDescent="0.35">
      <c r="A90" s="7">
        <f t="shared" si="33"/>
        <v>84</v>
      </c>
      <c r="B90" s="7"/>
      <c r="C90" s="103" t="s">
        <v>61</v>
      </c>
      <c r="D90" s="102">
        <f>+'[2]Washington volumes'!J77</f>
        <v>1831129.0067156893</v>
      </c>
      <c r="E90" s="102">
        <v>600000</v>
      </c>
      <c r="F90" s="100"/>
      <c r="G90" s="300"/>
      <c r="H90" s="301"/>
      <c r="I90" s="300"/>
      <c r="J90" s="301"/>
      <c r="K90" s="91"/>
      <c r="L90" s="51">
        <f>+'[2]Rates in summary'!D77</f>
        <v>0.29735999999999996</v>
      </c>
      <c r="M90" s="91"/>
      <c r="N90" s="51">
        <f>'[2]Rates in summary'!D77+[2]Temporaries!K77+[2]Temporaries!L77+[2]Temporaries!M77-[2]Temporaries!AX77</f>
        <v>0.29735999999999996</v>
      </c>
      <c r="O90" s="91"/>
      <c r="P90" s="93"/>
      <c r="Q90" s="51">
        <f>'[2]Rates in summary'!D77+[2]Temporaries!N77+[2]Temporaries!O77-[2]Temporaries!AY77</f>
        <v>0.29735999999999996</v>
      </c>
      <c r="R90" s="91"/>
      <c r="S90" s="93"/>
      <c r="T90" s="99">
        <f>'[2]Rates in detail'!D77+[2]Temporaries!T77-[2]Temporaries!BD77+[2]Temporaries!S77-[2]Temporaries!BC77+[2]Temporaries!P77-[2]Temporaries!BB77++[2]Temporaries!Q77-[2]Temporaries!AW77</f>
        <v>0.29665999999999998</v>
      </c>
      <c r="U90" s="98"/>
      <c r="V90" s="97"/>
      <c r="W90" s="51">
        <f>'[2]Rates in summary'!D77+[2]Temporaries!R77-[2]Temporaries!AZ77</f>
        <v>0.29738999999999993</v>
      </c>
      <c r="X90" s="91"/>
      <c r="Y90" s="93"/>
      <c r="Z90" s="51">
        <f>'[2]Rates in summary'!D77+[2]Permanents!F77</f>
        <v>0.29735999999999996</v>
      </c>
      <c r="AA90" s="91"/>
      <c r="AB90" s="93"/>
      <c r="AC90" s="96">
        <f>'[2]Rates in summary'!D77+[2]Temporaries!U77-[2]Temporaries!BE77</f>
        <v>0.29735999999999996</v>
      </c>
      <c r="AD90" s="95"/>
      <c r="AE90" s="94"/>
      <c r="AF90" s="51">
        <f>'[2]Rates in summary'!D77+[2]Temporaries!V77-[2]Temporaries!BF77</f>
        <v>0.29735999999999996</v>
      </c>
      <c r="AG90" s="91"/>
      <c r="AH90" s="93"/>
      <c r="AI90" s="51">
        <f>'[2]Rates in summary'!G77+[2]Temporaries!J77</f>
        <v>0.29735999999999996</v>
      </c>
      <c r="AJ90" s="91"/>
      <c r="AK90" s="92"/>
      <c r="AL90" s="51">
        <f>+'[2]Rates in summary'!Q77</f>
        <v>0.29669000000000001</v>
      </c>
      <c r="AM90" s="91"/>
      <c r="AN90" s="90"/>
      <c r="AO90" s="3"/>
      <c r="AP90" s="8"/>
      <c r="AQ90" s="4">
        <f t="shared" si="34"/>
        <v>0</v>
      </c>
      <c r="AR90" s="4">
        <f t="shared" si="35"/>
        <v>0</v>
      </c>
      <c r="AS90" s="4">
        <f t="shared" si="36"/>
        <v>-6.6999999999994841E-4</v>
      </c>
      <c r="AT90" s="4">
        <f t="shared" si="37"/>
        <v>-6.6999999999994841E-4</v>
      </c>
      <c r="AU90" s="89" t="e">
        <f>+'[2]Rates in summary'!D84+[2]Temporaries!K78+[2]Temporaries!M78+[2]Temporaries!L78-[2]Temporaries!AZ78</f>
        <v>#VALUE!</v>
      </c>
      <c r="AV90" s="89"/>
      <c r="AW90" s="88"/>
      <c r="AX90" s="51"/>
      <c r="AY90" s="51"/>
      <c r="AZ90" s="51"/>
      <c r="BA90" s="51"/>
    </row>
    <row r="91" spans="1:53" x14ac:dyDescent="0.35">
      <c r="A91" s="7">
        <f t="shared" si="33"/>
        <v>85</v>
      </c>
      <c r="B91" s="7"/>
      <c r="C91" s="103" t="s">
        <v>62</v>
      </c>
      <c r="D91" s="102">
        <f>+'[2]Washington volumes'!J78</f>
        <v>0</v>
      </c>
      <c r="E91" s="101" t="s">
        <v>51</v>
      </c>
      <c r="F91" s="100"/>
      <c r="G91" s="300"/>
      <c r="H91" s="301"/>
      <c r="I91" s="300"/>
      <c r="J91" s="301"/>
      <c r="K91" s="91"/>
      <c r="L91" s="51">
        <f>+'[2]Rates in summary'!D78</f>
        <v>0.26266000000000006</v>
      </c>
      <c r="M91" s="91"/>
      <c r="N91" s="51">
        <f>'[2]Rates in summary'!D78+[2]Temporaries!K78+[2]Temporaries!L78+[2]Temporaries!M78-[2]Temporaries!AX78</f>
        <v>0.26266000000000006</v>
      </c>
      <c r="O91" s="91"/>
      <c r="P91" s="93"/>
      <c r="Q91" s="51">
        <f>'[2]Rates in summary'!D78+[2]Temporaries!N78+[2]Temporaries!O78-[2]Temporaries!AY78</f>
        <v>0.26266000000000006</v>
      </c>
      <c r="R91" s="91"/>
      <c r="S91" s="93"/>
      <c r="T91" s="99">
        <f>'[2]Rates in detail'!D78+[2]Temporaries!T78-[2]Temporaries!BD78+[2]Temporaries!S78-[2]Temporaries!BC78+[2]Temporaries!P78-[2]Temporaries!BB78++[2]Temporaries!Q78-[2]Temporaries!AW78</f>
        <v>0.2619200000000001</v>
      </c>
      <c r="U91" s="98"/>
      <c r="V91" s="97"/>
      <c r="W91" s="51">
        <f>'[2]Rates in summary'!D78+[2]Temporaries!R78-[2]Temporaries!AZ78</f>
        <v>0.26267000000000007</v>
      </c>
      <c r="X91" s="91"/>
      <c r="Y91" s="93"/>
      <c r="Z91" s="51">
        <f>'[2]Rates in summary'!D78+[2]Permanents!F78</f>
        <v>0.26266000000000006</v>
      </c>
      <c r="AA91" s="91"/>
      <c r="AB91" s="93"/>
      <c r="AC91" s="96">
        <f>'[2]Rates in summary'!D78+[2]Temporaries!U78-[2]Temporaries!BE78</f>
        <v>0.26266000000000006</v>
      </c>
      <c r="AD91" s="95"/>
      <c r="AE91" s="94"/>
      <c r="AF91" s="51">
        <f>'[2]Rates in summary'!D78+[2]Temporaries!V78-[2]Temporaries!BF78</f>
        <v>0.26266</v>
      </c>
      <c r="AG91" s="91"/>
      <c r="AH91" s="93"/>
      <c r="AI91" s="51">
        <f>'[2]Rates in summary'!G78+[2]Temporaries!J78</f>
        <v>0.26266000000000006</v>
      </c>
      <c r="AJ91" s="91"/>
      <c r="AK91" s="92"/>
      <c r="AL91" s="51">
        <f>+'[2]Rates in summary'!Q78</f>
        <v>0.26193000000000005</v>
      </c>
      <c r="AM91" s="91"/>
      <c r="AN91" s="90"/>
      <c r="AO91" s="3"/>
      <c r="AP91" s="8"/>
      <c r="AQ91" s="4">
        <f t="shared" si="34"/>
        <v>0</v>
      </c>
      <c r="AR91" s="4">
        <f t="shared" si="35"/>
        <v>0</v>
      </c>
      <c r="AS91" s="4">
        <f t="shared" si="36"/>
        <v>-7.3000000000000842E-4</v>
      </c>
      <c r="AT91" s="4">
        <f t="shared" si="37"/>
        <v>-7.3000000000000842E-4</v>
      </c>
      <c r="AU91" s="89">
        <f>+'[2]Rates in summary'!D85+[2]Temporaries!K79+[2]Temporaries!M79+[2]Temporaries!L79-[2]Temporaries!AZ79</f>
        <v>0</v>
      </c>
      <c r="AV91" s="89"/>
      <c r="AW91" s="88"/>
      <c r="AX91" s="51"/>
      <c r="AY91" s="51"/>
      <c r="AZ91" s="51"/>
      <c r="BA91" s="51"/>
    </row>
    <row r="92" spans="1:53" x14ac:dyDescent="0.35">
      <c r="A92" s="7">
        <f t="shared" si="33"/>
        <v>86</v>
      </c>
      <c r="B92" s="69"/>
      <c r="C92" s="87" t="s">
        <v>52</v>
      </c>
      <c r="D92" s="86"/>
      <c r="E92" s="85"/>
      <c r="F92" s="84"/>
      <c r="G92" s="302"/>
      <c r="H92" s="303"/>
      <c r="I92" s="302"/>
      <c r="J92" s="303"/>
      <c r="K92" s="74"/>
      <c r="L92" s="83"/>
      <c r="M92" s="74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30845.000895181613</v>
      </c>
      <c r="N92" s="76"/>
      <c r="O92" s="74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30845.000895181613</v>
      </c>
      <c r="P92" s="79">
        <f>ROUND((O92-M92)/M92,3)</f>
        <v>0</v>
      </c>
      <c r="Q92" s="76"/>
      <c r="R92" s="74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30845.000895181613</v>
      </c>
      <c r="S92" s="79">
        <f>ROUND((R92-M92)/M92,3)</f>
        <v>0</v>
      </c>
      <c r="T92" s="82"/>
      <c r="U92" s="81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30781.170895181618</v>
      </c>
      <c r="V92" s="80">
        <f>ROUND((U92-M92)/M92,3)</f>
        <v>-2E-3</v>
      </c>
      <c r="W92" s="76"/>
      <c r="X92" s="74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30851.940895181615</v>
      </c>
      <c r="Y92" s="79">
        <f>(X92-M92)/M92</f>
        <v>2.2499594094958986E-4</v>
      </c>
      <c r="Z92" s="76"/>
      <c r="AA92" s="74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30845.000895181613</v>
      </c>
      <c r="AB92" s="56">
        <f>(AA92-M92)/M92</f>
        <v>0</v>
      </c>
      <c r="AC92" s="78"/>
      <c r="AD92" s="77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30845.000895181613</v>
      </c>
      <c r="AE92" s="57">
        <f>(AD92-M92)/M92</f>
        <v>0</v>
      </c>
      <c r="AF92" s="76"/>
      <c r="AG92" s="74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30845.000895181613</v>
      </c>
      <c r="AH92" s="56">
        <f>(AG92-M92)/M92</f>
        <v>0</v>
      </c>
      <c r="AI92" s="76"/>
      <c r="AJ92" s="74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30845.000895181613</v>
      </c>
      <c r="AK92" s="75">
        <f>ROUND((AJ92-M92)/M92,3)</f>
        <v>0</v>
      </c>
      <c r="AL92" s="51"/>
      <c r="AM92" s="74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30788.110895181613</v>
      </c>
      <c r="AN92" s="73">
        <f>ROUND((AM92-M92)/M92,3)</f>
        <v>-2E-3</v>
      </c>
      <c r="AO92" s="3"/>
      <c r="AP92" s="8"/>
      <c r="AQ92" s="4">
        <f t="shared" si="34"/>
        <v>0</v>
      </c>
      <c r="AR92" s="4">
        <f t="shared" si="35"/>
        <v>0</v>
      </c>
      <c r="AS92" s="4">
        <f t="shared" si="36"/>
        <v>0</v>
      </c>
      <c r="AT92" s="4">
        <f t="shared" si="37"/>
        <v>0</v>
      </c>
      <c r="AU92" s="72"/>
      <c r="AV92" s="71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-28.639104818384567</v>
      </c>
      <c r="AW92" s="70">
        <f>ROUND((AV92-M92)/M92,3)</f>
        <v>-1.0009999999999999</v>
      </c>
      <c r="AX92" s="51"/>
      <c r="AY92" s="51"/>
      <c r="AZ92" s="51"/>
      <c r="BA92" s="51"/>
    </row>
    <row r="93" spans="1:53" x14ac:dyDescent="0.35">
      <c r="A93" s="7">
        <f t="shared" si="33"/>
        <v>87</v>
      </c>
      <c r="B93" s="69" t="s">
        <v>70</v>
      </c>
      <c r="C93" s="69"/>
      <c r="D93" s="68">
        <f>+'[2]Washington volumes'!J79</f>
        <v>0</v>
      </c>
      <c r="E93" s="48" t="s">
        <v>43</v>
      </c>
      <c r="F93" s="67">
        <v>0</v>
      </c>
      <c r="G93" s="307">
        <v>38000</v>
      </c>
      <c r="H93" s="308"/>
      <c r="I93" s="307">
        <f>G93-H93</f>
        <v>38000</v>
      </c>
      <c r="J93" s="308">
        <f>'[4]Aver Bill by RS'!$J93</f>
        <v>0</v>
      </c>
      <c r="K93" s="38"/>
      <c r="L93" s="39">
        <f>+'[2]Rates in summary'!D79</f>
        <v>0.24684999999999996</v>
      </c>
      <c r="M93" s="38">
        <f>ROUND(+$I93+(L93*$F93),2)</f>
        <v>38000</v>
      </c>
      <c r="N93" s="39">
        <f>'[2]Rates in summary'!D79+[2]Temporaries!K79+[2]Temporaries!L79+[2]Temporaries!M79-[2]Temporaries!AX79</f>
        <v>0.24684999999999996</v>
      </c>
      <c r="O93" s="38">
        <f>ROUND(+$I93+(N93*$F93),2)</f>
        <v>38000</v>
      </c>
      <c r="P93" s="66">
        <f>ROUND((O93-M93)/M93,3)</f>
        <v>0</v>
      </c>
      <c r="Q93" s="39">
        <f>'[2]Rates in summary'!D79+[2]Temporaries!N79+[2]Temporaries!O79-[2]Temporaries!AY79</f>
        <v>0.24684999999999996</v>
      </c>
      <c r="R93" s="38">
        <f>ROUND(+$I93+(Q93*$F93),2)</f>
        <v>38000</v>
      </c>
      <c r="S93" s="66">
        <f>ROUND((R93-M93)/M93,3)</f>
        <v>0</v>
      </c>
      <c r="T93" s="63">
        <f>'[2]Rates in detail'!D79+[2]Temporaries!T79-[2]Temporaries!BD79+[2]Temporaries!S79-[2]Temporaries!BC79+[2]Temporaries!P79-[2]Temporaries!BB79++[2]Temporaries!Q79-[2]Temporaries!AW79</f>
        <v>0.24617999999999995</v>
      </c>
      <c r="U93" s="62">
        <f>ROUND(+$I93+(T93*$F93),2)</f>
        <v>38000</v>
      </c>
      <c r="V93" s="61">
        <f>ROUND((U93-M93)/M93,3)</f>
        <v>0</v>
      </c>
      <c r="W93" s="39">
        <f>'[2]Rates in summary'!D79+[2]Temporaries!R79-[2]Temporaries!AZ79</f>
        <v>0.24684999999999996</v>
      </c>
      <c r="X93" s="38">
        <f>ROUND(+$I93+(W93*$F93),2)</f>
        <v>38000</v>
      </c>
      <c r="Y93" s="66">
        <f>(X93-M93)/M93</f>
        <v>0</v>
      </c>
      <c r="Z93" s="39">
        <f>'[2]Rates in summary'!D79+[2]Permanents!F79</f>
        <v>0.24684999999999996</v>
      </c>
      <c r="AA93" s="38">
        <f>I93+(F93*Z93)</f>
        <v>38000</v>
      </c>
      <c r="AB93" s="56">
        <f>(AA93-M93)/M93</f>
        <v>0</v>
      </c>
      <c r="AC93" s="59">
        <f>'[2]Rates in summary'!D79+[2]Temporaries!U79-[2]Temporaries!BE79</f>
        <v>0.24684999999999996</v>
      </c>
      <c r="AD93" s="58">
        <f>ROUND(+$I93+(AC93*$F93),2)</f>
        <v>38000</v>
      </c>
      <c r="AE93" s="57">
        <f>(AD93-M93)/M93</f>
        <v>0</v>
      </c>
      <c r="AF93" s="39">
        <f>'[2]Rates in summary'!D79+[2]Temporaries!V79-[2]Temporaries!BF79</f>
        <v>0.24684999999999996</v>
      </c>
      <c r="AG93" s="38">
        <f>ROUND(+$I93+(AF93*$F93),2)</f>
        <v>38000</v>
      </c>
      <c r="AH93" s="56">
        <f>(AG93-M93)/M93</f>
        <v>0</v>
      </c>
      <c r="AI93" s="39">
        <f>'[2]Rates in summary'!G79+[2]Temporaries!J79</f>
        <v>0.24684999999999996</v>
      </c>
      <c r="AJ93" s="38">
        <f>ROUND(+$I93+(AI93*$F93),2)</f>
        <v>38000</v>
      </c>
      <c r="AK93" s="65">
        <f>ROUND((AJ93-M93)/M93,3)</f>
        <v>0</v>
      </c>
      <c r="AL93" s="39">
        <f>+'[2]Rates in summary'!Q79</f>
        <v>0.24617999999999998</v>
      </c>
      <c r="AM93" s="38">
        <f>ROUND(+$I93+(AL93*$F93),2)</f>
        <v>38000</v>
      </c>
      <c r="AN93" s="54" t="s">
        <v>43</v>
      </c>
      <c r="AO93" s="4"/>
      <c r="AP93" s="8"/>
      <c r="AQ93" s="4">
        <f t="shared" si="34"/>
        <v>0</v>
      </c>
      <c r="AR93" s="4">
        <f t="shared" si="35"/>
        <v>0</v>
      </c>
      <c r="AS93" s="4">
        <f t="shared" si="36"/>
        <v>-6.6999999999997617E-4</v>
      </c>
      <c r="AT93" s="4">
        <f t="shared" si="37"/>
        <v>-6.6999999999997617E-4</v>
      </c>
      <c r="AU93" s="53">
        <f>+'[2]Rates in summary'!D79+[2]Temporaries!K79+[2]Temporaries!M79+[2]Temporaries!L79-[2]Temporaries!AZ79</f>
        <v>0.24684999999999996</v>
      </c>
      <c r="AV93" s="33">
        <f>ROUND(+$I93+(AU93*$F93),2)</f>
        <v>38000</v>
      </c>
      <c r="AW93" s="52" t="s">
        <v>43</v>
      </c>
      <c r="AX93" s="51"/>
      <c r="AY93" s="51"/>
      <c r="AZ93" s="51"/>
      <c r="BA93" s="51"/>
    </row>
    <row r="94" spans="1:53" x14ac:dyDescent="0.35">
      <c r="A94" s="7">
        <f t="shared" si="33"/>
        <v>88</v>
      </c>
      <c r="B94" s="50" t="s">
        <v>71</v>
      </c>
      <c r="C94" s="50"/>
      <c r="D94" s="49">
        <f>+'[2]Washington volumes'!J80</f>
        <v>0</v>
      </c>
      <c r="E94" s="48" t="s">
        <v>43</v>
      </c>
      <c r="F94" s="47">
        <v>0</v>
      </c>
      <c r="G94" s="307">
        <v>38000</v>
      </c>
      <c r="H94" s="309"/>
      <c r="I94" s="307">
        <f>G94-H94</f>
        <v>38000</v>
      </c>
      <c r="J94" s="309">
        <f>'[4]Aver Bill by RS'!$J94</f>
        <v>0</v>
      </c>
      <c r="K94" s="38"/>
      <c r="L94" s="64">
        <f>+'[2]Rates in summary'!D80</f>
        <v>0.24684999999999996</v>
      </c>
      <c r="M94" s="38">
        <f>ROUND(+$I94+(L94*$F94),2)</f>
        <v>38000</v>
      </c>
      <c r="N94" s="39">
        <f>'[2]Rates in summary'!D80+[2]Temporaries!K80+[2]Temporaries!L80+[2]Temporaries!M80-[2]Temporaries!AX80</f>
        <v>0.24684999999999996</v>
      </c>
      <c r="O94" s="38">
        <f>ROUND(+$I94+(N94*$F94),2)</f>
        <v>38000</v>
      </c>
      <c r="P94" s="60">
        <f>ROUND((O94-M94)/M94,3)</f>
        <v>0</v>
      </c>
      <c r="Q94" s="64">
        <f>'[2]Rates in summary'!D80+[2]Temporaries!N80+[2]Temporaries!O80-[2]Temporaries!AY80</f>
        <v>0.24684999999999996</v>
      </c>
      <c r="R94" s="38">
        <f>ROUND(+$I94+(Q94*$F94),2)</f>
        <v>38000</v>
      </c>
      <c r="S94" s="60">
        <f>ROUND((R94-M94)/M94,3)</f>
        <v>0</v>
      </c>
      <c r="T94" s="63">
        <f>'[2]Rates in detail'!D80+[2]Temporaries!T80-[2]Temporaries!BD80+[2]Temporaries!S80-[2]Temporaries!BC80+[2]Temporaries!P80-[2]Temporaries!BB80++[2]Temporaries!Q80-[2]Temporaries!AW80</f>
        <v>0.24617999999999995</v>
      </c>
      <c r="U94" s="62">
        <f>ROUND(+$I94+(T94*$F94),2)</f>
        <v>38000</v>
      </c>
      <c r="V94" s="61">
        <f>ROUND((U94-M94)/M94,3)</f>
        <v>0</v>
      </c>
      <c r="W94" s="39">
        <f>'[2]Rates in summary'!D80+[2]Temporaries!R80-[2]Temporaries!AZ80</f>
        <v>0.24684999999999996</v>
      </c>
      <c r="X94" s="38">
        <f>ROUND(+$I94+(W94*$F94),2)</f>
        <v>38000</v>
      </c>
      <c r="Y94" s="60">
        <f>(X94-M94)/M94</f>
        <v>0</v>
      </c>
      <c r="Z94" s="39">
        <f>'[2]Rates in summary'!D80+[2]Permanents!F80</f>
        <v>0.24684999999999996</v>
      </c>
      <c r="AA94" s="38">
        <f>I94+(F94*Z94)</f>
        <v>38000</v>
      </c>
      <c r="AB94" s="56">
        <f>(AA94-M94)/M94</f>
        <v>0</v>
      </c>
      <c r="AC94" s="59">
        <f>'[2]Rates in summary'!D80+[2]Temporaries!U80-[2]Temporaries!BE80</f>
        <v>0.24684999999999996</v>
      </c>
      <c r="AD94" s="58">
        <f>ROUND(+$I94+(AC94*$F94),2)</f>
        <v>38000</v>
      </c>
      <c r="AE94" s="57">
        <f>(AD94-M94)/M94</f>
        <v>0</v>
      </c>
      <c r="AF94" s="39">
        <f>'[2]Rates in summary'!D80+[2]Temporaries!V80-[2]Temporaries!BF80</f>
        <v>0.24684999999999996</v>
      </c>
      <c r="AG94" s="38">
        <f>ROUND(+$I94+(AF94*$F94),2)</f>
        <v>38000</v>
      </c>
      <c r="AH94" s="56">
        <f>(AG94-M94)/M94</f>
        <v>0</v>
      </c>
      <c r="AI94" s="39">
        <f>'[2]Rates in summary'!G80+[2]Temporaries!J80</f>
        <v>0.24684999999999996</v>
      </c>
      <c r="AJ94" s="38">
        <f>ROUND(+$I94+(AI94*$F94),2)</f>
        <v>38000</v>
      </c>
      <c r="AK94" s="55">
        <f>ROUND((AJ94-M94)/M94,3)</f>
        <v>0</v>
      </c>
      <c r="AL94" s="39">
        <f>+'[2]Rates in summary'!Q80</f>
        <v>0.24617999999999998</v>
      </c>
      <c r="AM94" s="38">
        <f>ROUND(+$I94+(AL94*$F94),2)</f>
        <v>38000</v>
      </c>
      <c r="AN94" s="54" t="s">
        <v>43</v>
      </c>
      <c r="AO94" s="4"/>
      <c r="AP94" s="8"/>
      <c r="AQ94" s="4">
        <f t="shared" si="34"/>
        <v>0</v>
      </c>
      <c r="AR94" s="4">
        <f t="shared" si="35"/>
        <v>0</v>
      </c>
      <c r="AS94" s="4">
        <f t="shared" si="36"/>
        <v>-6.6999999999997617E-4</v>
      </c>
      <c r="AT94" s="4">
        <f t="shared" si="37"/>
        <v>-6.6999999999997617E-4</v>
      </c>
      <c r="AU94" s="53">
        <f>+'[2]Rates in summary'!D80+[2]Temporaries!K80+[2]Temporaries!M80+[2]Temporaries!L80-[2]Temporaries!AZ80</f>
        <v>0.24684999999999996</v>
      </c>
      <c r="AV94" s="33">
        <f>ROUND(+$I94+(AU94*$F94),2)</f>
        <v>38000</v>
      </c>
      <c r="AW94" s="52" t="s">
        <v>43</v>
      </c>
      <c r="AX94" s="51"/>
      <c r="AY94" s="51"/>
      <c r="AZ94" s="51"/>
    </row>
    <row r="95" spans="1:53" ht="15" thickBot="1" x14ac:dyDescent="0.4">
      <c r="A95" s="7">
        <f t="shared" si="33"/>
        <v>89</v>
      </c>
      <c r="B95" s="50" t="s">
        <v>72</v>
      </c>
      <c r="C95" s="50"/>
      <c r="D95" s="49"/>
      <c r="E95" s="48"/>
      <c r="F95" s="47"/>
      <c r="G95" s="310"/>
      <c r="H95" s="311"/>
      <c r="I95" s="33"/>
      <c r="J95" s="47"/>
      <c r="K95" s="47"/>
      <c r="L95" s="34"/>
      <c r="M95" s="33"/>
      <c r="N95" s="33"/>
      <c r="O95" s="33"/>
      <c r="P95" s="36"/>
      <c r="Q95" s="33"/>
      <c r="R95" s="33"/>
      <c r="S95" s="36"/>
      <c r="T95" s="46"/>
      <c r="U95" s="45"/>
      <c r="V95" s="44"/>
      <c r="W95" s="43"/>
      <c r="X95" s="33"/>
      <c r="Y95" s="36"/>
      <c r="Z95" s="43"/>
      <c r="AA95" s="33"/>
      <c r="AB95" s="36"/>
      <c r="AC95" s="42"/>
      <c r="AD95" s="41"/>
      <c r="AE95" s="40"/>
      <c r="AF95" s="39">
        <f>'[2]Rates in summary'!D81+[2]Temporaries!V81-[2]Temporaries!BF81</f>
        <v>-0.49725999999999998</v>
      </c>
      <c r="AG95" s="38">
        <f>ROUND(+$I95+(AF95*$F95),2)</f>
        <v>0</v>
      </c>
      <c r="AH95" s="37"/>
      <c r="AI95" s="33"/>
      <c r="AJ95" s="33"/>
      <c r="AK95" s="36"/>
      <c r="AL95" s="34"/>
      <c r="AM95" s="33"/>
      <c r="AN95" s="35"/>
      <c r="AO95" s="4"/>
      <c r="AP95" s="8"/>
      <c r="AQ95" s="4"/>
      <c r="AR95" s="4"/>
      <c r="AS95" s="4"/>
      <c r="AT95" s="4"/>
      <c r="AU95" s="34"/>
      <c r="AV95" s="33"/>
      <c r="AW95" s="32"/>
    </row>
    <row r="96" spans="1:53" x14ac:dyDescent="0.35">
      <c r="A96" s="7">
        <f t="shared" si="33"/>
        <v>90</v>
      </c>
      <c r="B96" s="314" t="s">
        <v>73</v>
      </c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T96" s="6"/>
      <c r="U96" s="6"/>
      <c r="V96" s="6"/>
      <c r="AO96" s="4"/>
      <c r="AP96" s="8"/>
      <c r="AQ96" s="4"/>
      <c r="AR96" s="4"/>
      <c r="AS96" s="4"/>
      <c r="AT96" s="4"/>
    </row>
    <row r="97" spans="1:49" x14ac:dyDescent="0.35">
      <c r="A97" s="7">
        <f t="shared" si="33"/>
        <v>91</v>
      </c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  <c r="T97" s="6"/>
      <c r="U97" s="6"/>
      <c r="V97" s="6"/>
      <c r="AO97" s="4"/>
      <c r="AP97" s="8"/>
      <c r="AQ97" s="4"/>
      <c r="AR97" s="4"/>
      <c r="AS97" s="4"/>
      <c r="AT97" s="4"/>
    </row>
    <row r="98" spans="1:49" ht="17.149999999999999" customHeight="1" x14ac:dyDescent="0.35">
      <c r="A98" s="7">
        <f t="shared" si="33"/>
        <v>92</v>
      </c>
      <c r="B98" s="316" t="s">
        <v>74</v>
      </c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T98" s="6"/>
      <c r="U98" s="6"/>
      <c r="V98" s="6"/>
      <c r="AO98" s="4"/>
      <c r="AP98" s="8"/>
      <c r="AQ98" s="4"/>
      <c r="AR98" s="4"/>
      <c r="AS98" s="4"/>
      <c r="AT98" s="4"/>
    </row>
    <row r="99" spans="1:49" x14ac:dyDescent="0.35">
      <c r="A99" s="7">
        <f t="shared" si="33"/>
        <v>93</v>
      </c>
      <c r="B99" s="317" t="s">
        <v>75</v>
      </c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29"/>
      <c r="R99" s="29"/>
      <c r="S99" s="29"/>
      <c r="T99" s="31"/>
      <c r="U99" s="31"/>
      <c r="V99" s="31"/>
      <c r="W99" s="29"/>
      <c r="X99" s="29"/>
      <c r="Y99" s="29"/>
      <c r="Z99" s="29"/>
      <c r="AA99" s="29"/>
      <c r="AB99" s="29"/>
      <c r="AC99" s="30"/>
      <c r="AD99" s="30"/>
      <c r="AE99" s="30"/>
      <c r="AF99" s="29"/>
      <c r="AG99" s="29"/>
      <c r="AH99" s="29"/>
      <c r="AI99" s="29"/>
      <c r="AJ99" s="29"/>
      <c r="AK99" s="29"/>
      <c r="AM99" s="29"/>
      <c r="AN99" s="28"/>
      <c r="AO99" s="4"/>
      <c r="AP99" s="8"/>
      <c r="AQ99" s="4"/>
      <c r="AR99" s="4"/>
      <c r="AS99" s="4"/>
      <c r="AT99" s="4"/>
      <c r="AV99" s="29"/>
      <c r="AW99" s="28"/>
    </row>
    <row r="100" spans="1:49" ht="4.5" customHeight="1" x14ac:dyDescent="0.35">
      <c r="A100" s="7">
        <f t="shared" si="33"/>
        <v>94</v>
      </c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T100" s="6"/>
      <c r="U100" s="6"/>
      <c r="V100" s="6"/>
      <c r="AO100" s="4"/>
      <c r="AP100" s="8"/>
      <c r="AQ100" s="4"/>
      <c r="AR100" s="4"/>
      <c r="AS100" s="4"/>
      <c r="AT100" s="4"/>
    </row>
    <row r="101" spans="1:49" ht="19.5" hidden="1" customHeight="1" thickBot="1" x14ac:dyDescent="0.4">
      <c r="A101" s="7">
        <f t="shared" si="33"/>
        <v>95</v>
      </c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T101" s="6"/>
      <c r="U101" s="6"/>
      <c r="V101" s="6"/>
      <c r="AO101" s="16"/>
      <c r="AP101" s="8"/>
      <c r="AQ101" s="11"/>
      <c r="AR101" s="11"/>
      <c r="AS101" s="11"/>
      <c r="AT101" s="11"/>
      <c r="AU101" s="14" t="s">
        <v>143</v>
      </c>
      <c r="AV101" s="198"/>
      <c r="AW101" s="198"/>
    </row>
    <row r="102" spans="1:49" ht="15" thickBot="1" x14ac:dyDescent="0.4">
      <c r="A102" s="7">
        <f t="shared" si="33"/>
        <v>96</v>
      </c>
      <c r="B102" s="27" t="s">
        <v>76</v>
      </c>
      <c r="P102" s="24">
        <f>SUM(P13:P94)</f>
        <v>6.1000000000000006E-2</v>
      </c>
      <c r="S102" s="24">
        <f>SUM(S13:S94)</f>
        <v>0</v>
      </c>
      <c r="T102" s="6"/>
      <c r="U102" s="6"/>
      <c r="V102" s="26">
        <f>SUM(V13:V94)</f>
        <v>-0.01</v>
      </c>
      <c r="Y102" s="24">
        <f>SUM(Y13:Y94)</f>
        <v>1.3847241650024253E-2</v>
      </c>
      <c r="AB102" s="24">
        <f>SUM(AB13:AB94)</f>
        <v>1.0775422889698996E-3</v>
      </c>
      <c r="AE102" s="25">
        <f>SUM(AE13:AE94)</f>
        <v>-1.8466935187947924E-5</v>
      </c>
      <c r="AH102" s="24">
        <f>SUM(AH13:AH94)</f>
        <v>-1.8466935188355916E-5</v>
      </c>
      <c r="AK102" s="24">
        <f>SUM(AK13:AK94)</f>
        <v>-0.85799999999999998</v>
      </c>
      <c r="AN102" s="24">
        <f>SUM(AN13:AN94)</f>
        <v>-0.79100000000000004</v>
      </c>
      <c r="AO102" s="23"/>
      <c r="AP102" s="8"/>
      <c r="AQ102" s="22"/>
      <c r="AR102" s="22"/>
      <c r="AS102" s="22"/>
      <c r="AT102" s="22"/>
      <c r="AU102" s="21" t="s">
        <v>142</v>
      </c>
      <c r="AV102" s="312"/>
      <c r="AW102" s="312"/>
    </row>
    <row r="103" spans="1:49" ht="15" thickBot="1" x14ac:dyDescent="0.4">
      <c r="A103" s="7">
        <f t="shared" si="33"/>
        <v>97</v>
      </c>
      <c r="B103" s="16" t="s">
        <v>77</v>
      </c>
      <c r="C103" s="11"/>
      <c r="D103" s="14"/>
      <c r="E103" s="14" t="s">
        <v>78</v>
      </c>
      <c r="F103" s="14"/>
      <c r="G103" s="14"/>
      <c r="H103" s="14"/>
      <c r="I103" s="14"/>
      <c r="J103" s="14" t="s">
        <v>78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20"/>
      <c r="U103" s="20"/>
      <c r="V103" s="20"/>
      <c r="W103" s="14"/>
      <c r="X103" s="14"/>
      <c r="Y103" s="14"/>
      <c r="Z103" s="14"/>
      <c r="AA103" s="14"/>
      <c r="AB103" s="14"/>
      <c r="AC103" s="19"/>
      <c r="AD103" s="19"/>
      <c r="AE103" s="19"/>
      <c r="AF103" s="14"/>
      <c r="AG103" s="14"/>
      <c r="AH103" s="14"/>
      <c r="AI103" s="199"/>
      <c r="AJ103" s="199"/>
      <c r="AK103" s="198"/>
      <c r="AL103" s="198"/>
      <c r="AM103" s="198"/>
      <c r="AN103" s="198"/>
      <c r="AO103" s="18"/>
      <c r="AP103" s="8"/>
      <c r="AQ103" s="17"/>
      <c r="AR103" s="17"/>
      <c r="AS103" s="17"/>
      <c r="AT103" s="17"/>
      <c r="AU103" s="14" t="s">
        <v>141</v>
      </c>
      <c r="AV103" s="9"/>
      <c r="AW103" s="9"/>
    </row>
    <row r="104" spans="1:49" ht="15" thickBot="1" x14ac:dyDescent="0.4">
      <c r="A104" s="7">
        <f t="shared" si="33"/>
        <v>98</v>
      </c>
      <c r="T104" s="6"/>
      <c r="U104" s="6"/>
      <c r="V104" s="6"/>
      <c r="AP104" s="8"/>
    </row>
    <row r="105" spans="1:49" ht="15" thickBot="1" x14ac:dyDescent="0.4">
      <c r="A105" s="7">
        <f t="shared" si="33"/>
        <v>99</v>
      </c>
      <c r="B105" s="16" t="s">
        <v>79</v>
      </c>
      <c r="C105" s="11"/>
      <c r="D105" s="9"/>
      <c r="E105" s="15"/>
      <c r="F105" s="15"/>
      <c r="G105" s="15"/>
      <c r="H105" s="15"/>
      <c r="I105" s="15"/>
      <c r="J105" s="9"/>
      <c r="K105" s="9"/>
      <c r="L105" s="14" t="s">
        <v>80</v>
      </c>
      <c r="M105" s="9"/>
      <c r="N105" s="9"/>
      <c r="O105" s="9"/>
      <c r="P105" s="9"/>
      <c r="Q105" s="9"/>
      <c r="R105" s="9"/>
      <c r="S105" s="9"/>
      <c r="T105" s="13"/>
      <c r="U105" s="13"/>
      <c r="V105" s="13"/>
      <c r="W105" s="9"/>
      <c r="X105" s="9"/>
      <c r="Y105" s="9"/>
      <c r="Z105" s="11"/>
      <c r="AA105" s="11"/>
      <c r="AB105" s="11"/>
      <c r="AC105" s="12"/>
      <c r="AD105" s="12"/>
      <c r="AE105" s="12"/>
      <c r="AF105" s="11"/>
      <c r="AG105" s="11"/>
      <c r="AH105" s="11"/>
      <c r="AI105" s="10"/>
      <c r="AJ105" s="9"/>
      <c r="AK105" s="9"/>
      <c r="AL105" s="9"/>
      <c r="AM105" s="9"/>
      <c r="AN105" s="9"/>
      <c r="AP105" s="8"/>
    </row>
    <row r="106" spans="1:49" x14ac:dyDescent="0.35">
      <c r="A106" s="7"/>
    </row>
    <row r="107" spans="1:49" x14ac:dyDescent="0.35">
      <c r="A107" s="7"/>
    </row>
    <row r="108" spans="1:49" x14ac:dyDescent="0.35"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</row>
  </sheetData>
  <mergeCells count="4">
    <mergeCell ref="B96:P97"/>
    <mergeCell ref="B98:P98"/>
    <mergeCell ref="B99:P101"/>
    <mergeCell ref="B108:P108"/>
  </mergeCells>
  <pageMargins left="0.7" right="0.7" top="0.75" bottom="0.75" header="0.3" footer="0.3"/>
  <pageSetup scale="28" orientation="portrait" r:id="rId1"/>
  <headerFooter alignWithMargins="0">
    <oddHeader>&amp;RUG-250717 - NWN WUTC Advice No. 25-08A
Exhibit B - Supporting Materials
Page &amp;P of &amp;N</oddHeader>
  </headerFooter>
  <colBreaks count="4" manualBreakCount="4">
    <brk id="16" max="1048575" man="1"/>
    <brk id="34" max="1048575" man="1"/>
    <brk id="37" max="86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274C-8FAD-4FFE-99B9-1EAF19AF2D8C}">
  <sheetPr>
    <tabColor theme="0" tint="-0.14999847407452621"/>
    <pageSetUpPr fitToPage="1"/>
  </sheetPr>
  <dimension ref="A1:Z89"/>
  <sheetViews>
    <sheetView tabSelected="1" view="pageLayout" zoomScaleNormal="100" workbookViewId="0">
      <selection activeCell="F46" sqref="F46"/>
    </sheetView>
  </sheetViews>
  <sheetFormatPr defaultColWidth="8.453125" defaultRowHeight="14.5" outlineLevelCol="1" x14ac:dyDescent="0.35"/>
  <cols>
    <col min="1" max="1" width="6.1796875" style="1" customWidth="1"/>
    <col min="2" max="2" width="13.81640625" style="1" customWidth="1"/>
    <col min="3" max="3" width="8.453125" style="1" customWidth="1"/>
    <col min="4" max="4" width="11.54296875" style="1" customWidth="1"/>
    <col min="5" max="5" width="14.453125" style="1" customWidth="1"/>
    <col min="6" max="6" width="15.7265625" style="1" customWidth="1"/>
    <col min="7" max="7" width="13.453125" style="1" customWidth="1"/>
    <col min="8" max="8" width="14.81640625" style="1" customWidth="1"/>
    <col min="9" max="15" width="13.453125" style="1" hidden="1" customWidth="1" outlineLevel="1"/>
    <col min="16" max="16" width="13.453125" style="1" customWidth="1" outlineLevel="1"/>
    <col min="17" max="17" width="13.453125" style="1" customWidth="1"/>
    <col min="18" max="18" width="13.81640625" style="1" customWidth="1"/>
    <col min="19" max="19" width="15.1796875" style="1" hidden="1" customWidth="1"/>
    <col min="20" max="20" width="18.81640625" style="1" hidden="1" customWidth="1"/>
    <col min="21" max="21" width="16.1796875" style="1" hidden="1" customWidth="1"/>
    <col min="22" max="22" width="16.453125" style="1" hidden="1" customWidth="1"/>
    <col min="23" max="23" width="15.1796875" style="1" hidden="1" customWidth="1"/>
    <col min="24" max="24" width="9.453125" style="1" hidden="1" customWidth="1"/>
    <col min="25" max="25" width="0" style="1" hidden="1" customWidth="1"/>
    <col min="26" max="26" width="11.1796875" style="1" hidden="1" customWidth="1"/>
    <col min="27" max="93" width="0" style="1" hidden="1" customWidth="1"/>
    <col min="94" max="16384" width="8.453125" style="1"/>
  </cols>
  <sheetData>
    <row r="1" spans="1:26" x14ac:dyDescent="0.35">
      <c r="A1" s="193" t="str">
        <f>+'[1]Washington volumes'!A1</f>
        <v>NW Natural</v>
      </c>
    </row>
    <row r="2" spans="1:26" x14ac:dyDescent="0.35">
      <c r="A2" s="193" t="str">
        <f>+'[1]Washington volumes'!A2</f>
        <v>Rates &amp; Regulatory Affairs</v>
      </c>
    </row>
    <row r="3" spans="1:26" x14ac:dyDescent="0.35">
      <c r="A3" s="193" t="str">
        <f>+'[1]Washington volumes'!A3</f>
        <v>2025-2026 PGA Filing - Washington: September Filing</v>
      </c>
      <c r="H3" s="89"/>
      <c r="I3" s="89"/>
      <c r="J3" s="89"/>
      <c r="K3" s="89"/>
      <c r="L3" s="89"/>
      <c r="M3" s="89"/>
      <c r="N3" s="89"/>
      <c r="O3" s="89"/>
      <c r="P3" s="89"/>
    </row>
    <row r="4" spans="1:26" x14ac:dyDescent="0.35">
      <c r="A4" s="193" t="s">
        <v>83</v>
      </c>
    </row>
    <row r="7" spans="1:26" x14ac:dyDescent="0.35">
      <c r="A7" s="7">
        <v>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44" t="s">
        <v>3</v>
      </c>
    </row>
    <row r="8" spans="1:26" x14ac:dyDescent="0.35">
      <c r="A8" s="7">
        <f t="shared" ref="A8:A39" si="0">+A7+1</f>
        <v>2</v>
      </c>
      <c r="D8" s="174" t="e">
        <f>+#REF!</f>
        <v>#REF!</v>
      </c>
      <c r="E8" s="7"/>
      <c r="F8" s="7"/>
      <c r="G8" s="7" t="s">
        <v>3</v>
      </c>
      <c r="H8" s="7" t="s">
        <v>84</v>
      </c>
      <c r="I8" s="222"/>
      <c r="J8" s="222"/>
      <c r="K8" s="222"/>
      <c r="L8" s="222"/>
      <c r="M8" s="222"/>
      <c r="N8" s="222"/>
      <c r="O8" s="222"/>
      <c r="P8" s="7" t="s">
        <v>85</v>
      </c>
      <c r="Q8" s="221">
        <f>+EFFDATE</f>
        <v>45658</v>
      </c>
      <c r="R8" s="144" t="s">
        <v>197</v>
      </c>
    </row>
    <row r="9" spans="1:26" x14ac:dyDescent="0.35">
      <c r="A9" s="7">
        <f t="shared" si="0"/>
        <v>3</v>
      </c>
      <c r="D9" s="7" t="s">
        <v>13</v>
      </c>
      <c r="E9" s="7" t="s">
        <v>84</v>
      </c>
      <c r="F9" s="7" t="s">
        <v>84</v>
      </c>
      <c r="G9" s="7" t="s">
        <v>19</v>
      </c>
      <c r="H9" s="7" t="s">
        <v>87</v>
      </c>
      <c r="I9" s="220" t="s">
        <v>196</v>
      </c>
      <c r="J9" s="220" t="s">
        <v>196</v>
      </c>
      <c r="K9" s="220" t="s">
        <v>196</v>
      </c>
      <c r="L9" s="220" t="s">
        <v>196</v>
      </c>
      <c r="M9" s="220" t="s">
        <v>196</v>
      </c>
      <c r="N9" s="220" t="s">
        <v>196</v>
      </c>
      <c r="O9" s="220" t="s">
        <v>196</v>
      </c>
      <c r="P9" s="7" t="s">
        <v>88</v>
      </c>
      <c r="Q9" s="144" t="s">
        <v>13</v>
      </c>
      <c r="R9" s="144" t="s">
        <v>89</v>
      </c>
    </row>
    <row r="10" spans="1:26" s="130" customFormat="1" ht="15" thickBot="1" x14ac:dyDescent="0.4">
      <c r="A10" s="7">
        <f t="shared" si="0"/>
        <v>4</v>
      </c>
      <c r="B10" s="1"/>
      <c r="C10" s="1"/>
      <c r="D10" s="21" t="s">
        <v>19</v>
      </c>
      <c r="E10" s="21" t="s">
        <v>90</v>
      </c>
      <c r="F10" s="21" t="s">
        <v>91</v>
      </c>
      <c r="G10" s="21" t="s">
        <v>92</v>
      </c>
      <c r="H10" s="21" t="s">
        <v>93</v>
      </c>
      <c r="I10" s="219" t="s">
        <v>195</v>
      </c>
      <c r="J10" s="219" t="s">
        <v>195</v>
      </c>
      <c r="K10" s="219" t="s">
        <v>195</v>
      </c>
      <c r="L10" s="219" t="s">
        <v>195</v>
      </c>
      <c r="M10" s="219" t="s">
        <v>195</v>
      </c>
      <c r="N10" s="219" t="s">
        <v>195</v>
      </c>
      <c r="O10" s="219" t="s">
        <v>195</v>
      </c>
      <c r="P10" s="21" t="s">
        <v>94</v>
      </c>
      <c r="Q10" s="158" t="s">
        <v>95</v>
      </c>
      <c r="R10" s="158" t="s">
        <v>94</v>
      </c>
    </row>
    <row r="11" spans="1:26" s="130" customFormat="1" x14ac:dyDescent="0.35">
      <c r="A11" s="7">
        <f t="shared" si="0"/>
        <v>5</v>
      </c>
      <c r="B11" s="1"/>
      <c r="C11" s="1"/>
      <c r="G11" s="144" t="s">
        <v>96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 t="s">
        <v>97</v>
      </c>
      <c r="T11" s="218"/>
      <c r="U11" s="217" t="s">
        <v>194</v>
      </c>
      <c r="V11" s="217" t="s">
        <v>194</v>
      </c>
      <c r="W11" s="217" t="s">
        <v>193</v>
      </c>
      <c r="X11" s="216" t="s">
        <v>193</v>
      </c>
    </row>
    <row r="12" spans="1:26" s="130" customFormat="1" x14ac:dyDescent="0.35">
      <c r="A12" s="7">
        <f t="shared" si="0"/>
        <v>6</v>
      </c>
      <c r="B12" s="141" t="s">
        <v>26</v>
      </c>
      <c r="C12" s="141" t="s">
        <v>15</v>
      </c>
      <c r="D12" s="135" t="s">
        <v>27</v>
      </c>
      <c r="E12" s="135" t="s">
        <v>28</v>
      </c>
      <c r="F12" s="135" t="s">
        <v>29</v>
      </c>
      <c r="G12" s="135" t="s">
        <v>30</v>
      </c>
      <c r="H12" s="135" t="s">
        <v>31</v>
      </c>
      <c r="I12" s="135"/>
      <c r="J12" s="135"/>
      <c r="K12" s="135"/>
      <c r="L12" s="135"/>
      <c r="M12" s="135"/>
      <c r="N12" s="135"/>
      <c r="O12" s="135"/>
      <c r="P12" s="135" t="s">
        <v>32</v>
      </c>
      <c r="Q12" s="135" t="s">
        <v>33</v>
      </c>
      <c r="T12" s="215" t="s">
        <v>192</v>
      </c>
      <c r="U12" s="135" t="s">
        <v>191</v>
      </c>
      <c r="V12" s="135" t="s">
        <v>190</v>
      </c>
      <c r="W12" s="135" t="s">
        <v>189</v>
      </c>
      <c r="X12" s="214" t="s">
        <v>188</v>
      </c>
    </row>
    <row r="13" spans="1:26" x14ac:dyDescent="0.35">
      <c r="A13" s="7">
        <f t="shared" si="0"/>
        <v>7</v>
      </c>
      <c r="B13" s="50" t="s">
        <v>42</v>
      </c>
      <c r="C13" s="50"/>
      <c r="D13" s="34">
        <f>+'Proposed Rates in detail'!D13</f>
        <v>1.6683000000000003</v>
      </c>
      <c r="E13" s="34">
        <f>+'Proposed Rates in detail'!I13-'Proposed Rates in detail'!E13</f>
        <v>-2.633000000000002E-2</v>
      </c>
      <c r="F13" s="34">
        <f>+'Proposed Rates in detail'!J13+'Proposed Rates in detail'!K13-'Proposed Rates in detail'!F13-'Proposed Rates in detail'!G13</f>
        <v>-3.0499999999999972E-3</v>
      </c>
      <c r="G13" s="34">
        <f t="shared" ref="G13:G44" si="1">+D13+E13+F13</f>
        <v>1.6389200000000004</v>
      </c>
      <c r="H13" s="34">
        <f>+'Proposed Rates in detail'!N13-'Proposed Rates in detail'!M13</f>
        <v>-5.0600000000000089E-3</v>
      </c>
      <c r="I13" s="34"/>
      <c r="J13" s="34"/>
      <c r="K13" s="34"/>
      <c r="L13" s="34"/>
      <c r="M13" s="34"/>
      <c r="N13" s="34"/>
      <c r="O13" s="34"/>
      <c r="P13" s="34">
        <f>[1]Permanents!H13</f>
        <v>2.4000000000001798E-4</v>
      </c>
      <c r="Q13" s="34">
        <f t="shared" ref="Q13:Q44" si="2">+G13+H13+P13</f>
        <v>1.6341000000000003</v>
      </c>
      <c r="R13" s="34">
        <f t="shared" ref="R13:R44" si="3">Q13-D13</f>
        <v>-3.4200000000000008E-2</v>
      </c>
      <c r="S13" s="196"/>
      <c r="T13" s="212">
        <f>'[1]Washington volumes'!J13</f>
        <v>179824.1</v>
      </c>
      <c r="U13" s="211">
        <f t="shared" ref="U13:U44" si="4">T13*D13</f>
        <v>300000.54603000009</v>
      </c>
      <c r="V13" s="211">
        <f t="shared" ref="V13:V44" si="5">T13*Q13</f>
        <v>293850.56181000004</v>
      </c>
      <c r="W13" s="211">
        <f t="shared" ref="W13:W44" si="6">V13-U13</f>
        <v>-6149.9842200000421</v>
      </c>
      <c r="X13" s="210">
        <f t="shared" ref="X13:X44" si="7">IF(W13=0,0,(V13-U13)/U13)</f>
        <v>-2.0499910088113783E-2</v>
      </c>
      <c r="Z13" s="206"/>
    </row>
    <row r="14" spans="1:26" x14ac:dyDescent="0.35">
      <c r="A14" s="7">
        <f t="shared" si="0"/>
        <v>8</v>
      </c>
      <c r="B14" s="50" t="s">
        <v>44</v>
      </c>
      <c r="C14" s="50"/>
      <c r="D14" s="34">
        <f>+'Proposed Rates in detail'!D14</f>
        <v>1.672639999999999</v>
      </c>
      <c r="E14" s="34">
        <f>+'Proposed Rates in detail'!I14-'Proposed Rates in detail'!E14</f>
        <v>-2.633000000000002E-2</v>
      </c>
      <c r="F14" s="34">
        <f>+'Proposed Rates in detail'!J14+'Proposed Rates in detail'!K14-'Proposed Rates in detail'!F14-'Proposed Rates in detail'!G14</f>
        <v>-3.0499999999999972E-3</v>
      </c>
      <c r="G14" s="34">
        <f t="shared" si="1"/>
        <v>1.6432599999999991</v>
      </c>
      <c r="H14" s="34">
        <f>+'Proposed Rates in detail'!N14-'Proposed Rates in detail'!M14</f>
        <v>-4.653999999999997E-2</v>
      </c>
      <c r="I14" s="34"/>
      <c r="J14" s="34"/>
      <c r="K14" s="34"/>
      <c r="L14" s="34"/>
      <c r="M14" s="34"/>
      <c r="N14" s="34"/>
      <c r="O14" s="34"/>
      <c r="P14" s="34">
        <f>[1]Permanents!H14</f>
        <v>1.6000000000004899E-4</v>
      </c>
      <c r="Q14" s="34">
        <f t="shared" si="2"/>
        <v>1.5968799999999992</v>
      </c>
      <c r="R14" s="34">
        <f t="shared" si="3"/>
        <v>-7.5759999999999827E-2</v>
      </c>
      <c r="S14" s="196"/>
      <c r="T14" s="212">
        <f>'[1]Washington volumes'!J14</f>
        <v>18807.400000000001</v>
      </c>
      <c r="U14" s="211">
        <f t="shared" si="4"/>
        <v>31458.009535999983</v>
      </c>
      <c r="V14" s="211">
        <f t="shared" si="5"/>
        <v>30033.160911999988</v>
      </c>
      <c r="W14" s="211">
        <f t="shared" si="6"/>
        <v>-1424.8486239999947</v>
      </c>
      <c r="X14" s="210">
        <f t="shared" si="7"/>
        <v>-4.5293667495695286E-2</v>
      </c>
      <c r="Z14" s="206"/>
    </row>
    <row r="15" spans="1:26" x14ac:dyDescent="0.35">
      <c r="A15" s="7">
        <f t="shared" si="0"/>
        <v>9</v>
      </c>
      <c r="B15" s="50" t="s">
        <v>45</v>
      </c>
      <c r="C15" s="50"/>
      <c r="D15" s="34">
        <f>+'Proposed Rates in detail'!D15</f>
        <v>1.3152700000000002</v>
      </c>
      <c r="E15" s="34">
        <f>+'Proposed Rates in detail'!I15-'Proposed Rates in detail'!E15</f>
        <v>-2.633000000000002E-2</v>
      </c>
      <c r="F15" s="34">
        <f>+'Proposed Rates in detail'!J15+'Proposed Rates in detail'!K15-'Proposed Rates in detail'!F15-'Proposed Rates in detail'!G15</f>
        <v>-3.0499999999999972E-3</v>
      </c>
      <c r="G15" s="34">
        <f t="shared" si="1"/>
        <v>1.2858900000000002</v>
      </c>
      <c r="H15" s="34">
        <f>+'Proposed Rates in detail'!N15-'Proposed Rates in detail'!M15</f>
        <v>-4.364000000000004E-2</v>
      </c>
      <c r="I15" s="34"/>
      <c r="J15" s="34"/>
      <c r="K15" s="34"/>
      <c r="L15" s="34"/>
      <c r="M15" s="34"/>
      <c r="N15" s="34"/>
      <c r="O15" s="34"/>
      <c r="P15" s="34">
        <f>[1]Permanents!H15</f>
        <v>1.100000000000545E-4</v>
      </c>
      <c r="Q15" s="34">
        <f t="shared" si="2"/>
        <v>1.2423600000000001</v>
      </c>
      <c r="R15" s="34">
        <f t="shared" si="3"/>
        <v>-7.291000000000003E-2</v>
      </c>
      <c r="S15" s="196"/>
      <c r="T15" s="212">
        <f>'[1]Washington volumes'!J15</f>
        <v>59991191.600000001</v>
      </c>
      <c r="U15" s="211">
        <f t="shared" si="4"/>
        <v>78904614.575732008</v>
      </c>
      <c r="V15" s="211">
        <f t="shared" si="5"/>
        <v>74530656.796176016</v>
      </c>
      <c r="W15" s="211">
        <f t="shared" si="6"/>
        <v>-4373957.7795559913</v>
      </c>
      <c r="X15" s="210">
        <f t="shared" si="7"/>
        <v>-5.5433485139933132E-2</v>
      </c>
      <c r="Z15" s="206"/>
    </row>
    <row r="16" spans="1:26" x14ac:dyDescent="0.35">
      <c r="A16" s="7">
        <f t="shared" si="0"/>
        <v>10</v>
      </c>
      <c r="B16" s="50" t="s">
        <v>46</v>
      </c>
      <c r="C16" s="50"/>
      <c r="D16" s="34">
        <f>+'Proposed Rates in detail'!D16</f>
        <v>1.2785399999999996</v>
      </c>
      <c r="E16" s="34">
        <f>+'Proposed Rates in detail'!I16-'Proposed Rates in detail'!E16</f>
        <v>-2.633000000000002E-2</v>
      </c>
      <c r="F16" s="34">
        <f>+'Proposed Rates in detail'!J16+'Proposed Rates in detail'!K16-'Proposed Rates in detail'!F16-'Proposed Rates in detail'!G16</f>
        <v>-3.0499999999999972E-3</v>
      </c>
      <c r="G16" s="34">
        <f t="shared" si="1"/>
        <v>1.2491599999999996</v>
      </c>
      <c r="H16" s="34">
        <f>+'Proposed Rates in detail'!N16-'Proposed Rates in detail'!M16</f>
        <v>-4.4369999999999937E-2</v>
      </c>
      <c r="I16" s="34"/>
      <c r="J16" s="34"/>
      <c r="K16" s="34"/>
      <c r="L16" s="34"/>
      <c r="M16" s="34"/>
      <c r="N16" s="34"/>
      <c r="O16" s="34"/>
      <c r="P16" s="34">
        <f>[1]Permanents!H16</f>
        <v>9.9999999999988987E-5</v>
      </c>
      <c r="Q16" s="34">
        <f t="shared" si="2"/>
        <v>1.2048899999999996</v>
      </c>
      <c r="R16" s="34">
        <f t="shared" si="3"/>
        <v>-7.3649999999999993E-2</v>
      </c>
      <c r="S16" s="196"/>
      <c r="T16" s="212">
        <f>'[1]Washington volumes'!J16</f>
        <v>21359578.800000001</v>
      </c>
      <c r="U16" s="211">
        <f t="shared" si="4"/>
        <v>27309075.878951993</v>
      </c>
      <c r="V16" s="211">
        <f t="shared" si="5"/>
        <v>25735942.900331993</v>
      </c>
      <c r="W16" s="211">
        <f t="shared" si="6"/>
        <v>-1573132.9786200002</v>
      </c>
      <c r="X16" s="210">
        <f t="shared" si="7"/>
        <v>-5.7604767938429793E-2</v>
      </c>
      <c r="Z16" s="206"/>
    </row>
    <row r="17" spans="1:26" x14ac:dyDescent="0.35">
      <c r="A17" s="7">
        <f t="shared" si="0"/>
        <v>11</v>
      </c>
      <c r="B17" s="50" t="s">
        <v>47</v>
      </c>
      <c r="C17" s="50"/>
      <c r="D17" s="34">
        <f>+'Proposed Rates in detail'!D17</f>
        <v>1.2303099999999996</v>
      </c>
      <c r="E17" s="34">
        <f>+'Proposed Rates in detail'!I17-'Proposed Rates in detail'!E17</f>
        <v>-2.633000000000002E-2</v>
      </c>
      <c r="F17" s="34">
        <f>+'Proposed Rates in detail'!J17+'Proposed Rates in detail'!K17-'Proposed Rates in detail'!F17-'Proposed Rates in detail'!G17</f>
        <v>-3.0499999999999972E-3</v>
      </c>
      <c r="G17" s="34">
        <f t="shared" si="1"/>
        <v>1.2009299999999996</v>
      </c>
      <c r="H17" s="34">
        <f>+'Proposed Rates in detail'!N17-'Proposed Rates in detail'!M17</f>
        <v>-4.583000000000001E-2</v>
      </c>
      <c r="I17" s="34"/>
      <c r="J17" s="34"/>
      <c r="K17" s="34"/>
      <c r="L17" s="34"/>
      <c r="M17" s="34"/>
      <c r="N17" s="34"/>
      <c r="O17" s="34"/>
      <c r="P17" s="34">
        <f>[1]Permanents!H17</f>
        <v>9.0000000000034497E-5</v>
      </c>
      <c r="Q17" s="34">
        <f t="shared" si="2"/>
        <v>1.1551899999999997</v>
      </c>
      <c r="R17" s="34">
        <f t="shared" si="3"/>
        <v>-7.5119999999999854E-2</v>
      </c>
      <c r="S17" s="196"/>
      <c r="T17" s="212">
        <f>'[1]Washington volumes'!J17</f>
        <v>192102.2</v>
      </c>
      <c r="U17" s="211">
        <f t="shared" si="4"/>
        <v>236345.25768199994</v>
      </c>
      <c r="V17" s="211">
        <f t="shared" si="5"/>
        <v>221914.54041799996</v>
      </c>
      <c r="W17" s="211">
        <f t="shared" si="6"/>
        <v>-14430.717263999977</v>
      </c>
      <c r="X17" s="210">
        <f t="shared" si="7"/>
        <v>-6.1057782184977691E-2</v>
      </c>
      <c r="Z17" s="206"/>
    </row>
    <row r="18" spans="1:26" x14ac:dyDescent="0.35">
      <c r="A18" s="7">
        <f t="shared" si="0"/>
        <v>12</v>
      </c>
      <c r="B18" s="69">
        <v>27</v>
      </c>
      <c r="C18" s="69"/>
      <c r="D18" s="34">
        <f>+'Proposed Rates in detail'!D18</f>
        <v>1.11591</v>
      </c>
      <c r="E18" s="34">
        <f>+'Proposed Rates in detail'!I18-'Proposed Rates in detail'!E18</f>
        <v>-2.633000000000002E-2</v>
      </c>
      <c r="F18" s="34">
        <f>+'Proposed Rates in detail'!J18+'Proposed Rates in detail'!K18-'Proposed Rates in detail'!F18-'Proposed Rates in detail'!G18</f>
        <v>-3.0499999999999972E-3</v>
      </c>
      <c r="G18" s="34">
        <f t="shared" si="1"/>
        <v>1.08653</v>
      </c>
      <c r="H18" s="34">
        <f>+'Proposed Rates in detail'!N18-'Proposed Rates in detail'!M18</f>
        <v>2.3159999999999958E-2</v>
      </c>
      <c r="I18" s="34"/>
      <c r="J18" s="34"/>
      <c r="K18" s="34"/>
      <c r="L18" s="34"/>
      <c r="M18" s="34"/>
      <c r="N18" s="34"/>
      <c r="O18" s="34"/>
      <c r="P18" s="34">
        <f>[1]Permanents!H18</f>
        <v>2.5999999999998247E-4</v>
      </c>
      <c r="Q18" s="34">
        <f t="shared" si="2"/>
        <v>1.10995</v>
      </c>
      <c r="R18" s="34">
        <f t="shared" si="3"/>
        <v>-5.9599999999999653E-3</v>
      </c>
      <c r="S18" s="196"/>
      <c r="T18" s="212">
        <f>'[1]Washington volumes'!J18</f>
        <v>34823.1</v>
      </c>
      <c r="U18" s="211">
        <f t="shared" si="4"/>
        <v>38859.445520999994</v>
      </c>
      <c r="V18" s="211">
        <f t="shared" si="5"/>
        <v>38651.899845</v>
      </c>
      <c r="W18" s="211">
        <f t="shared" si="6"/>
        <v>-207.54567599999427</v>
      </c>
      <c r="X18" s="210">
        <f t="shared" si="7"/>
        <v>-5.3409325124784586E-3</v>
      </c>
      <c r="Z18" s="206"/>
    </row>
    <row r="19" spans="1:26" x14ac:dyDescent="0.35">
      <c r="A19" s="7">
        <f t="shared" si="0"/>
        <v>13</v>
      </c>
      <c r="B19" s="7" t="s">
        <v>48</v>
      </c>
      <c r="C19" s="103" t="s">
        <v>49</v>
      </c>
      <c r="D19" s="89">
        <f>+'Proposed Rates in detail'!D19</f>
        <v>1.0394899999999998</v>
      </c>
      <c r="E19" s="89">
        <f>+'Proposed Rates in detail'!I19-'Proposed Rates in detail'!E19</f>
        <v>-2.633000000000002E-2</v>
      </c>
      <c r="F19" s="89">
        <f>+'Proposed Rates in detail'!J19+'Proposed Rates in detail'!K19-'Proposed Rates in detail'!F19-'Proposed Rates in detail'!G19</f>
        <v>0</v>
      </c>
      <c r="G19" s="89">
        <f t="shared" si="1"/>
        <v>1.0131599999999998</v>
      </c>
      <c r="H19" s="89">
        <f>+'Proposed Rates in detail'!N19-'Proposed Rates in detail'!M19</f>
        <v>-4.519999999999999E-2</v>
      </c>
      <c r="I19" s="89"/>
      <c r="J19" s="89"/>
      <c r="K19" s="89"/>
      <c r="L19" s="89"/>
      <c r="M19" s="89"/>
      <c r="N19" s="89"/>
      <c r="O19" s="89"/>
      <c r="P19" s="89">
        <f>[1]Permanents!H19</f>
        <v>8.0000000000024496E-5</v>
      </c>
      <c r="Q19" s="89">
        <f t="shared" si="2"/>
        <v>0.96803999999999979</v>
      </c>
      <c r="R19" s="89">
        <f t="shared" si="3"/>
        <v>-7.1450000000000014E-2</v>
      </c>
      <c r="S19" s="196"/>
      <c r="T19" s="212">
        <f>'[1]Washington volumes'!J19</f>
        <v>1665389.3</v>
      </c>
      <c r="U19" s="211">
        <f t="shared" si="4"/>
        <v>1731155.5234569998</v>
      </c>
      <c r="V19" s="211">
        <f t="shared" si="5"/>
        <v>1612163.4579719997</v>
      </c>
      <c r="W19" s="211">
        <f t="shared" si="6"/>
        <v>-118992.06548500014</v>
      </c>
      <c r="X19" s="210">
        <f t="shared" si="7"/>
        <v>-6.8735629972390397E-2</v>
      </c>
      <c r="Z19" s="206"/>
    </row>
    <row r="20" spans="1:26" x14ac:dyDescent="0.35">
      <c r="A20" s="7">
        <f t="shared" si="0"/>
        <v>14</v>
      </c>
      <c r="B20" s="69"/>
      <c r="C20" s="213" t="s">
        <v>50</v>
      </c>
      <c r="D20" s="34">
        <f>+'Proposed Rates in detail'!D20</f>
        <v>0.98116000000000014</v>
      </c>
      <c r="E20" s="34">
        <f>+'Proposed Rates in detail'!I20-'Proposed Rates in detail'!E20</f>
        <v>-2.633000000000002E-2</v>
      </c>
      <c r="F20" s="34">
        <f>+'Proposed Rates in detail'!J20+'Proposed Rates in detail'!K20-'Proposed Rates in detail'!F20-'Proposed Rates in detail'!G20</f>
        <v>0</v>
      </c>
      <c r="G20" s="34">
        <f t="shared" si="1"/>
        <v>0.95483000000000007</v>
      </c>
      <c r="H20" s="34">
        <f>+'Proposed Rates in detail'!N20-'Proposed Rates in detail'!M20</f>
        <v>-4.521E-2</v>
      </c>
      <c r="I20" s="34"/>
      <c r="J20" s="34"/>
      <c r="K20" s="34"/>
      <c r="L20" s="34"/>
      <c r="M20" s="34"/>
      <c r="N20" s="34"/>
      <c r="O20" s="34"/>
      <c r="P20" s="34">
        <f>[1]Permanents!H20</f>
        <v>7.0000000000014495E-5</v>
      </c>
      <c r="Q20" s="34">
        <f t="shared" si="2"/>
        <v>0.90969000000000011</v>
      </c>
      <c r="R20" s="34">
        <f t="shared" si="3"/>
        <v>-7.1470000000000034E-2</v>
      </c>
      <c r="S20" s="196"/>
      <c r="T20" s="212">
        <f>'[1]Washington volumes'!J20</f>
        <v>2698480.8</v>
      </c>
      <c r="U20" s="211">
        <f t="shared" si="4"/>
        <v>2647641.421728</v>
      </c>
      <c r="V20" s="211">
        <f t="shared" si="5"/>
        <v>2454780.9989519999</v>
      </c>
      <c r="W20" s="211">
        <f t="shared" si="6"/>
        <v>-192860.42277600011</v>
      </c>
      <c r="X20" s="210">
        <f t="shared" si="7"/>
        <v>-7.2842349871580614E-2</v>
      </c>
      <c r="Z20" s="206"/>
    </row>
    <row r="21" spans="1:26" x14ac:dyDescent="0.35">
      <c r="A21" s="7">
        <f t="shared" si="0"/>
        <v>15</v>
      </c>
      <c r="B21" s="7" t="s">
        <v>53</v>
      </c>
      <c r="C21" s="103" t="s">
        <v>49</v>
      </c>
      <c r="D21" s="89">
        <f>+'Proposed Rates in detail'!D21</f>
        <v>0.94622000000000028</v>
      </c>
      <c r="E21" s="89">
        <f>+'Proposed Rates in detail'!I21-'Proposed Rates in detail'!E21</f>
        <v>-2.633000000000002E-2</v>
      </c>
      <c r="F21" s="89">
        <f>+'Proposed Rates in detail'!J21+'Proposed Rates in detail'!K21-'Proposed Rates in detail'!F21-'Proposed Rates in detail'!G21</f>
        <v>0</v>
      </c>
      <c r="G21" s="89">
        <f t="shared" si="1"/>
        <v>0.91989000000000032</v>
      </c>
      <c r="H21" s="89">
        <f>+'Proposed Rates in detail'!N21-'Proposed Rates in detail'!M21</f>
        <v>-4.5390000000000014E-2</v>
      </c>
      <c r="I21" s="89"/>
      <c r="J21" s="89"/>
      <c r="K21" s="89"/>
      <c r="L21" s="89"/>
      <c r="M21" s="89"/>
      <c r="N21" s="89"/>
      <c r="O21" s="89"/>
      <c r="P21" s="89">
        <f>[1]Permanents!H21</f>
        <v>7.0000000000014495E-5</v>
      </c>
      <c r="Q21" s="89">
        <f t="shared" si="2"/>
        <v>0.87457000000000029</v>
      </c>
      <c r="R21" s="89">
        <f t="shared" si="3"/>
        <v>-7.1649999999999991E-2</v>
      </c>
      <c r="S21" s="196"/>
      <c r="T21" s="212">
        <f>'[1]Washington volumes'!J21</f>
        <v>331379.44452066539</v>
      </c>
      <c r="U21" s="211">
        <f t="shared" si="4"/>
        <v>313557.85799434409</v>
      </c>
      <c r="V21" s="211">
        <f t="shared" si="5"/>
        <v>289814.52079443843</v>
      </c>
      <c r="W21" s="211">
        <f t="shared" si="6"/>
        <v>-23743.337199905654</v>
      </c>
      <c r="X21" s="210">
        <f t="shared" si="7"/>
        <v>-7.5722347868360337E-2</v>
      </c>
      <c r="Z21" s="206"/>
    </row>
    <row r="22" spans="1:26" x14ac:dyDescent="0.35">
      <c r="A22" s="7">
        <f t="shared" si="0"/>
        <v>16</v>
      </c>
      <c r="B22" s="69"/>
      <c r="C22" s="213" t="s">
        <v>50</v>
      </c>
      <c r="D22" s="34">
        <f>+'Proposed Rates in detail'!D22</f>
        <v>0.89908999999999961</v>
      </c>
      <c r="E22" s="34">
        <f>+'Proposed Rates in detail'!I22-'Proposed Rates in detail'!E22</f>
        <v>-2.633000000000002E-2</v>
      </c>
      <c r="F22" s="34">
        <f>+'Proposed Rates in detail'!J22+'Proposed Rates in detail'!K22-'Proposed Rates in detail'!F22-'Proposed Rates in detail'!G22</f>
        <v>0</v>
      </c>
      <c r="G22" s="34">
        <f t="shared" si="1"/>
        <v>0.87275999999999954</v>
      </c>
      <c r="H22" s="34">
        <f>+'Proposed Rates in detail'!N22-'Proposed Rates in detail'!M22</f>
        <v>-4.5449999999999963E-2</v>
      </c>
      <c r="I22" s="34"/>
      <c r="J22" s="34"/>
      <c r="K22" s="34"/>
      <c r="L22" s="34"/>
      <c r="M22" s="34"/>
      <c r="N22" s="34"/>
      <c r="O22" s="34"/>
      <c r="P22" s="34">
        <f>[1]Permanents!H22</f>
        <v>6.0000000000004494E-5</v>
      </c>
      <c r="Q22" s="34">
        <f t="shared" si="2"/>
        <v>0.82736999999999949</v>
      </c>
      <c r="R22" s="34">
        <f t="shared" si="3"/>
        <v>-7.1720000000000117E-2</v>
      </c>
      <c r="S22" s="196"/>
      <c r="T22" s="212">
        <f>'[1]Washington volumes'!J22</f>
        <v>593486.75547933462</v>
      </c>
      <c r="U22" s="211">
        <f t="shared" si="4"/>
        <v>533598.00698391476</v>
      </c>
      <c r="V22" s="211">
        <f t="shared" si="5"/>
        <v>491033.1368809368</v>
      </c>
      <c r="W22" s="211">
        <f t="shared" si="6"/>
        <v>-42564.870102977962</v>
      </c>
      <c r="X22" s="210">
        <f t="shared" si="7"/>
        <v>-7.9769544761926131E-2</v>
      </c>
      <c r="Z22" s="206"/>
    </row>
    <row r="23" spans="1:26" x14ac:dyDescent="0.35">
      <c r="A23" s="7">
        <f t="shared" si="0"/>
        <v>17</v>
      </c>
      <c r="B23" s="7" t="s">
        <v>54</v>
      </c>
      <c r="C23" s="103" t="s">
        <v>49</v>
      </c>
      <c r="D23" s="89">
        <f>+'Proposed Rates in detail'!D23</f>
        <v>0.96427000000000007</v>
      </c>
      <c r="E23" s="89">
        <f>+'Proposed Rates in detail'!I23-'Proposed Rates in detail'!E23</f>
        <v>-2.633000000000002E-2</v>
      </c>
      <c r="F23" s="89">
        <f>+'Proposed Rates in detail'!J23+'Proposed Rates in detail'!K23-'Proposed Rates in detail'!F23-'Proposed Rates in detail'!G23</f>
        <v>0</v>
      </c>
      <c r="G23" s="89">
        <f t="shared" si="1"/>
        <v>0.93794</v>
      </c>
      <c r="H23" s="89">
        <f>+'Proposed Rates in detail'!N23-'Proposed Rates in detail'!M23</f>
        <v>-1.1410000000000003E-2</v>
      </c>
      <c r="I23" s="89"/>
      <c r="J23" s="89"/>
      <c r="K23" s="89"/>
      <c r="L23" s="89"/>
      <c r="M23" s="89"/>
      <c r="N23" s="89"/>
      <c r="O23" s="89"/>
      <c r="P23" s="89">
        <f>[1]Permanents!H23</f>
        <v>7.0000000000014495E-5</v>
      </c>
      <c r="Q23" s="89">
        <f t="shared" si="2"/>
        <v>0.92659999999999998</v>
      </c>
      <c r="R23" s="89">
        <f t="shared" si="3"/>
        <v>-3.7670000000000092E-2</v>
      </c>
      <c r="S23" s="196"/>
      <c r="T23" s="212">
        <f>'[1]Washington volumes'!J23</f>
        <v>0</v>
      </c>
      <c r="U23" s="211">
        <f t="shared" si="4"/>
        <v>0</v>
      </c>
      <c r="V23" s="211">
        <f t="shared" si="5"/>
        <v>0</v>
      </c>
      <c r="W23" s="211">
        <f t="shared" si="6"/>
        <v>0</v>
      </c>
      <c r="X23" s="210">
        <f t="shared" si="7"/>
        <v>0</v>
      </c>
      <c r="Z23" s="206"/>
    </row>
    <row r="24" spans="1:26" x14ac:dyDescent="0.35">
      <c r="A24" s="7">
        <f t="shared" si="0"/>
        <v>18</v>
      </c>
      <c r="B24" s="69"/>
      <c r="C24" s="213" t="s">
        <v>50</v>
      </c>
      <c r="D24" s="34">
        <f>+'Proposed Rates in detail'!D24</f>
        <v>0.91047000000000022</v>
      </c>
      <c r="E24" s="34">
        <f>+'Proposed Rates in detail'!I24-'Proposed Rates in detail'!E24</f>
        <v>-2.633000000000002E-2</v>
      </c>
      <c r="F24" s="34">
        <f>+'Proposed Rates in detail'!J24+'Proposed Rates in detail'!K24-'Proposed Rates in detail'!F24-'Proposed Rates in detail'!G24</f>
        <v>0</v>
      </c>
      <c r="G24" s="34">
        <f t="shared" si="1"/>
        <v>0.88414000000000015</v>
      </c>
      <c r="H24" s="34">
        <f>+'Proposed Rates in detail'!N24-'Proposed Rates in detail'!M24</f>
        <v>-1.1599999999999971E-2</v>
      </c>
      <c r="I24" s="34"/>
      <c r="J24" s="34"/>
      <c r="K24" s="34"/>
      <c r="L24" s="34"/>
      <c r="M24" s="34"/>
      <c r="N24" s="34"/>
      <c r="O24" s="34"/>
      <c r="P24" s="34">
        <f>[1]Permanents!H24</f>
        <v>6.0000000000004494E-5</v>
      </c>
      <c r="Q24" s="34">
        <f t="shared" si="2"/>
        <v>0.87260000000000026</v>
      </c>
      <c r="R24" s="34">
        <f t="shared" si="3"/>
        <v>-3.7869999999999959E-2</v>
      </c>
      <c r="S24" s="196"/>
      <c r="T24" s="212">
        <f>'[1]Washington volumes'!J24</f>
        <v>0</v>
      </c>
      <c r="U24" s="211">
        <f t="shared" si="4"/>
        <v>0</v>
      </c>
      <c r="V24" s="211">
        <f t="shared" si="5"/>
        <v>0</v>
      </c>
      <c r="W24" s="211">
        <f t="shared" si="6"/>
        <v>0</v>
      </c>
      <c r="X24" s="210">
        <f t="shared" si="7"/>
        <v>0</v>
      </c>
      <c r="Z24" s="206"/>
    </row>
    <row r="25" spans="1:26" x14ac:dyDescent="0.35">
      <c r="A25" s="7">
        <f t="shared" si="0"/>
        <v>19</v>
      </c>
      <c r="B25" s="7" t="s">
        <v>55</v>
      </c>
      <c r="C25" s="103" t="s">
        <v>49</v>
      </c>
      <c r="D25" s="89">
        <f>+'Proposed Rates in detail'!D25</f>
        <v>0.90245000000000009</v>
      </c>
      <c r="E25" s="89">
        <f>+'Proposed Rates in detail'!I25-'Proposed Rates in detail'!E25</f>
        <v>-2.633000000000002E-2</v>
      </c>
      <c r="F25" s="89">
        <f>+'Proposed Rates in detail'!J25+'Proposed Rates in detail'!K25-'Proposed Rates in detail'!F25-'Proposed Rates in detail'!G25</f>
        <v>0</v>
      </c>
      <c r="G25" s="89">
        <f t="shared" si="1"/>
        <v>0.87612000000000001</v>
      </c>
      <c r="H25" s="89">
        <f>+'Proposed Rates in detail'!N25-'Proposed Rates in detail'!M25</f>
        <v>-1.3300000000000006E-2</v>
      </c>
      <c r="I25" s="89"/>
      <c r="J25" s="89"/>
      <c r="K25" s="89"/>
      <c r="L25" s="89"/>
      <c r="M25" s="89"/>
      <c r="N25" s="89"/>
      <c r="O25" s="89"/>
      <c r="P25" s="89">
        <f>[1]Permanents!H25</f>
        <v>7.0000000000014495E-5</v>
      </c>
      <c r="Q25" s="89">
        <f t="shared" si="2"/>
        <v>0.86289000000000005</v>
      </c>
      <c r="R25" s="89">
        <f t="shared" si="3"/>
        <v>-3.956000000000004E-2</v>
      </c>
      <c r="S25" s="196"/>
      <c r="T25" s="212">
        <f>'[1]Washington volumes'!J25</f>
        <v>0</v>
      </c>
      <c r="U25" s="211">
        <f t="shared" si="4"/>
        <v>0</v>
      </c>
      <c r="V25" s="211">
        <f t="shared" si="5"/>
        <v>0</v>
      </c>
      <c r="W25" s="211">
        <f t="shared" si="6"/>
        <v>0</v>
      </c>
      <c r="X25" s="210">
        <f t="shared" si="7"/>
        <v>0</v>
      </c>
      <c r="Z25" s="206"/>
    </row>
    <row r="26" spans="1:26" x14ac:dyDescent="0.35">
      <c r="A26" s="7">
        <f t="shared" si="0"/>
        <v>20</v>
      </c>
      <c r="B26" s="69"/>
      <c r="C26" s="213" t="s">
        <v>50</v>
      </c>
      <c r="D26" s="34">
        <f>+'Proposed Rates in detail'!D26</f>
        <v>0.8560899999999998</v>
      </c>
      <c r="E26" s="34">
        <f>+'Proposed Rates in detail'!I26-'Proposed Rates in detail'!E26</f>
        <v>-2.633000000000002E-2</v>
      </c>
      <c r="F26" s="34">
        <f>+'Proposed Rates in detail'!J26+'Proposed Rates in detail'!K26-'Proposed Rates in detail'!F26-'Proposed Rates in detail'!G26</f>
        <v>0</v>
      </c>
      <c r="G26" s="34">
        <f t="shared" si="1"/>
        <v>0.82975999999999983</v>
      </c>
      <c r="H26" s="34">
        <f>+'Proposed Rates in detail'!N26-'Proposed Rates in detail'!M26</f>
        <v>-1.3299999999999951E-2</v>
      </c>
      <c r="I26" s="34"/>
      <c r="J26" s="34"/>
      <c r="K26" s="34"/>
      <c r="L26" s="34"/>
      <c r="M26" s="34"/>
      <c r="N26" s="34"/>
      <c r="O26" s="34"/>
      <c r="P26" s="34">
        <f>[1]Permanents!H26</f>
        <v>6.0000000000004494E-5</v>
      </c>
      <c r="Q26" s="34">
        <f t="shared" si="2"/>
        <v>0.81651999999999991</v>
      </c>
      <c r="R26" s="34">
        <f t="shared" si="3"/>
        <v>-3.9569999999999883E-2</v>
      </c>
      <c r="S26" s="196"/>
      <c r="T26" s="212">
        <f>'[1]Washington volumes'!J26</f>
        <v>0</v>
      </c>
      <c r="U26" s="211">
        <f t="shared" si="4"/>
        <v>0</v>
      </c>
      <c r="V26" s="211">
        <f t="shared" si="5"/>
        <v>0</v>
      </c>
      <c r="W26" s="211">
        <f t="shared" si="6"/>
        <v>0</v>
      </c>
      <c r="X26" s="210">
        <f t="shared" si="7"/>
        <v>0</v>
      </c>
      <c r="Z26" s="206"/>
    </row>
    <row r="27" spans="1:26" x14ac:dyDescent="0.35">
      <c r="A27" s="7">
        <f t="shared" si="0"/>
        <v>21</v>
      </c>
      <c r="B27" s="7" t="s">
        <v>56</v>
      </c>
      <c r="C27" s="103" t="s">
        <v>49</v>
      </c>
      <c r="D27" s="89">
        <f>+'Proposed Rates in detail'!D27</f>
        <v>0.64044000000000001</v>
      </c>
      <c r="E27" s="89">
        <f>+'Proposed Rates in detail'!I27-'Proposed Rates in detail'!E27</f>
        <v>0</v>
      </c>
      <c r="F27" s="89">
        <f>+'Proposed Rates in detail'!J27+'Proposed Rates in detail'!K27-'Proposed Rates in detail'!F27-'Proposed Rates in detail'!G27</f>
        <v>0</v>
      </c>
      <c r="G27" s="89">
        <f t="shared" si="1"/>
        <v>0.64044000000000001</v>
      </c>
      <c r="H27" s="89">
        <f>+'Proposed Rates in detail'!N27-'Proposed Rates in detail'!M27</f>
        <v>2.0000000000020002E-5</v>
      </c>
      <c r="I27" s="89"/>
      <c r="J27" s="89"/>
      <c r="K27" s="89"/>
      <c r="L27" s="89"/>
      <c r="M27" s="89"/>
      <c r="N27" s="89"/>
      <c r="O27" s="89"/>
      <c r="P27" s="89">
        <f>[1]Permanents!H27</f>
        <v>0</v>
      </c>
      <c r="Q27" s="89">
        <f t="shared" si="2"/>
        <v>0.64046000000000003</v>
      </c>
      <c r="R27" s="89">
        <f t="shared" si="3"/>
        <v>2.0000000000020002E-5</v>
      </c>
      <c r="S27" s="196"/>
      <c r="T27" s="212">
        <f>'[1]Washington volumes'!J27</f>
        <v>123242.73967014518</v>
      </c>
      <c r="U27" s="211">
        <f t="shared" si="4"/>
        <v>78929.580194347785</v>
      </c>
      <c r="V27" s="211">
        <f t="shared" si="5"/>
        <v>78932.04504914119</v>
      </c>
      <c r="W27" s="211">
        <f t="shared" si="6"/>
        <v>2.4648547934048111</v>
      </c>
      <c r="X27" s="210">
        <f t="shared" si="7"/>
        <v>3.1228530385384232E-5</v>
      </c>
      <c r="Z27" s="206"/>
    </row>
    <row r="28" spans="1:26" x14ac:dyDescent="0.35">
      <c r="A28" s="7">
        <f t="shared" si="0"/>
        <v>22</v>
      </c>
      <c r="B28" s="69"/>
      <c r="C28" s="213" t="s">
        <v>50</v>
      </c>
      <c r="D28" s="34">
        <f>+'Proposed Rates in detail'!D28</f>
        <v>0.5930200000000001</v>
      </c>
      <c r="E28" s="34">
        <f>+'Proposed Rates in detail'!I28-'Proposed Rates in detail'!E28</f>
        <v>0</v>
      </c>
      <c r="F28" s="34">
        <f>+'Proposed Rates in detail'!J28+'Proposed Rates in detail'!K28-'Proposed Rates in detail'!F28-'Proposed Rates in detail'!G28</f>
        <v>0</v>
      </c>
      <c r="G28" s="34">
        <f t="shared" si="1"/>
        <v>0.5930200000000001</v>
      </c>
      <c r="H28" s="34">
        <f>+'Proposed Rates in detail'!N28-'Proposed Rates in detail'!M28</f>
        <v>-6.0000000000004494E-5</v>
      </c>
      <c r="I28" s="34"/>
      <c r="J28" s="34"/>
      <c r="K28" s="34"/>
      <c r="L28" s="34"/>
      <c r="M28" s="34"/>
      <c r="N28" s="34"/>
      <c r="O28" s="34"/>
      <c r="P28" s="34">
        <f>[1]Permanents!H28</f>
        <v>0</v>
      </c>
      <c r="Q28" s="34">
        <f t="shared" si="2"/>
        <v>0.59296000000000015</v>
      </c>
      <c r="R28" s="34">
        <f t="shared" si="3"/>
        <v>-5.9999999999948983E-5</v>
      </c>
      <c r="S28" s="196"/>
      <c r="T28" s="212">
        <f>'[1]Washington volumes'!J28</f>
        <v>284875.42061605473</v>
      </c>
      <c r="U28" s="211">
        <f t="shared" si="4"/>
        <v>168936.8219337328</v>
      </c>
      <c r="V28" s="211">
        <f t="shared" si="5"/>
        <v>168919.72940849586</v>
      </c>
      <c r="W28" s="211">
        <f t="shared" si="6"/>
        <v>-17.092525236948859</v>
      </c>
      <c r="X28" s="210">
        <f t="shared" si="7"/>
        <v>-1.0117702606986165E-4</v>
      </c>
      <c r="Z28" s="206"/>
    </row>
    <row r="29" spans="1:26" x14ac:dyDescent="0.35">
      <c r="A29" s="7">
        <f t="shared" si="0"/>
        <v>23</v>
      </c>
      <c r="B29" s="7" t="s">
        <v>57</v>
      </c>
      <c r="C29" s="103" t="s">
        <v>49</v>
      </c>
      <c r="D29" s="89">
        <f>+'Proposed Rates in detail'!D29</f>
        <v>0.62856000000000001</v>
      </c>
      <c r="E29" s="89">
        <f>+'Proposed Rates in detail'!I29-'Proposed Rates in detail'!E29</f>
        <v>0</v>
      </c>
      <c r="F29" s="89">
        <f>+'Proposed Rates in detail'!J29+'Proposed Rates in detail'!K29-'Proposed Rates in detail'!F29-'Proposed Rates in detail'!G29</f>
        <v>0</v>
      </c>
      <c r="G29" s="89">
        <f t="shared" si="1"/>
        <v>0.62856000000000001</v>
      </c>
      <c r="H29" s="89">
        <f>+'Proposed Rates in detail'!N29-'Proposed Rates in detail'!M29</f>
        <v>-2.9999999999974492E-5</v>
      </c>
      <c r="I29" s="89"/>
      <c r="J29" s="89"/>
      <c r="K29" s="89"/>
      <c r="L29" s="89"/>
      <c r="M29" s="89"/>
      <c r="N29" s="89"/>
      <c r="O29" s="89"/>
      <c r="P29" s="89">
        <f>[1]Permanents!H29</f>
        <v>0</v>
      </c>
      <c r="Q29" s="89">
        <f t="shared" si="2"/>
        <v>0.62853000000000003</v>
      </c>
      <c r="R29" s="89">
        <f t="shared" si="3"/>
        <v>-2.9999999999974492E-5</v>
      </c>
      <c r="S29" s="196"/>
      <c r="T29" s="212">
        <f>'[1]Washington volumes'!J29</f>
        <v>0</v>
      </c>
      <c r="U29" s="211">
        <f t="shared" si="4"/>
        <v>0</v>
      </c>
      <c r="V29" s="211">
        <f t="shared" si="5"/>
        <v>0</v>
      </c>
      <c r="W29" s="211">
        <f t="shared" si="6"/>
        <v>0</v>
      </c>
      <c r="X29" s="210">
        <f t="shared" si="7"/>
        <v>0</v>
      </c>
      <c r="Z29" s="206"/>
    </row>
    <row r="30" spans="1:26" x14ac:dyDescent="0.35">
      <c r="A30" s="7">
        <f t="shared" si="0"/>
        <v>24</v>
      </c>
      <c r="B30" s="69"/>
      <c r="C30" s="213" t="s">
        <v>50</v>
      </c>
      <c r="D30" s="34">
        <f>+'Proposed Rates in detail'!D30</f>
        <v>0.58256000000000019</v>
      </c>
      <c r="E30" s="34">
        <f>+'Proposed Rates in detail'!I30-'Proposed Rates in detail'!E30</f>
        <v>0</v>
      </c>
      <c r="F30" s="34">
        <f>+'Proposed Rates in detail'!J30+'Proposed Rates in detail'!K30-'Proposed Rates in detail'!F30-'Proposed Rates in detail'!G30</f>
        <v>0</v>
      </c>
      <c r="G30" s="34">
        <f t="shared" si="1"/>
        <v>0.58256000000000019</v>
      </c>
      <c r="H30" s="34">
        <f>+'Proposed Rates in detail'!N30-'Proposed Rates in detail'!M30</f>
        <v>-1.0999999999999899E-4</v>
      </c>
      <c r="I30" s="34"/>
      <c r="J30" s="34"/>
      <c r="K30" s="34"/>
      <c r="L30" s="34"/>
      <c r="M30" s="34"/>
      <c r="N30" s="34"/>
      <c r="O30" s="34"/>
      <c r="P30" s="34">
        <f>[1]Permanents!H30</f>
        <v>0</v>
      </c>
      <c r="Q30" s="34">
        <f t="shared" si="2"/>
        <v>0.58245000000000013</v>
      </c>
      <c r="R30" s="34">
        <f t="shared" si="3"/>
        <v>-1.100000000000545E-4</v>
      </c>
      <c r="S30" s="196"/>
      <c r="T30" s="212">
        <f>'[1]Washington volumes'!J30</f>
        <v>0</v>
      </c>
      <c r="U30" s="211">
        <f t="shared" si="4"/>
        <v>0</v>
      </c>
      <c r="V30" s="211">
        <f t="shared" si="5"/>
        <v>0</v>
      </c>
      <c r="W30" s="211">
        <f t="shared" si="6"/>
        <v>0</v>
      </c>
      <c r="X30" s="210">
        <f t="shared" si="7"/>
        <v>0</v>
      </c>
      <c r="Z30" s="206"/>
    </row>
    <row r="31" spans="1:26" x14ac:dyDescent="0.35">
      <c r="A31" s="7">
        <f t="shared" si="0"/>
        <v>25</v>
      </c>
      <c r="B31" s="7" t="s">
        <v>58</v>
      </c>
      <c r="C31" s="103" t="s">
        <v>49</v>
      </c>
      <c r="D31" s="89">
        <f>+'Proposed Rates in detail'!D31</f>
        <v>0.79625999999999986</v>
      </c>
      <c r="E31" s="89">
        <f>+'Proposed Rates in detail'!I31-'Proposed Rates in detail'!E31</f>
        <v>-2.633000000000002E-2</v>
      </c>
      <c r="F31" s="89">
        <f>+'Proposed Rates in detail'!J31+'Proposed Rates in detail'!K31-'Proposed Rates in detail'!F31-'Proposed Rates in detail'!G31</f>
        <v>0</v>
      </c>
      <c r="G31" s="89">
        <f t="shared" si="1"/>
        <v>0.76992999999999978</v>
      </c>
      <c r="H31" s="89">
        <f>+'Proposed Rates in detail'!N31-'Proposed Rates in detail'!M31</f>
        <v>-4.5259999999999939E-2</v>
      </c>
      <c r="I31" s="89"/>
      <c r="J31" s="89"/>
      <c r="K31" s="89"/>
      <c r="L31" s="89"/>
      <c r="M31" s="89"/>
      <c r="N31" s="89"/>
      <c r="O31" s="89"/>
      <c r="P31" s="89">
        <f>[1]Permanents!H31</f>
        <v>4.0000000000012248E-5</v>
      </c>
      <c r="Q31" s="89">
        <f t="shared" si="2"/>
        <v>0.72470999999999985</v>
      </c>
      <c r="R31" s="89">
        <f t="shared" si="3"/>
        <v>-7.1550000000000002E-2</v>
      </c>
      <c r="S31" s="196"/>
      <c r="T31" s="212">
        <f>'[1]Washington volumes'!J31</f>
        <v>820212.7</v>
      </c>
      <c r="U31" s="211">
        <f t="shared" si="4"/>
        <v>653102.56450199988</v>
      </c>
      <c r="V31" s="211">
        <f t="shared" si="5"/>
        <v>594416.34581699979</v>
      </c>
      <c r="W31" s="211">
        <f t="shared" si="6"/>
        <v>-58686.218685000087</v>
      </c>
      <c r="X31" s="210">
        <f t="shared" si="7"/>
        <v>-8.9857584206163965E-2</v>
      </c>
      <c r="Z31" s="206"/>
    </row>
    <row r="32" spans="1:26" x14ac:dyDescent="0.35">
      <c r="A32" s="7">
        <f t="shared" si="0"/>
        <v>26</v>
      </c>
      <c r="B32" s="7"/>
      <c r="C32" s="103" t="s">
        <v>50</v>
      </c>
      <c r="D32" s="89">
        <f>+'Proposed Rates in detail'!D32</f>
        <v>0.77026999999999957</v>
      </c>
      <c r="E32" s="89">
        <f>+'Proposed Rates in detail'!I32-'Proposed Rates in detail'!E32</f>
        <v>-2.633000000000002E-2</v>
      </c>
      <c r="F32" s="89">
        <f>+'Proposed Rates in detail'!J32+'Proposed Rates in detail'!K32-'Proposed Rates in detail'!F32-'Proposed Rates in detail'!G32</f>
        <v>0</v>
      </c>
      <c r="G32" s="89">
        <f t="shared" si="1"/>
        <v>0.7439399999999996</v>
      </c>
      <c r="H32" s="89">
        <f>+'Proposed Rates in detail'!N32-'Proposed Rates in detail'!M32</f>
        <v>-4.5239999999999975E-2</v>
      </c>
      <c r="I32" s="89"/>
      <c r="J32" s="89"/>
      <c r="K32" s="89"/>
      <c r="L32" s="89"/>
      <c r="M32" s="89"/>
      <c r="N32" s="89"/>
      <c r="O32" s="89"/>
      <c r="P32" s="89">
        <f>[1]Permanents!H32</f>
        <v>4.0000000000012248E-5</v>
      </c>
      <c r="Q32" s="89">
        <f t="shared" si="2"/>
        <v>0.69873999999999969</v>
      </c>
      <c r="R32" s="89">
        <f t="shared" si="3"/>
        <v>-7.1529999999999871E-2</v>
      </c>
      <c r="S32" s="196"/>
      <c r="T32" s="212">
        <f>'[1]Washington volumes'!J32</f>
        <v>926222.5</v>
      </c>
      <c r="U32" s="211">
        <f t="shared" si="4"/>
        <v>713441.40507499955</v>
      </c>
      <c r="V32" s="211">
        <f t="shared" si="5"/>
        <v>647188.70964999974</v>
      </c>
      <c r="W32" s="211">
        <f t="shared" si="6"/>
        <v>-66252.695424999809</v>
      </c>
      <c r="X32" s="210">
        <f t="shared" si="7"/>
        <v>-9.286354135562834E-2</v>
      </c>
      <c r="Z32" s="206"/>
    </row>
    <row r="33" spans="1:26" x14ac:dyDescent="0.35">
      <c r="A33" s="7">
        <f t="shared" si="0"/>
        <v>27</v>
      </c>
      <c r="B33" s="7"/>
      <c r="C33" s="103" t="s">
        <v>59</v>
      </c>
      <c r="D33" s="89">
        <f>+'Proposed Rates in detail'!D33</f>
        <v>0.71862999999999988</v>
      </c>
      <c r="E33" s="89">
        <f>+'Proposed Rates in detail'!I33-'Proposed Rates in detail'!E33</f>
        <v>-2.633000000000002E-2</v>
      </c>
      <c r="F33" s="89">
        <f>+'Proposed Rates in detail'!J33+'Proposed Rates in detail'!K33-'Proposed Rates in detail'!F33-'Proposed Rates in detail'!G33</f>
        <v>0</v>
      </c>
      <c r="G33" s="89">
        <f t="shared" si="1"/>
        <v>0.69229999999999992</v>
      </c>
      <c r="H33" s="89">
        <f>+'Proposed Rates in detail'!N33-'Proposed Rates in detail'!M33</f>
        <v>-4.522000000000001E-2</v>
      </c>
      <c r="I33" s="89"/>
      <c r="J33" s="89"/>
      <c r="K33" s="89"/>
      <c r="L33" s="89"/>
      <c r="M33" s="89"/>
      <c r="N33" s="89"/>
      <c r="O33" s="89"/>
      <c r="P33" s="89">
        <f>[1]Permanents!H33</f>
        <v>3.0000000000002247E-5</v>
      </c>
      <c r="Q33" s="89">
        <f t="shared" si="2"/>
        <v>0.64710999999999985</v>
      </c>
      <c r="R33" s="89">
        <f t="shared" si="3"/>
        <v>-7.1520000000000028E-2</v>
      </c>
      <c r="S33" s="196"/>
      <c r="T33" s="212">
        <f>'[1]Washington volumes'!J33</f>
        <v>323675.40000000002</v>
      </c>
      <c r="U33" s="211">
        <f t="shared" si="4"/>
        <v>232602.85270199997</v>
      </c>
      <c r="V33" s="211">
        <f t="shared" si="5"/>
        <v>209453.58809399998</v>
      </c>
      <c r="W33" s="211">
        <f t="shared" si="6"/>
        <v>-23149.264607999998</v>
      </c>
      <c r="X33" s="210">
        <f t="shared" si="7"/>
        <v>-9.9522702920835482E-2</v>
      </c>
      <c r="Z33" s="206"/>
    </row>
    <row r="34" spans="1:26" x14ac:dyDescent="0.35">
      <c r="A34" s="7">
        <f t="shared" si="0"/>
        <v>28</v>
      </c>
      <c r="B34" s="7"/>
      <c r="C34" s="103" t="s">
        <v>60</v>
      </c>
      <c r="D34" s="89">
        <f>+'Proposed Rates in detail'!D34</f>
        <v>0.68461000000000016</v>
      </c>
      <c r="E34" s="89">
        <f>+'Proposed Rates in detail'!I34-'Proposed Rates in detail'!E34</f>
        <v>-2.633000000000002E-2</v>
      </c>
      <c r="F34" s="89">
        <f>+'Proposed Rates in detail'!J34+'Proposed Rates in detail'!K34-'Proposed Rates in detail'!F34-'Proposed Rates in detail'!G34</f>
        <v>0</v>
      </c>
      <c r="G34" s="89">
        <f t="shared" si="1"/>
        <v>0.6582800000000002</v>
      </c>
      <c r="H34" s="89">
        <f>+'Proposed Rates in detail'!N34-'Proposed Rates in detail'!M34</f>
        <v>-4.518999999999998E-2</v>
      </c>
      <c r="I34" s="89"/>
      <c r="J34" s="89"/>
      <c r="K34" s="89"/>
      <c r="L34" s="89"/>
      <c r="M34" s="89"/>
      <c r="N34" s="89"/>
      <c r="O34" s="89"/>
      <c r="P34" s="89">
        <f>[1]Permanents!H34</f>
        <v>2.0000000000006124E-5</v>
      </c>
      <c r="Q34" s="89">
        <f t="shared" si="2"/>
        <v>0.61311000000000027</v>
      </c>
      <c r="R34" s="89">
        <f t="shared" si="3"/>
        <v>-7.1499999999999897E-2</v>
      </c>
      <c r="S34" s="196"/>
      <c r="T34" s="212">
        <f>'[1]Washington volumes'!J34</f>
        <v>84982.8</v>
      </c>
      <c r="U34" s="211">
        <f t="shared" si="4"/>
        <v>58180.074708000015</v>
      </c>
      <c r="V34" s="211">
        <f t="shared" si="5"/>
        <v>52103.804508000023</v>
      </c>
      <c r="W34" s="211">
        <f t="shared" si="6"/>
        <v>-6076.2701999999917</v>
      </c>
      <c r="X34" s="210">
        <f t="shared" si="7"/>
        <v>-0.10443902367771415</v>
      </c>
      <c r="Z34" s="206"/>
    </row>
    <row r="35" spans="1:26" x14ac:dyDescent="0.35">
      <c r="A35" s="7">
        <f t="shared" si="0"/>
        <v>29</v>
      </c>
      <c r="B35" s="7"/>
      <c r="C35" s="103" t="s">
        <v>61</v>
      </c>
      <c r="D35" s="89">
        <f>+'Proposed Rates in detail'!D35</f>
        <v>0.63927</v>
      </c>
      <c r="E35" s="89">
        <f>+'Proposed Rates in detail'!I35-'Proposed Rates in detail'!E35</f>
        <v>-2.633000000000002E-2</v>
      </c>
      <c r="F35" s="89">
        <f>+'Proposed Rates in detail'!J35+'Proposed Rates in detail'!K35-'Proposed Rates in detail'!F35-'Proposed Rates in detail'!G35</f>
        <v>0</v>
      </c>
      <c r="G35" s="89">
        <f t="shared" si="1"/>
        <v>0.61294000000000004</v>
      </c>
      <c r="H35" s="89">
        <f>+'Proposed Rates in detail'!N35-'Proposed Rates in detail'!M35</f>
        <v>-4.519999999999999E-2</v>
      </c>
      <c r="I35" s="89"/>
      <c r="J35" s="89"/>
      <c r="K35" s="89"/>
      <c r="L35" s="89"/>
      <c r="M35" s="89"/>
      <c r="N35" s="89"/>
      <c r="O35" s="89"/>
      <c r="P35" s="89">
        <f>[1]Permanents!H35</f>
        <v>2.0000000000006124E-5</v>
      </c>
      <c r="Q35" s="89">
        <f t="shared" si="2"/>
        <v>0.56776000000000004</v>
      </c>
      <c r="R35" s="89">
        <f t="shared" si="3"/>
        <v>-7.1509999999999962E-2</v>
      </c>
      <c r="S35" s="196"/>
      <c r="T35" s="212">
        <f>'[1]Washington volumes'!J35</f>
        <v>0</v>
      </c>
      <c r="U35" s="211">
        <f t="shared" si="4"/>
        <v>0</v>
      </c>
      <c r="V35" s="211">
        <f t="shared" si="5"/>
        <v>0</v>
      </c>
      <c r="W35" s="211">
        <f t="shared" si="6"/>
        <v>0</v>
      </c>
      <c r="X35" s="210">
        <f t="shared" si="7"/>
        <v>0</v>
      </c>
      <c r="Z35" s="206"/>
    </row>
    <row r="36" spans="1:26" x14ac:dyDescent="0.35">
      <c r="A36" s="7">
        <f t="shared" si="0"/>
        <v>30</v>
      </c>
      <c r="B36" s="69"/>
      <c r="C36" s="213" t="s">
        <v>62</v>
      </c>
      <c r="D36" s="34">
        <f>+'Proposed Rates in detail'!D36</f>
        <v>0.58259000000000005</v>
      </c>
      <c r="E36" s="34">
        <f>+'Proposed Rates in detail'!I36-'Proposed Rates in detail'!E36</f>
        <v>-2.633000000000002E-2</v>
      </c>
      <c r="F36" s="34">
        <f>+'Proposed Rates in detail'!J36+'Proposed Rates in detail'!K36-'Proposed Rates in detail'!F36-'Proposed Rates in detail'!G36</f>
        <v>0</v>
      </c>
      <c r="G36" s="34">
        <f t="shared" si="1"/>
        <v>0.55625999999999998</v>
      </c>
      <c r="H36" s="34">
        <f>+'Proposed Rates in detail'!N36-'Proposed Rates in detail'!M36</f>
        <v>-4.5149999999999968E-2</v>
      </c>
      <c r="I36" s="34"/>
      <c r="J36" s="34"/>
      <c r="K36" s="34"/>
      <c r="L36" s="34"/>
      <c r="M36" s="34"/>
      <c r="N36" s="34"/>
      <c r="O36" s="34"/>
      <c r="P36" s="34">
        <f>[1]Permanents!H36</f>
        <v>9.9999999999995925E-6</v>
      </c>
      <c r="Q36" s="34">
        <f t="shared" si="2"/>
        <v>0.51111999999999991</v>
      </c>
      <c r="R36" s="34">
        <f t="shared" si="3"/>
        <v>-7.1470000000000145E-2</v>
      </c>
      <c r="S36" s="196"/>
      <c r="T36" s="212">
        <f>'[1]Washington volumes'!J36</f>
        <v>0</v>
      </c>
      <c r="U36" s="211">
        <f t="shared" si="4"/>
        <v>0</v>
      </c>
      <c r="V36" s="211">
        <f t="shared" si="5"/>
        <v>0</v>
      </c>
      <c r="W36" s="211">
        <f t="shared" si="6"/>
        <v>0</v>
      </c>
      <c r="X36" s="210">
        <f t="shared" si="7"/>
        <v>0</v>
      </c>
      <c r="Z36" s="206"/>
    </row>
    <row r="37" spans="1:26" x14ac:dyDescent="0.35">
      <c r="A37" s="7">
        <f t="shared" si="0"/>
        <v>31</v>
      </c>
      <c r="B37" s="7" t="s">
        <v>63</v>
      </c>
      <c r="C37" s="103" t="s">
        <v>49</v>
      </c>
      <c r="D37" s="89">
        <f>+'Proposed Rates in detail'!D37</f>
        <v>0.73169000000000006</v>
      </c>
      <c r="E37" s="89">
        <f>+'Proposed Rates in detail'!I37-'Proposed Rates in detail'!E37</f>
        <v>-2.633000000000002E-2</v>
      </c>
      <c r="F37" s="89">
        <f>+'Proposed Rates in detail'!J37+'Proposed Rates in detail'!K37-'Proposed Rates in detail'!F37-'Proposed Rates in detail'!G37</f>
        <v>0</v>
      </c>
      <c r="G37" s="89">
        <f t="shared" si="1"/>
        <v>0.70535999999999999</v>
      </c>
      <c r="H37" s="89">
        <f>+'Proposed Rates in detail'!N37-'Proposed Rates in detail'!M37</f>
        <v>-4.5259999999999939E-2</v>
      </c>
      <c r="I37" s="89"/>
      <c r="J37" s="89"/>
      <c r="K37" s="89"/>
      <c r="L37" s="89"/>
      <c r="M37" s="89"/>
      <c r="N37" s="89"/>
      <c r="O37" s="89"/>
      <c r="P37" s="89">
        <f>[1]Permanents!H37</f>
        <v>4.9999999999994493E-5</v>
      </c>
      <c r="Q37" s="89">
        <f t="shared" si="2"/>
        <v>0.66015000000000001</v>
      </c>
      <c r="R37" s="89">
        <f t="shared" si="3"/>
        <v>-7.1540000000000048E-2</v>
      </c>
      <c r="S37" s="196"/>
      <c r="T37" s="212">
        <f>'[1]Washington volumes'!J37</f>
        <v>887029.75709862076</v>
      </c>
      <c r="U37" s="211">
        <f t="shared" si="4"/>
        <v>649030.80297148984</v>
      </c>
      <c r="V37" s="211">
        <f t="shared" si="5"/>
        <v>585572.69414865447</v>
      </c>
      <c r="W37" s="211">
        <f t="shared" si="6"/>
        <v>-63458.108822835376</v>
      </c>
      <c r="X37" s="210">
        <f t="shared" si="7"/>
        <v>-9.7773647309653058E-2</v>
      </c>
      <c r="Z37" s="206"/>
    </row>
    <row r="38" spans="1:26" x14ac:dyDescent="0.35">
      <c r="A38" s="7">
        <f t="shared" si="0"/>
        <v>32</v>
      </c>
      <c r="B38" s="7"/>
      <c r="C38" s="103" t="s">
        <v>50</v>
      </c>
      <c r="D38" s="89">
        <f>+'Proposed Rates in detail'!D38</f>
        <v>0.71257999999999988</v>
      </c>
      <c r="E38" s="89">
        <f>+'Proposed Rates in detail'!I38-'Proposed Rates in detail'!E38</f>
        <v>-2.633000000000002E-2</v>
      </c>
      <c r="F38" s="89">
        <f>+'Proposed Rates in detail'!J38+'Proposed Rates in detail'!K38-'Proposed Rates in detail'!F38-'Proposed Rates in detail'!G38</f>
        <v>0</v>
      </c>
      <c r="G38" s="89">
        <f t="shared" si="1"/>
        <v>0.6862499999999998</v>
      </c>
      <c r="H38" s="89">
        <f>+'Proposed Rates in detail'!N38-'Proposed Rates in detail'!M38</f>
        <v>-4.5309999999999989E-2</v>
      </c>
      <c r="I38" s="89"/>
      <c r="J38" s="89"/>
      <c r="K38" s="89"/>
      <c r="L38" s="89"/>
      <c r="M38" s="89"/>
      <c r="N38" s="89"/>
      <c r="O38" s="89"/>
      <c r="P38" s="89">
        <f>[1]Permanents!H38</f>
        <v>4.0000000000012248E-5</v>
      </c>
      <c r="Q38" s="89">
        <f t="shared" si="2"/>
        <v>0.64097999999999988</v>
      </c>
      <c r="R38" s="89">
        <f t="shared" si="3"/>
        <v>-7.1599999999999997E-2</v>
      </c>
      <c r="S38" s="196"/>
      <c r="T38" s="212">
        <f>'[1]Washington volumes'!J38</f>
        <v>668287.37243846827</v>
      </c>
      <c r="U38" s="211">
        <f t="shared" si="4"/>
        <v>476208.21585220366</v>
      </c>
      <c r="V38" s="211">
        <f t="shared" si="5"/>
        <v>428358.83998560929</v>
      </c>
      <c r="W38" s="211">
        <f t="shared" si="6"/>
        <v>-47849.375866594375</v>
      </c>
      <c r="X38" s="210">
        <f t="shared" si="7"/>
        <v>-0.10047994611131393</v>
      </c>
      <c r="Z38" s="206"/>
    </row>
    <row r="39" spans="1:26" x14ac:dyDescent="0.35">
      <c r="A39" s="7">
        <f t="shared" si="0"/>
        <v>33</v>
      </c>
      <c r="B39" s="7"/>
      <c r="C39" s="103" t="s">
        <v>59</v>
      </c>
      <c r="D39" s="89">
        <f>+'Proposed Rates in detail'!D39</f>
        <v>0.67456999999999967</v>
      </c>
      <c r="E39" s="89">
        <f>+'Proposed Rates in detail'!I39-'Proposed Rates in detail'!E39</f>
        <v>-2.633000000000002E-2</v>
      </c>
      <c r="F39" s="89">
        <f>+'Proposed Rates in detail'!J39+'Proposed Rates in detail'!K39-'Proposed Rates in detail'!F39-'Proposed Rates in detail'!G39</f>
        <v>0</v>
      </c>
      <c r="G39" s="89">
        <f t="shared" si="1"/>
        <v>0.64823999999999971</v>
      </c>
      <c r="H39" s="89">
        <f>+'Proposed Rates in detail'!N39-'Proposed Rates in detail'!M39</f>
        <v>-4.5429999999999943E-2</v>
      </c>
      <c r="I39" s="89"/>
      <c r="J39" s="89"/>
      <c r="K39" s="89"/>
      <c r="L39" s="89"/>
      <c r="M39" s="89"/>
      <c r="N39" s="89"/>
      <c r="O39" s="89"/>
      <c r="P39" s="89">
        <f>[1]Permanents!H39</f>
        <v>3.0000000000002247E-5</v>
      </c>
      <c r="Q39" s="89">
        <f t="shared" si="2"/>
        <v>0.60283999999999971</v>
      </c>
      <c r="R39" s="89">
        <f t="shared" si="3"/>
        <v>-7.172999999999996E-2</v>
      </c>
      <c r="S39" s="196"/>
      <c r="T39" s="212">
        <f>'[1]Washington volumes'!J39</f>
        <v>109047.67533172015</v>
      </c>
      <c r="U39" s="211">
        <f t="shared" si="4"/>
        <v>73560.290348518422</v>
      </c>
      <c r="V39" s="211">
        <f t="shared" si="5"/>
        <v>65738.30059697415</v>
      </c>
      <c r="W39" s="211">
        <f t="shared" si="6"/>
        <v>-7821.9897515442717</v>
      </c>
      <c r="X39" s="210">
        <f t="shared" si="7"/>
        <v>-0.10633440562135865</v>
      </c>
      <c r="Z39" s="206"/>
    </row>
    <row r="40" spans="1:26" x14ac:dyDescent="0.35">
      <c r="A40" s="7">
        <f t="shared" ref="A40:A71" si="8">+A39+1</f>
        <v>34</v>
      </c>
      <c r="B40" s="7"/>
      <c r="C40" s="103" t="s">
        <v>60</v>
      </c>
      <c r="D40" s="89">
        <f>+'Proposed Rates in detail'!D40</f>
        <v>0.64957000000000009</v>
      </c>
      <c r="E40" s="89">
        <f>+'Proposed Rates in detail'!I40-'Proposed Rates in detail'!E40</f>
        <v>-2.633000000000002E-2</v>
      </c>
      <c r="F40" s="89">
        <f>+'Proposed Rates in detail'!J40+'Proposed Rates in detail'!K40-'Proposed Rates in detail'!F40-'Proposed Rates in detail'!G40</f>
        <v>0</v>
      </c>
      <c r="G40" s="89">
        <f t="shared" si="1"/>
        <v>0.62324000000000002</v>
      </c>
      <c r="H40" s="89">
        <f>+'Proposed Rates in detail'!N40-'Proposed Rates in detail'!M40</f>
        <v>-4.5469999999999983E-2</v>
      </c>
      <c r="I40" s="89"/>
      <c r="J40" s="89"/>
      <c r="K40" s="89"/>
      <c r="L40" s="89"/>
      <c r="M40" s="89"/>
      <c r="N40" s="89"/>
      <c r="O40" s="89"/>
      <c r="P40" s="89">
        <f>[1]Permanents!H40</f>
        <v>2.0000000000006124E-5</v>
      </c>
      <c r="Q40" s="89">
        <f t="shared" si="2"/>
        <v>0.57779000000000003</v>
      </c>
      <c r="R40" s="89">
        <f t="shared" si="3"/>
        <v>-7.1780000000000066E-2</v>
      </c>
      <c r="S40" s="196"/>
      <c r="T40" s="212">
        <f>'[1]Washington volumes'!J40</f>
        <v>24232.772003191028</v>
      </c>
      <c r="U40" s="211">
        <f t="shared" si="4"/>
        <v>15740.881710112799</v>
      </c>
      <c r="V40" s="211">
        <f t="shared" si="5"/>
        <v>14001.453335723745</v>
      </c>
      <c r="W40" s="211">
        <f t="shared" si="6"/>
        <v>-1739.4283743890537</v>
      </c>
      <c r="X40" s="210">
        <f t="shared" si="7"/>
        <v>-0.11050387179210872</v>
      </c>
      <c r="Z40" s="206"/>
    </row>
    <row r="41" spans="1:26" x14ac:dyDescent="0.35">
      <c r="A41" s="7">
        <f t="shared" si="8"/>
        <v>35</v>
      </c>
      <c r="B41" s="7"/>
      <c r="C41" s="103" t="s">
        <v>61</v>
      </c>
      <c r="D41" s="89">
        <f>+'Proposed Rates in detail'!D41</f>
        <v>0.61626000000000036</v>
      </c>
      <c r="E41" s="89">
        <f>+'Proposed Rates in detail'!I41-'Proposed Rates in detail'!E41</f>
        <v>-2.633000000000002E-2</v>
      </c>
      <c r="F41" s="89">
        <f>+'Proposed Rates in detail'!J41+'Proposed Rates in detail'!K41-'Proposed Rates in detail'!F41-'Proposed Rates in detail'!G41</f>
        <v>0</v>
      </c>
      <c r="G41" s="89">
        <f t="shared" si="1"/>
        <v>0.58993000000000029</v>
      </c>
      <c r="H41" s="89">
        <f>+'Proposed Rates in detail'!N41-'Proposed Rates in detail'!M41</f>
        <v>-4.5579999999999982E-2</v>
      </c>
      <c r="I41" s="89"/>
      <c r="J41" s="89"/>
      <c r="K41" s="89"/>
      <c r="L41" s="89"/>
      <c r="M41" s="89"/>
      <c r="N41" s="89"/>
      <c r="O41" s="89"/>
      <c r="P41" s="89">
        <f>[1]Permanents!H41</f>
        <v>1.9999999999999185E-5</v>
      </c>
      <c r="Q41" s="89">
        <f t="shared" si="2"/>
        <v>0.54437000000000035</v>
      </c>
      <c r="R41" s="89">
        <f t="shared" si="3"/>
        <v>-7.1890000000000009E-2</v>
      </c>
      <c r="S41" s="196"/>
      <c r="T41" s="212">
        <f>'[1]Washington volumes'!J41</f>
        <v>0</v>
      </c>
      <c r="U41" s="211">
        <f t="shared" si="4"/>
        <v>0</v>
      </c>
      <c r="V41" s="211">
        <f t="shared" si="5"/>
        <v>0</v>
      </c>
      <c r="W41" s="211">
        <f t="shared" si="6"/>
        <v>0</v>
      </c>
      <c r="X41" s="210">
        <f t="shared" si="7"/>
        <v>0</v>
      </c>
      <c r="Z41" s="206"/>
    </row>
    <row r="42" spans="1:26" x14ac:dyDescent="0.35">
      <c r="A42" s="7">
        <f t="shared" si="8"/>
        <v>36</v>
      </c>
      <c r="B42" s="69"/>
      <c r="C42" s="213" t="s">
        <v>62</v>
      </c>
      <c r="D42" s="34">
        <f>+'Proposed Rates in detail'!D42</f>
        <v>0.57454999999999989</v>
      </c>
      <c r="E42" s="34">
        <f>+'Proposed Rates in detail'!I42-'Proposed Rates in detail'!E42</f>
        <v>-2.633000000000002E-2</v>
      </c>
      <c r="F42" s="34">
        <f>+'Proposed Rates in detail'!J42+'Proposed Rates in detail'!K42-'Proposed Rates in detail'!F42-'Proposed Rates in detail'!G42</f>
        <v>0</v>
      </c>
      <c r="G42" s="34">
        <f t="shared" si="1"/>
        <v>0.54821999999999993</v>
      </c>
      <c r="H42" s="34">
        <f>+'Proposed Rates in detail'!N42-'Proposed Rates in detail'!M42</f>
        <v>-4.5690000000000008E-2</v>
      </c>
      <c r="I42" s="34"/>
      <c r="J42" s="34"/>
      <c r="K42" s="34"/>
      <c r="L42" s="34"/>
      <c r="M42" s="34"/>
      <c r="N42" s="34"/>
      <c r="O42" s="34"/>
      <c r="P42" s="34">
        <f>[1]Permanents!H42</f>
        <v>9.9999999999995925E-6</v>
      </c>
      <c r="Q42" s="34">
        <f t="shared" si="2"/>
        <v>0.50253999999999988</v>
      </c>
      <c r="R42" s="34">
        <f t="shared" si="3"/>
        <v>-7.2010000000000018E-2</v>
      </c>
      <c r="S42" s="196"/>
      <c r="T42" s="212">
        <f>'[1]Washington volumes'!J42</f>
        <v>0</v>
      </c>
      <c r="U42" s="211">
        <f t="shared" si="4"/>
        <v>0</v>
      </c>
      <c r="V42" s="211">
        <f t="shared" si="5"/>
        <v>0</v>
      </c>
      <c r="W42" s="211">
        <f t="shared" si="6"/>
        <v>0</v>
      </c>
      <c r="X42" s="210">
        <f t="shared" si="7"/>
        <v>0</v>
      </c>
      <c r="Z42" s="206"/>
    </row>
    <row r="43" spans="1:26" x14ac:dyDescent="0.35">
      <c r="A43" s="7">
        <f t="shared" si="8"/>
        <v>37</v>
      </c>
      <c r="B43" s="7" t="s">
        <v>64</v>
      </c>
      <c r="C43" s="103" t="s">
        <v>49</v>
      </c>
      <c r="D43" s="89">
        <f>+'Proposed Rates in detail'!D43</f>
        <v>0.40332000000000001</v>
      </c>
      <c r="E43" s="89">
        <f>+'Proposed Rates in detail'!I43-'Proposed Rates in detail'!E43</f>
        <v>0</v>
      </c>
      <c r="F43" s="89">
        <f>+'Proposed Rates in detail'!J43+'Proposed Rates in detail'!K43-'Proposed Rates in detail'!F43-'Proposed Rates in detail'!G43</f>
        <v>0</v>
      </c>
      <c r="G43" s="89">
        <f t="shared" si="1"/>
        <v>0.40332000000000001</v>
      </c>
      <c r="H43" s="89">
        <f>+'Proposed Rates in detail'!N43-'Proposed Rates in detail'!M43</f>
        <v>-4.0000000000001146E-4</v>
      </c>
      <c r="I43" s="89"/>
      <c r="J43" s="89"/>
      <c r="K43" s="89"/>
      <c r="L43" s="89"/>
      <c r="M43" s="89"/>
      <c r="N43" s="89"/>
      <c r="O43" s="89"/>
      <c r="P43" s="89">
        <f>[1]Permanents!H43</f>
        <v>0</v>
      </c>
      <c r="Q43" s="89">
        <f t="shared" si="2"/>
        <v>0.40292</v>
      </c>
      <c r="R43" s="89">
        <f t="shared" si="3"/>
        <v>-4.0000000000001146E-4</v>
      </c>
      <c r="S43" s="196"/>
      <c r="T43" s="212">
        <f>'[1]Washington volumes'!J43</f>
        <v>122543.87639893022</v>
      </c>
      <c r="U43" s="211">
        <f t="shared" si="4"/>
        <v>49424.396229216538</v>
      </c>
      <c r="V43" s="211">
        <f t="shared" si="5"/>
        <v>49375.378678656969</v>
      </c>
      <c r="W43" s="211">
        <f t="shared" si="6"/>
        <v>-49.017550559568917</v>
      </c>
      <c r="X43" s="210">
        <f t="shared" si="7"/>
        <v>-9.9176832291970169E-4</v>
      </c>
      <c r="Z43" s="206"/>
    </row>
    <row r="44" spans="1:26" x14ac:dyDescent="0.35">
      <c r="A44" s="7">
        <f t="shared" si="8"/>
        <v>38</v>
      </c>
      <c r="B44" s="7"/>
      <c r="C44" s="103" t="s">
        <v>50</v>
      </c>
      <c r="D44" s="89">
        <f>+'Proposed Rates in detail'!D44</f>
        <v>0.38640000000000002</v>
      </c>
      <c r="E44" s="89">
        <f>+'Proposed Rates in detail'!I44-'Proposed Rates in detail'!E44</f>
        <v>0</v>
      </c>
      <c r="F44" s="89">
        <f>+'Proposed Rates in detail'!J44+'Proposed Rates in detail'!K44-'Proposed Rates in detail'!F44-'Proposed Rates in detail'!G44</f>
        <v>0</v>
      </c>
      <c r="G44" s="89">
        <f t="shared" si="1"/>
        <v>0.38640000000000002</v>
      </c>
      <c r="H44" s="89">
        <f>+'Proposed Rates in detail'!N44-'Proposed Rates in detail'!M44</f>
        <v>-4.2999999999998595E-4</v>
      </c>
      <c r="I44" s="89"/>
      <c r="J44" s="89"/>
      <c r="K44" s="89"/>
      <c r="L44" s="89"/>
      <c r="M44" s="89"/>
      <c r="N44" s="89"/>
      <c r="O44" s="89"/>
      <c r="P44" s="89">
        <f>[1]Permanents!H44</f>
        <v>0</v>
      </c>
      <c r="Q44" s="89">
        <f t="shared" si="2"/>
        <v>0.38597000000000004</v>
      </c>
      <c r="R44" s="89">
        <f t="shared" si="3"/>
        <v>-4.2999999999998595E-4</v>
      </c>
      <c r="S44" s="196"/>
      <c r="T44" s="212">
        <f>'[1]Washington volumes'!J44</f>
        <v>245087.75279786045</v>
      </c>
      <c r="U44" s="211">
        <f t="shared" si="4"/>
        <v>94701.907681093289</v>
      </c>
      <c r="V44" s="211">
        <f t="shared" si="5"/>
        <v>94596.519947390203</v>
      </c>
      <c r="W44" s="211">
        <f t="shared" si="6"/>
        <v>-105.38773370308627</v>
      </c>
      <c r="X44" s="210">
        <f t="shared" si="7"/>
        <v>-1.1128364389234617E-3</v>
      </c>
      <c r="Z44" s="206"/>
    </row>
    <row r="45" spans="1:26" x14ac:dyDescent="0.35">
      <c r="A45" s="7">
        <f t="shared" si="8"/>
        <v>39</v>
      </c>
      <c r="B45" s="7"/>
      <c r="C45" s="103" t="s">
        <v>59</v>
      </c>
      <c r="D45" s="89">
        <f>+'Proposed Rates in detail'!D45</f>
        <v>0.35268999999999995</v>
      </c>
      <c r="E45" s="89">
        <f>+'Proposed Rates in detail'!I45-'Proposed Rates in detail'!E45</f>
        <v>0</v>
      </c>
      <c r="F45" s="89">
        <f>+'Proposed Rates in detail'!J45+'Proposed Rates in detail'!K45-'Proposed Rates in detail'!F45-'Proposed Rates in detail'!G45</f>
        <v>0</v>
      </c>
      <c r="G45" s="89">
        <f t="shared" ref="G45:G76" si="9">+D45+E45+F45</f>
        <v>0.35268999999999995</v>
      </c>
      <c r="H45" s="89">
        <f>+'Proposed Rates in detail'!N45-'Proposed Rates in detail'!M45</f>
        <v>-5.0999999999998269E-4</v>
      </c>
      <c r="I45" s="89"/>
      <c r="J45" s="89"/>
      <c r="K45" s="89"/>
      <c r="L45" s="89"/>
      <c r="M45" s="89"/>
      <c r="N45" s="89"/>
      <c r="O45" s="89"/>
      <c r="P45" s="89">
        <f>[1]Permanents!H45</f>
        <v>0</v>
      </c>
      <c r="Q45" s="89">
        <f t="shared" ref="Q45:Q76" si="10">+G45+H45+P45</f>
        <v>0.35217999999999994</v>
      </c>
      <c r="R45" s="89">
        <f t="shared" ref="R45:R76" si="11">Q45-D45</f>
        <v>-5.1000000000001044E-4</v>
      </c>
      <c r="S45" s="196"/>
      <c r="T45" s="212">
        <f>'[1]Washington volumes'!J45</f>
        <v>245087.75279786045</v>
      </c>
      <c r="U45" s="211">
        <f t="shared" ref="U45:U76" si="12">T45*D45</f>
        <v>86439.999534277391</v>
      </c>
      <c r="V45" s="211">
        <f t="shared" ref="V45:V80" si="13">T45*Q45</f>
        <v>86315.004780350471</v>
      </c>
      <c r="W45" s="211">
        <f t="shared" ref="W45:W76" si="14">V45-U45</f>
        <v>-124.99475392691966</v>
      </c>
      <c r="X45" s="210">
        <f t="shared" ref="X45:X76" si="15">IF(W45=0,0,(V45-U45)/U45)</f>
        <v>-1.4460290907030091E-3</v>
      </c>
      <c r="Z45" s="206"/>
    </row>
    <row r="46" spans="1:26" x14ac:dyDescent="0.35">
      <c r="A46" s="7">
        <f t="shared" si="8"/>
        <v>40</v>
      </c>
      <c r="B46" s="7"/>
      <c r="C46" s="103" t="s">
        <v>60</v>
      </c>
      <c r="D46" s="89">
        <f>+'Proposed Rates in detail'!D46</f>
        <v>0.33054000000000006</v>
      </c>
      <c r="E46" s="89">
        <f>+'Proposed Rates in detail'!I46-'Proposed Rates in detail'!E46</f>
        <v>0</v>
      </c>
      <c r="F46" s="89">
        <f>+'Proposed Rates in detail'!J46+'Proposed Rates in detail'!K46-'Proposed Rates in detail'!F46-'Proposed Rates in detail'!G46</f>
        <v>0</v>
      </c>
      <c r="G46" s="89">
        <f t="shared" si="9"/>
        <v>0.33054000000000006</v>
      </c>
      <c r="H46" s="89">
        <f>+'Proposed Rates in detail'!N46-'Proposed Rates in detail'!M46</f>
        <v>-5.7999999999999718E-4</v>
      </c>
      <c r="I46" s="89"/>
      <c r="J46" s="89"/>
      <c r="K46" s="89"/>
      <c r="L46" s="89"/>
      <c r="M46" s="89"/>
      <c r="N46" s="89"/>
      <c r="O46" s="89"/>
      <c r="P46" s="89">
        <f>[1]Permanents!H46</f>
        <v>0</v>
      </c>
      <c r="Q46" s="89">
        <f t="shared" si="10"/>
        <v>0.32996000000000003</v>
      </c>
      <c r="R46" s="89">
        <f t="shared" si="11"/>
        <v>-5.8000000000002494E-4</v>
      </c>
      <c r="S46" s="196"/>
      <c r="T46" s="212">
        <f>'[1]Washington volumes'!J46</f>
        <v>403343.97837634891</v>
      </c>
      <c r="U46" s="211">
        <f t="shared" si="12"/>
        <v>133321.3186125184</v>
      </c>
      <c r="V46" s="211">
        <f t="shared" si="13"/>
        <v>133087.3791050601</v>
      </c>
      <c r="W46" s="211">
        <f t="shared" si="14"/>
        <v>-233.9395074583008</v>
      </c>
      <c r="X46" s="210">
        <f t="shared" si="15"/>
        <v>-1.7547044230654249E-3</v>
      </c>
      <c r="Z46" s="206"/>
    </row>
    <row r="47" spans="1:26" x14ac:dyDescent="0.35">
      <c r="A47" s="7">
        <f t="shared" si="8"/>
        <v>41</v>
      </c>
      <c r="B47" s="7"/>
      <c r="C47" s="103" t="s">
        <v>61</v>
      </c>
      <c r="D47" s="89">
        <f>+'Proposed Rates in detail'!D47</f>
        <v>0.30097000000000007</v>
      </c>
      <c r="E47" s="89">
        <f>+'Proposed Rates in detail'!I47-'Proposed Rates in detail'!E47</f>
        <v>0</v>
      </c>
      <c r="F47" s="89">
        <f>+'Proposed Rates in detail'!J47+'Proposed Rates in detail'!K47-'Proposed Rates in detail'!F47-'Proposed Rates in detail'!G47</f>
        <v>0</v>
      </c>
      <c r="G47" s="89">
        <f t="shared" si="9"/>
        <v>0.30097000000000007</v>
      </c>
      <c r="H47" s="89">
        <f>+'Proposed Rates in detail'!N47-'Proposed Rates in detail'!M47</f>
        <v>-6.3000000000001943E-4</v>
      </c>
      <c r="I47" s="89"/>
      <c r="J47" s="89"/>
      <c r="K47" s="89"/>
      <c r="L47" s="89"/>
      <c r="M47" s="89"/>
      <c r="N47" s="89"/>
      <c r="O47" s="89"/>
      <c r="P47" s="89">
        <f>[1]Permanents!H47</f>
        <v>0</v>
      </c>
      <c r="Q47" s="89">
        <f t="shared" si="10"/>
        <v>0.30034000000000005</v>
      </c>
      <c r="R47" s="89">
        <f t="shared" si="11"/>
        <v>-6.3000000000001943E-4</v>
      </c>
      <c r="S47" s="196"/>
      <c r="T47" s="212">
        <f>'[1]Washington volumes'!J47</f>
        <v>0</v>
      </c>
      <c r="U47" s="211">
        <f t="shared" si="12"/>
        <v>0</v>
      </c>
      <c r="V47" s="211">
        <f t="shared" si="13"/>
        <v>0</v>
      </c>
      <c r="W47" s="211">
        <f t="shared" si="14"/>
        <v>0</v>
      </c>
      <c r="X47" s="210">
        <f t="shared" si="15"/>
        <v>0</v>
      </c>
      <c r="Z47" s="206"/>
    </row>
    <row r="48" spans="1:26" x14ac:dyDescent="0.35">
      <c r="A48" s="7">
        <f t="shared" si="8"/>
        <v>42</v>
      </c>
      <c r="B48" s="69"/>
      <c r="C48" s="213" t="s">
        <v>62</v>
      </c>
      <c r="D48" s="34">
        <f>+'Proposed Rates in detail'!D48</f>
        <v>0.26403000000000004</v>
      </c>
      <c r="E48" s="34">
        <f>+'Proposed Rates in detail'!I48-'Proposed Rates in detail'!E48</f>
        <v>0</v>
      </c>
      <c r="F48" s="34">
        <f>+'Proposed Rates in detail'!J48+'Proposed Rates in detail'!K48-'Proposed Rates in detail'!F48-'Proposed Rates in detail'!G48</f>
        <v>0</v>
      </c>
      <c r="G48" s="34">
        <f t="shared" si="9"/>
        <v>0.26403000000000004</v>
      </c>
      <c r="H48" s="34">
        <f>+'Proposed Rates in detail'!N48-'Proposed Rates in detail'!M48</f>
        <v>-7.1999999999999842E-4</v>
      </c>
      <c r="I48" s="34"/>
      <c r="J48" s="34"/>
      <c r="K48" s="34"/>
      <c r="L48" s="34"/>
      <c r="M48" s="34"/>
      <c r="N48" s="34"/>
      <c r="O48" s="34"/>
      <c r="P48" s="34">
        <f>[1]Permanents!H48</f>
        <v>0</v>
      </c>
      <c r="Q48" s="34">
        <f t="shared" si="10"/>
        <v>0.26331000000000004</v>
      </c>
      <c r="R48" s="34">
        <f t="shared" si="11"/>
        <v>-7.1999999999999842E-4</v>
      </c>
      <c r="S48" s="196"/>
      <c r="T48" s="212">
        <f>'[1]Washington volumes'!J48</f>
        <v>0</v>
      </c>
      <c r="U48" s="211">
        <f t="shared" si="12"/>
        <v>0</v>
      </c>
      <c r="V48" s="211">
        <f t="shared" si="13"/>
        <v>0</v>
      </c>
      <c r="W48" s="211">
        <f t="shared" si="14"/>
        <v>0</v>
      </c>
      <c r="X48" s="210">
        <f t="shared" si="15"/>
        <v>0</v>
      </c>
      <c r="Z48" s="206"/>
    </row>
    <row r="49" spans="1:26" x14ac:dyDescent="0.35">
      <c r="A49" s="7">
        <f t="shared" si="8"/>
        <v>43</v>
      </c>
      <c r="B49" s="7" t="s">
        <v>65</v>
      </c>
      <c r="C49" s="103" t="s">
        <v>49</v>
      </c>
      <c r="D49" s="89">
        <f>+'Proposed Rates in detail'!D49</f>
        <v>0.40095999999999998</v>
      </c>
      <c r="E49" s="89">
        <f>+'Proposed Rates in detail'!I49-'Proposed Rates in detail'!E49</f>
        <v>0</v>
      </c>
      <c r="F49" s="89">
        <f>+'Proposed Rates in detail'!J49+'Proposed Rates in detail'!K49-'Proposed Rates in detail'!F49-'Proposed Rates in detail'!G49</f>
        <v>0</v>
      </c>
      <c r="G49" s="89">
        <f t="shared" si="9"/>
        <v>0.40095999999999998</v>
      </c>
      <c r="H49" s="89">
        <f>+'Proposed Rates in detail'!N49-'Proposed Rates in detail'!M49</f>
        <v>-3.899999999999737E-4</v>
      </c>
      <c r="I49" s="89"/>
      <c r="J49" s="89"/>
      <c r="K49" s="89"/>
      <c r="L49" s="89"/>
      <c r="M49" s="89"/>
      <c r="N49" s="89"/>
      <c r="O49" s="89"/>
      <c r="P49" s="89">
        <f>[1]Permanents!H49</f>
        <v>0</v>
      </c>
      <c r="Q49" s="89">
        <f t="shared" si="10"/>
        <v>0.40056999999999998</v>
      </c>
      <c r="R49" s="89">
        <f t="shared" si="11"/>
        <v>-3.9000000000000146E-4</v>
      </c>
      <c r="S49" s="196"/>
      <c r="T49" s="212">
        <f>'[1]Washington volumes'!J49</f>
        <v>933451.95163091726</v>
      </c>
      <c r="U49" s="211">
        <f t="shared" si="12"/>
        <v>374276.89452593256</v>
      </c>
      <c r="V49" s="211">
        <f t="shared" si="13"/>
        <v>373912.84826479648</v>
      </c>
      <c r="W49" s="211">
        <f t="shared" si="14"/>
        <v>-364.04626113607083</v>
      </c>
      <c r="X49" s="210">
        <f t="shared" si="15"/>
        <v>-9.726656025539058E-4</v>
      </c>
      <c r="Z49" s="206"/>
    </row>
    <row r="50" spans="1:26" x14ac:dyDescent="0.35">
      <c r="A50" s="7">
        <f t="shared" si="8"/>
        <v>44</v>
      </c>
      <c r="B50" s="7"/>
      <c r="C50" s="103" t="s">
        <v>50</v>
      </c>
      <c r="D50" s="89">
        <f>+'Proposed Rates in detail'!D50</f>
        <v>0.38426999999999989</v>
      </c>
      <c r="E50" s="89">
        <f>+'Proposed Rates in detail'!I50-'Proposed Rates in detail'!E50</f>
        <v>0</v>
      </c>
      <c r="F50" s="89">
        <f>+'Proposed Rates in detail'!J50+'Proposed Rates in detail'!K50-'Proposed Rates in detail'!F50-'Proposed Rates in detail'!G50</f>
        <v>0</v>
      </c>
      <c r="G50" s="89">
        <f t="shared" si="9"/>
        <v>0.38426999999999989</v>
      </c>
      <c r="H50" s="89">
        <f>+'Proposed Rates in detail'!N50-'Proposed Rates in detail'!M50</f>
        <v>-4.200000000000037E-4</v>
      </c>
      <c r="I50" s="89"/>
      <c r="J50" s="89"/>
      <c r="K50" s="89"/>
      <c r="L50" s="89"/>
      <c r="M50" s="89"/>
      <c r="N50" s="89"/>
      <c r="O50" s="89"/>
      <c r="P50" s="89">
        <f>[1]Permanents!H50</f>
        <v>0</v>
      </c>
      <c r="Q50" s="89">
        <f t="shared" si="10"/>
        <v>0.38384999999999991</v>
      </c>
      <c r="R50" s="89">
        <f t="shared" si="11"/>
        <v>-4.1999999999997595E-4</v>
      </c>
      <c r="S50" s="196"/>
      <c r="T50" s="212">
        <f>'[1]Washington volumes'!J50</f>
        <v>1354331.8549391942</v>
      </c>
      <c r="U50" s="211">
        <f t="shared" si="12"/>
        <v>520429.10189748398</v>
      </c>
      <c r="V50" s="211">
        <f t="shared" si="13"/>
        <v>519860.28251840954</v>
      </c>
      <c r="W50" s="211">
        <f t="shared" si="14"/>
        <v>-568.8193790744408</v>
      </c>
      <c r="X50" s="210">
        <f t="shared" si="15"/>
        <v>-1.0929814973846118E-3</v>
      </c>
      <c r="Z50" s="206"/>
    </row>
    <row r="51" spans="1:26" x14ac:dyDescent="0.35">
      <c r="A51" s="7">
        <f t="shared" si="8"/>
        <v>45</v>
      </c>
      <c r="B51" s="7"/>
      <c r="C51" s="103" t="s">
        <v>59</v>
      </c>
      <c r="D51" s="89">
        <f>+'Proposed Rates in detail'!D51</f>
        <v>0.35105000000000003</v>
      </c>
      <c r="E51" s="89">
        <f>+'Proposed Rates in detail'!I51-'Proposed Rates in detail'!E51</f>
        <v>0</v>
      </c>
      <c r="F51" s="89">
        <f>+'Proposed Rates in detail'!J51+'Proposed Rates in detail'!K51-'Proposed Rates in detail'!F51-'Proposed Rates in detail'!G51</f>
        <v>0</v>
      </c>
      <c r="G51" s="89">
        <f t="shared" si="9"/>
        <v>0.35105000000000003</v>
      </c>
      <c r="H51" s="89">
        <f>+'Proposed Rates in detail'!N51-'Proposed Rates in detail'!M51</f>
        <v>-4.8999999999999044E-4</v>
      </c>
      <c r="I51" s="89"/>
      <c r="J51" s="89"/>
      <c r="K51" s="89"/>
      <c r="L51" s="89"/>
      <c r="M51" s="89"/>
      <c r="N51" s="89"/>
      <c r="O51" s="89"/>
      <c r="P51" s="89">
        <f>[1]Permanents!H51</f>
        <v>0</v>
      </c>
      <c r="Q51" s="89">
        <f t="shared" si="10"/>
        <v>0.35056000000000004</v>
      </c>
      <c r="R51" s="89">
        <f t="shared" si="11"/>
        <v>-4.8999999999999044E-4</v>
      </c>
      <c r="S51" s="196"/>
      <c r="T51" s="212">
        <f>'[1]Washington volumes'!J51</f>
        <v>1182764.9803330612</v>
      </c>
      <c r="U51" s="211">
        <f t="shared" si="12"/>
        <v>415209.64634592115</v>
      </c>
      <c r="V51" s="211">
        <f t="shared" si="13"/>
        <v>414630.091505558</v>
      </c>
      <c r="W51" s="211">
        <f t="shared" si="14"/>
        <v>-579.55484036315465</v>
      </c>
      <c r="X51" s="210">
        <f t="shared" si="15"/>
        <v>-1.3958125623129516E-3</v>
      </c>
      <c r="Z51" s="206"/>
    </row>
    <row r="52" spans="1:26" x14ac:dyDescent="0.35">
      <c r="A52" s="7">
        <f t="shared" si="8"/>
        <v>46</v>
      </c>
      <c r="B52" s="7"/>
      <c r="C52" s="103" t="s">
        <v>60</v>
      </c>
      <c r="D52" s="89">
        <f>+'Proposed Rates in detail'!D52</f>
        <v>0.32922000000000012</v>
      </c>
      <c r="E52" s="89">
        <f>+'Proposed Rates in detail'!I52-'Proposed Rates in detail'!E52</f>
        <v>0</v>
      </c>
      <c r="F52" s="89">
        <f>+'Proposed Rates in detail'!J52+'Proposed Rates in detail'!K52-'Proposed Rates in detail'!F52-'Proposed Rates in detail'!G52</f>
        <v>0</v>
      </c>
      <c r="G52" s="89">
        <f t="shared" si="9"/>
        <v>0.32922000000000012</v>
      </c>
      <c r="H52" s="89">
        <f>+'Proposed Rates in detail'!N52-'Proposed Rates in detail'!M52</f>
        <v>-5.5000000000002269E-4</v>
      </c>
      <c r="I52" s="89"/>
      <c r="J52" s="89"/>
      <c r="K52" s="89"/>
      <c r="L52" s="89"/>
      <c r="M52" s="89"/>
      <c r="N52" s="89"/>
      <c r="O52" s="89"/>
      <c r="P52" s="89">
        <f>[1]Permanents!H52</f>
        <v>0</v>
      </c>
      <c r="Q52" s="89">
        <f t="shared" si="10"/>
        <v>0.32867000000000013</v>
      </c>
      <c r="R52" s="89">
        <f t="shared" si="11"/>
        <v>-5.4999999999999494E-4</v>
      </c>
      <c r="S52" s="196"/>
      <c r="T52" s="212">
        <f>'[1]Washington volumes'!J52</f>
        <v>2743941.1371104051</v>
      </c>
      <c r="U52" s="211">
        <f t="shared" si="12"/>
        <v>903360.30115948792</v>
      </c>
      <c r="V52" s="211">
        <f t="shared" si="13"/>
        <v>901851.13353407721</v>
      </c>
      <c r="W52" s="211">
        <f t="shared" si="14"/>
        <v>-1509.1676254107151</v>
      </c>
      <c r="X52" s="210">
        <f t="shared" si="15"/>
        <v>-1.6706153939614755E-3</v>
      </c>
      <c r="Z52" s="206"/>
    </row>
    <row r="53" spans="1:26" x14ac:dyDescent="0.35">
      <c r="A53" s="7">
        <f t="shared" si="8"/>
        <v>47</v>
      </c>
      <c r="B53" s="7"/>
      <c r="C53" s="103" t="s">
        <v>61</v>
      </c>
      <c r="D53" s="89">
        <f>+'Proposed Rates in detail'!D53</f>
        <v>0.30008999999999997</v>
      </c>
      <c r="E53" s="89">
        <f>+'Proposed Rates in detail'!I53-'Proposed Rates in detail'!E53</f>
        <v>0</v>
      </c>
      <c r="F53" s="89">
        <f>+'Proposed Rates in detail'!J53+'Proposed Rates in detail'!K53-'Proposed Rates in detail'!F53-'Proposed Rates in detail'!G53</f>
        <v>0</v>
      </c>
      <c r="G53" s="89">
        <f t="shared" si="9"/>
        <v>0.30008999999999997</v>
      </c>
      <c r="H53" s="89">
        <f>+'Proposed Rates in detail'!N53-'Proposed Rates in detail'!M53</f>
        <v>-6.0999999999999943E-4</v>
      </c>
      <c r="I53" s="89"/>
      <c r="J53" s="89"/>
      <c r="K53" s="89"/>
      <c r="L53" s="89"/>
      <c r="M53" s="89"/>
      <c r="N53" s="89"/>
      <c r="O53" s="89"/>
      <c r="P53" s="89">
        <f>[1]Permanents!H53</f>
        <v>0</v>
      </c>
      <c r="Q53" s="89">
        <f t="shared" si="10"/>
        <v>0.29947999999999997</v>
      </c>
      <c r="R53" s="89">
        <f t="shared" si="11"/>
        <v>-6.0999999999999943E-4</v>
      </c>
      <c r="S53" s="196"/>
      <c r="T53" s="212">
        <f>'[1]Washington volumes'!J53</f>
        <v>1030133.9063092957</v>
      </c>
      <c r="U53" s="211">
        <f t="shared" si="12"/>
        <v>309132.88394435652</v>
      </c>
      <c r="V53" s="211">
        <f t="shared" si="13"/>
        <v>308504.50226150785</v>
      </c>
      <c r="W53" s="211">
        <f t="shared" si="14"/>
        <v>-628.38168284867425</v>
      </c>
      <c r="X53" s="210">
        <f t="shared" si="15"/>
        <v>-2.0327235162784624E-3</v>
      </c>
      <c r="Z53" s="206"/>
    </row>
    <row r="54" spans="1:26" x14ac:dyDescent="0.35">
      <c r="A54" s="7">
        <f t="shared" si="8"/>
        <v>48</v>
      </c>
      <c r="B54" s="69"/>
      <c r="C54" s="213" t="s">
        <v>62</v>
      </c>
      <c r="D54" s="34">
        <f>+'Proposed Rates in detail'!D54</f>
        <v>0.26369000000000009</v>
      </c>
      <c r="E54" s="34">
        <f>+'Proposed Rates in detail'!I54-'Proposed Rates in detail'!E54</f>
        <v>0</v>
      </c>
      <c r="F54" s="34">
        <f>+'Proposed Rates in detail'!J54+'Proposed Rates in detail'!K54-'Proposed Rates in detail'!F54-'Proposed Rates in detail'!G54</f>
        <v>0</v>
      </c>
      <c r="G54" s="34">
        <f t="shared" si="9"/>
        <v>0.26369000000000009</v>
      </c>
      <c r="H54" s="34">
        <f>+'Proposed Rates in detail'!N54-'Proposed Rates in detail'!M54</f>
        <v>-6.8999999999999617E-4</v>
      </c>
      <c r="I54" s="34"/>
      <c r="J54" s="34"/>
      <c r="K54" s="34"/>
      <c r="L54" s="34"/>
      <c r="M54" s="34"/>
      <c r="N54" s="34"/>
      <c r="O54" s="34"/>
      <c r="P54" s="34">
        <f>[1]Permanents!H54</f>
        <v>0</v>
      </c>
      <c r="Q54" s="34">
        <f t="shared" si="10"/>
        <v>0.26300000000000012</v>
      </c>
      <c r="R54" s="34">
        <f t="shared" si="11"/>
        <v>-6.8999999999996842E-4</v>
      </c>
      <c r="S54" s="196"/>
      <c r="T54" s="212">
        <f>'[1]Washington volumes'!J54</f>
        <v>0</v>
      </c>
      <c r="U54" s="211">
        <f t="shared" si="12"/>
        <v>0</v>
      </c>
      <c r="V54" s="211">
        <f t="shared" si="13"/>
        <v>0</v>
      </c>
      <c r="W54" s="211">
        <f t="shared" si="14"/>
        <v>0</v>
      </c>
      <c r="X54" s="210">
        <f t="shared" si="15"/>
        <v>0</v>
      </c>
      <c r="Z54" s="206"/>
    </row>
    <row r="55" spans="1:26" x14ac:dyDescent="0.35">
      <c r="A55" s="7">
        <f t="shared" si="8"/>
        <v>49</v>
      </c>
      <c r="B55" s="7" t="s">
        <v>66</v>
      </c>
      <c r="C55" s="103" t="s">
        <v>49</v>
      </c>
      <c r="D55" s="89">
        <f>+'Proposed Rates in detail'!D55</f>
        <v>0.71133000000000013</v>
      </c>
      <c r="E55" s="89">
        <f>+'Proposed Rates in detail'!I55-'Proposed Rates in detail'!E55</f>
        <v>-2.633000000000002E-2</v>
      </c>
      <c r="F55" s="89">
        <f>+'Proposed Rates in detail'!J55+'Proposed Rates in detail'!K55-'Proposed Rates in detail'!F55-'Proposed Rates in detail'!G55</f>
        <v>0</v>
      </c>
      <c r="G55" s="89">
        <f t="shared" si="9"/>
        <v>0.68500000000000005</v>
      </c>
      <c r="H55" s="89">
        <f>+'Proposed Rates in detail'!N55-'Proposed Rates in detail'!M55</f>
        <v>-1.2229999999999991E-2</v>
      </c>
      <c r="I55" s="89"/>
      <c r="J55" s="89"/>
      <c r="K55" s="89"/>
      <c r="L55" s="89"/>
      <c r="M55" s="89"/>
      <c r="N55" s="89"/>
      <c r="O55" s="89"/>
      <c r="P55" s="89">
        <f>[1]Permanents!H55</f>
        <v>3.0000000000002247E-5</v>
      </c>
      <c r="Q55" s="89">
        <f t="shared" si="10"/>
        <v>0.67280000000000006</v>
      </c>
      <c r="R55" s="89">
        <f t="shared" si="11"/>
        <v>-3.8530000000000064E-2</v>
      </c>
      <c r="S55" s="196"/>
      <c r="T55" s="212">
        <f>'[1]Washington volumes'!J55</f>
        <v>237823.79371068976</v>
      </c>
      <c r="U55" s="211">
        <f t="shared" si="12"/>
        <v>169171.19918022497</v>
      </c>
      <c r="V55" s="211">
        <f t="shared" si="13"/>
        <v>160007.84840855209</v>
      </c>
      <c r="W55" s="211">
        <f t="shared" si="14"/>
        <v>-9163.3507716728782</v>
      </c>
      <c r="X55" s="210">
        <f t="shared" si="15"/>
        <v>-5.4166139485189717E-2</v>
      </c>
      <c r="Z55" s="206"/>
    </row>
    <row r="56" spans="1:26" x14ac:dyDescent="0.35">
      <c r="A56" s="7">
        <f t="shared" si="8"/>
        <v>50</v>
      </c>
      <c r="B56" s="7"/>
      <c r="C56" s="103" t="s">
        <v>50</v>
      </c>
      <c r="D56" s="89">
        <f>+'Proposed Rates in detail'!D56</f>
        <v>0.69042999999999966</v>
      </c>
      <c r="E56" s="89">
        <f>+'Proposed Rates in detail'!I56-'Proposed Rates in detail'!E56</f>
        <v>-2.633000000000002E-2</v>
      </c>
      <c r="F56" s="89">
        <f>+'Proposed Rates in detail'!J56+'Proposed Rates in detail'!K56-'Proposed Rates in detail'!F56-'Proposed Rates in detail'!G56</f>
        <v>0</v>
      </c>
      <c r="G56" s="89">
        <f t="shared" si="9"/>
        <v>0.66409999999999969</v>
      </c>
      <c r="H56" s="89">
        <f>+'Proposed Rates in detail'!N56-'Proposed Rates in detail'!M56</f>
        <v>-1.2310000000000015E-2</v>
      </c>
      <c r="I56" s="89"/>
      <c r="J56" s="89"/>
      <c r="K56" s="89"/>
      <c r="L56" s="89"/>
      <c r="M56" s="89"/>
      <c r="N56" s="89"/>
      <c r="O56" s="89"/>
      <c r="P56" s="89">
        <f>[1]Permanents!H56</f>
        <v>3.0000000000002247E-5</v>
      </c>
      <c r="Q56" s="89">
        <f t="shared" si="10"/>
        <v>0.65181999999999962</v>
      </c>
      <c r="R56" s="89">
        <f t="shared" si="11"/>
        <v>-3.8610000000000033E-2</v>
      </c>
      <c r="S56" s="196"/>
      <c r="T56" s="212">
        <f>'[1]Washington volumes'!J56</f>
        <v>449890.27963003801</v>
      </c>
      <c r="U56" s="211">
        <f t="shared" si="12"/>
        <v>310617.745764967</v>
      </c>
      <c r="V56" s="211">
        <f t="shared" si="13"/>
        <v>293247.48206845118</v>
      </c>
      <c r="W56" s="211">
        <f t="shared" si="14"/>
        <v>-17370.263696515816</v>
      </c>
      <c r="X56" s="210">
        <f t="shared" si="15"/>
        <v>-5.5921672001506488E-2</v>
      </c>
      <c r="Z56" s="206"/>
    </row>
    <row r="57" spans="1:26" x14ac:dyDescent="0.35">
      <c r="A57" s="7">
        <f t="shared" si="8"/>
        <v>51</v>
      </c>
      <c r="B57" s="7"/>
      <c r="C57" s="103" t="s">
        <v>59</v>
      </c>
      <c r="D57" s="89">
        <f>+'Proposed Rates in detail'!D57</f>
        <v>0.64878000000000013</v>
      </c>
      <c r="E57" s="89">
        <f>+'Proposed Rates in detail'!I57-'Proposed Rates in detail'!E57</f>
        <v>-2.633000000000002E-2</v>
      </c>
      <c r="F57" s="89">
        <f>+'Proposed Rates in detail'!J57+'Proposed Rates in detail'!K57-'Proposed Rates in detail'!F57-'Proposed Rates in detail'!G57</f>
        <v>0</v>
      </c>
      <c r="G57" s="89">
        <f t="shared" si="9"/>
        <v>0.62245000000000017</v>
      </c>
      <c r="H57" s="89">
        <f>+'Proposed Rates in detail'!N57-'Proposed Rates in detail'!M57</f>
        <v>-1.2439999999999979E-2</v>
      </c>
      <c r="I57" s="89"/>
      <c r="J57" s="89"/>
      <c r="K57" s="89"/>
      <c r="L57" s="89"/>
      <c r="M57" s="89"/>
      <c r="N57" s="89"/>
      <c r="O57" s="89"/>
      <c r="P57" s="89">
        <f>[1]Permanents!H57</f>
        <v>2.0000000000006124E-5</v>
      </c>
      <c r="Q57" s="89">
        <f t="shared" si="10"/>
        <v>0.61003000000000018</v>
      </c>
      <c r="R57" s="89">
        <f t="shared" si="11"/>
        <v>-3.8749999999999951E-2</v>
      </c>
      <c r="S57" s="196"/>
      <c r="T57" s="212">
        <f>'[1]Washington volumes'!J57</f>
        <v>201896.54594079489</v>
      </c>
      <c r="U57" s="211">
        <f t="shared" si="12"/>
        <v>130986.44107546895</v>
      </c>
      <c r="V57" s="211">
        <f t="shared" si="13"/>
        <v>123162.94992026314</v>
      </c>
      <c r="W57" s="211">
        <f t="shared" si="14"/>
        <v>-7823.4911552058038</v>
      </c>
      <c r="X57" s="210">
        <f t="shared" si="15"/>
        <v>-5.9727488516908657E-2</v>
      </c>
      <c r="Z57" s="206"/>
    </row>
    <row r="58" spans="1:26" x14ac:dyDescent="0.35">
      <c r="A58" s="7">
        <f t="shared" si="8"/>
        <v>52</v>
      </c>
      <c r="B58" s="7"/>
      <c r="C58" s="103" t="s">
        <v>60</v>
      </c>
      <c r="D58" s="89">
        <f>+'Proposed Rates in detail'!D58</f>
        <v>0.62140999999999991</v>
      </c>
      <c r="E58" s="89">
        <f>+'Proposed Rates in detail'!I58-'Proposed Rates in detail'!E58</f>
        <v>-2.633000000000002E-2</v>
      </c>
      <c r="F58" s="89">
        <f>+'Proposed Rates in detail'!J58+'Proposed Rates in detail'!K58-'Proposed Rates in detail'!F58-'Proposed Rates in detail'!G58</f>
        <v>0</v>
      </c>
      <c r="G58" s="89">
        <f t="shared" si="9"/>
        <v>0.59507999999999983</v>
      </c>
      <c r="H58" s="89">
        <f>+'Proposed Rates in detail'!N58-'Proposed Rates in detail'!M58</f>
        <v>-1.2539999999999968E-2</v>
      </c>
      <c r="I58" s="89"/>
      <c r="J58" s="89"/>
      <c r="K58" s="89"/>
      <c r="L58" s="89"/>
      <c r="M58" s="89"/>
      <c r="N58" s="89"/>
      <c r="O58" s="89"/>
      <c r="P58" s="89">
        <f>[1]Permanents!H58</f>
        <v>2.0000000000006124E-5</v>
      </c>
      <c r="Q58" s="89">
        <f t="shared" si="10"/>
        <v>0.58255999999999986</v>
      </c>
      <c r="R58" s="89">
        <f t="shared" si="11"/>
        <v>-3.8850000000000051E-2</v>
      </c>
      <c r="S58" s="196"/>
      <c r="T58" s="212">
        <f>'[1]Washington volumes'!J58</f>
        <v>59595.669906477466</v>
      </c>
      <c r="U58" s="211">
        <f t="shared" si="12"/>
        <v>37033.345236584159</v>
      </c>
      <c r="V58" s="211">
        <f t="shared" si="13"/>
        <v>34718.053460717507</v>
      </c>
      <c r="W58" s="211">
        <f t="shared" si="14"/>
        <v>-2315.2917758666517</v>
      </c>
      <c r="X58" s="210">
        <f t="shared" si="15"/>
        <v>-6.251910976649884E-2</v>
      </c>
      <c r="Z58" s="206"/>
    </row>
    <row r="59" spans="1:26" x14ac:dyDescent="0.35">
      <c r="A59" s="7">
        <f t="shared" si="8"/>
        <v>53</v>
      </c>
      <c r="B59" s="7"/>
      <c r="C59" s="103" t="s">
        <v>61</v>
      </c>
      <c r="D59" s="89">
        <f>+'Proposed Rates in detail'!D59</f>
        <v>0.58492999999999984</v>
      </c>
      <c r="E59" s="89">
        <f>+'Proposed Rates in detail'!I59-'Proposed Rates in detail'!E59</f>
        <v>-2.633000000000002E-2</v>
      </c>
      <c r="F59" s="89">
        <f>+'Proposed Rates in detail'!J59+'Proposed Rates in detail'!K59-'Proposed Rates in detail'!F59-'Proposed Rates in detail'!G59</f>
        <v>0</v>
      </c>
      <c r="G59" s="89">
        <f t="shared" si="9"/>
        <v>0.55859999999999976</v>
      </c>
      <c r="H59" s="89">
        <f>+'Proposed Rates in detail'!N59-'Proposed Rates in detail'!M59</f>
        <v>-1.2649999999999967E-2</v>
      </c>
      <c r="I59" s="89"/>
      <c r="J59" s="89"/>
      <c r="K59" s="89"/>
      <c r="L59" s="89"/>
      <c r="M59" s="89"/>
      <c r="N59" s="89"/>
      <c r="O59" s="89"/>
      <c r="P59" s="89">
        <f>[1]Permanents!H59</f>
        <v>1.0000000000003062E-5</v>
      </c>
      <c r="Q59" s="89">
        <f t="shared" si="10"/>
        <v>0.54595999999999978</v>
      </c>
      <c r="R59" s="89">
        <f t="shared" si="11"/>
        <v>-3.897000000000006E-2</v>
      </c>
      <c r="S59" s="196"/>
      <c r="T59" s="212">
        <f>'[1]Washington volumes'!J59</f>
        <v>0</v>
      </c>
      <c r="U59" s="211">
        <f t="shared" si="12"/>
        <v>0</v>
      </c>
      <c r="V59" s="211">
        <f t="shared" si="13"/>
        <v>0</v>
      </c>
      <c r="W59" s="211">
        <f t="shared" si="14"/>
        <v>0</v>
      </c>
      <c r="X59" s="210">
        <f t="shared" si="15"/>
        <v>0</v>
      </c>
      <c r="Z59" s="206"/>
    </row>
    <row r="60" spans="1:26" x14ac:dyDescent="0.35">
      <c r="A60" s="7">
        <f t="shared" si="8"/>
        <v>54</v>
      </c>
      <c r="B60" s="69"/>
      <c r="C60" s="213" t="s">
        <v>62</v>
      </c>
      <c r="D60" s="34">
        <f>+'Proposed Rates in detail'!D60</f>
        <v>0.53925000000000001</v>
      </c>
      <c r="E60" s="34">
        <f>+'Proposed Rates in detail'!I60-'Proposed Rates in detail'!E60</f>
        <v>-2.633000000000002E-2</v>
      </c>
      <c r="F60" s="34">
        <f>+'Proposed Rates in detail'!J60+'Proposed Rates in detail'!K60-'Proposed Rates in detail'!F60-'Proposed Rates in detail'!G60</f>
        <v>0</v>
      </c>
      <c r="G60" s="34">
        <f t="shared" si="9"/>
        <v>0.51292000000000004</v>
      </c>
      <c r="H60" s="34">
        <f>+'Proposed Rates in detail'!N60-'Proposed Rates in detail'!M60</f>
        <v>-1.2750000000000011E-2</v>
      </c>
      <c r="I60" s="34"/>
      <c r="J60" s="34"/>
      <c r="K60" s="34"/>
      <c r="L60" s="34"/>
      <c r="M60" s="34"/>
      <c r="N60" s="34"/>
      <c r="O60" s="34"/>
      <c r="P60" s="34">
        <f>[1]Permanents!H60</f>
        <v>0</v>
      </c>
      <c r="Q60" s="34">
        <f t="shared" si="10"/>
        <v>0.50017</v>
      </c>
      <c r="R60" s="34">
        <f t="shared" si="11"/>
        <v>-3.9080000000000004E-2</v>
      </c>
      <c r="S60" s="196"/>
      <c r="T60" s="212">
        <f>'[1]Washington volumes'!J60</f>
        <v>0</v>
      </c>
      <c r="U60" s="211">
        <f t="shared" si="12"/>
        <v>0</v>
      </c>
      <c r="V60" s="211">
        <f t="shared" si="13"/>
        <v>0</v>
      </c>
      <c r="W60" s="211">
        <f t="shared" si="14"/>
        <v>0</v>
      </c>
      <c r="X60" s="210">
        <f t="shared" si="15"/>
        <v>0</v>
      </c>
      <c r="Z60" s="206"/>
    </row>
    <row r="61" spans="1:26" x14ac:dyDescent="0.35">
      <c r="A61" s="7">
        <f t="shared" si="8"/>
        <v>55</v>
      </c>
      <c r="B61" s="7" t="s">
        <v>67</v>
      </c>
      <c r="C61" s="103" t="s">
        <v>49</v>
      </c>
      <c r="D61" s="89">
        <f>+'Proposed Rates in detail'!D61</f>
        <v>0.69063999999999992</v>
      </c>
      <c r="E61" s="89">
        <f>+'Proposed Rates in detail'!I61-'Proposed Rates in detail'!E61</f>
        <v>-2.633000000000002E-2</v>
      </c>
      <c r="F61" s="89">
        <f>+'Proposed Rates in detail'!J61+'Proposed Rates in detail'!K61-'Proposed Rates in detail'!F61-'Proposed Rates in detail'!G61</f>
        <v>0</v>
      </c>
      <c r="G61" s="89">
        <f t="shared" si="9"/>
        <v>0.66430999999999996</v>
      </c>
      <c r="H61" s="89">
        <f>+'Proposed Rates in detail'!N61-'Proposed Rates in detail'!M61</f>
        <v>-1.347000000000001E-2</v>
      </c>
      <c r="I61" s="89"/>
      <c r="J61" s="89"/>
      <c r="K61" s="89"/>
      <c r="L61" s="89"/>
      <c r="M61" s="89"/>
      <c r="N61" s="89"/>
      <c r="O61" s="89"/>
      <c r="P61" s="89">
        <f>[1]Permanents!H61</f>
        <v>4.0000000000012248E-5</v>
      </c>
      <c r="Q61" s="89">
        <f t="shared" si="10"/>
        <v>0.65088000000000001</v>
      </c>
      <c r="R61" s="89">
        <f t="shared" si="11"/>
        <v>-3.9759999999999907E-2</v>
      </c>
      <c r="S61" s="196"/>
      <c r="T61" s="212">
        <f>'[1]Washington volumes'!J61</f>
        <v>171532.62817612645</v>
      </c>
      <c r="U61" s="211">
        <f t="shared" si="12"/>
        <v>118467.29432355997</v>
      </c>
      <c r="V61" s="211">
        <f t="shared" si="13"/>
        <v>111647.15702727719</v>
      </c>
      <c r="W61" s="211">
        <f t="shared" si="14"/>
        <v>-6820.1372962827736</v>
      </c>
      <c r="X61" s="210">
        <f t="shared" si="15"/>
        <v>-5.756979033939523E-2</v>
      </c>
      <c r="Z61" s="206"/>
    </row>
    <row r="62" spans="1:26" x14ac:dyDescent="0.35">
      <c r="A62" s="7">
        <f t="shared" si="8"/>
        <v>56</v>
      </c>
      <c r="B62" s="7"/>
      <c r="C62" s="103" t="s">
        <v>50</v>
      </c>
      <c r="D62" s="89">
        <f>+'Proposed Rates in detail'!D62</f>
        <v>0.67198999999999998</v>
      </c>
      <c r="E62" s="89">
        <f>+'Proposed Rates in detail'!I62-'Proposed Rates in detail'!E62</f>
        <v>-2.633000000000002E-2</v>
      </c>
      <c r="F62" s="89">
        <f>+'Proposed Rates in detail'!J62+'Proposed Rates in detail'!K62-'Proposed Rates in detail'!F62-'Proposed Rates in detail'!G62</f>
        <v>0</v>
      </c>
      <c r="G62" s="89">
        <f t="shared" si="9"/>
        <v>0.6456599999999999</v>
      </c>
      <c r="H62" s="89">
        <f>+'Proposed Rates in detail'!N62-'Proposed Rates in detail'!M62</f>
        <v>-1.3479999999999964E-2</v>
      </c>
      <c r="I62" s="89"/>
      <c r="J62" s="89"/>
      <c r="K62" s="89"/>
      <c r="L62" s="89"/>
      <c r="M62" s="89"/>
      <c r="N62" s="89"/>
      <c r="O62" s="89"/>
      <c r="P62" s="89">
        <f>[1]Permanents!H62</f>
        <v>4.0000000000012248E-5</v>
      </c>
      <c r="Q62" s="89">
        <f t="shared" si="10"/>
        <v>0.63222</v>
      </c>
      <c r="R62" s="89">
        <f t="shared" si="11"/>
        <v>-3.9769999999999972E-2</v>
      </c>
      <c r="S62" s="196"/>
      <c r="T62" s="212">
        <f>'[1]Washington volumes'!J62</f>
        <v>27036.058789873507</v>
      </c>
      <c r="U62" s="211">
        <f t="shared" si="12"/>
        <v>18167.961146207097</v>
      </c>
      <c r="V62" s="211">
        <f t="shared" si="13"/>
        <v>17092.737088133828</v>
      </c>
      <c r="W62" s="211">
        <f t="shared" si="14"/>
        <v>-1075.2240580732687</v>
      </c>
      <c r="X62" s="210">
        <f t="shared" si="15"/>
        <v>-5.9182428309945051E-2</v>
      </c>
      <c r="Z62" s="206"/>
    </row>
    <row r="63" spans="1:26" x14ac:dyDescent="0.35">
      <c r="A63" s="7">
        <f t="shared" si="8"/>
        <v>57</v>
      </c>
      <c r="B63" s="7"/>
      <c r="C63" s="103" t="s">
        <v>59</v>
      </c>
      <c r="D63" s="89">
        <f>+'Proposed Rates in detail'!D63</f>
        <v>0.63488999999999995</v>
      </c>
      <c r="E63" s="89">
        <f>+'Proposed Rates in detail'!I63-'Proposed Rates in detail'!E63</f>
        <v>-2.633000000000002E-2</v>
      </c>
      <c r="F63" s="89">
        <f>+'Proposed Rates in detail'!J63+'Proposed Rates in detail'!K63-'Proposed Rates in detail'!F63-'Proposed Rates in detail'!G63</f>
        <v>0</v>
      </c>
      <c r="G63" s="89">
        <f t="shared" si="9"/>
        <v>0.60855999999999999</v>
      </c>
      <c r="H63" s="89">
        <f>+'Proposed Rates in detail'!N63-'Proposed Rates in detail'!M63</f>
        <v>-1.349000000000003E-2</v>
      </c>
      <c r="I63" s="89"/>
      <c r="J63" s="89"/>
      <c r="K63" s="89"/>
      <c r="L63" s="89"/>
      <c r="M63" s="89"/>
      <c r="N63" s="89"/>
      <c r="O63" s="89"/>
      <c r="P63" s="89">
        <f>[1]Permanents!H63</f>
        <v>3.0000000000002247E-5</v>
      </c>
      <c r="Q63" s="89">
        <f t="shared" si="10"/>
        <v>0.59509999999999996</v>
      </c>
      <c r="R63" s="89">
        <f t="shared" si="11"/>
        <v>-3.9789999999999992E-2</v>
      </c>
      <c r="S63" s="196"/>
      <c r="T63" s="212">
        <f>'[1]Washington volumes'!J63</f>
        <v>0</v>
      </c>
      <c r="U63" s="211">
        <f t="shared" si="12"/>
        <v>0</v>
      </c>
      <c r="V63" s="211">
        <f t="shared" si="13"/>
        <v>0</v>
      </c>
      <c r="W63" s="211">
        <f t="shared" si="14"/>
        <v>0</v>
      </c>
      <c r="X63" s="210">
        <f t="shared" si="15"/>
        <v>0</v>
      </c>
      <c r="Z63" s="206"/>
    </row>
    <row r="64" spans="1:26" x14ac:dyDescent="0.35">
      <c r="A64" s="7">
        <f t="shared" si="8"/>
        <v>58</v>
      </c>
      <c r="B64" s="7"/>
      <c r="C64" s="103" t="s">
        <v>60</v>
      </c>
      <c r="D64" s="89">
        <f>+'Proposed Rates in detail'!D64</f>
        <v>0.61047999999999969</v>
      </c>
      <c r="E64" s="89">
        <f>+'Proposed Rates in detail'!I64-'Proposed Rates in detail'!E64</f>
        <v>-2.633000000000002E-2</v>
      </c>
      <c r="F64" s="89">
        <f>+'Proposed Rates in detail'!J64+'Proposed Rates in detail'!K64-'Proposed Rates in detail'!F64-'Proposed Rates in detail'!G64</f>
        <v>0</v>
      </c>
      <c r="G64" s="89">
        <f t="shared" si="9"/>
        <v>0.58414999999999973</v>
      </c>
      <c r="H64" s="89">
        <f>+'Proposed Rates in detail'!N64-'Proposed Rates in detail'!M64</f>
        <v>-1.3479999999999992E-2</v>
      </c>
      <c r="I64" s="89"/>
      <c r="J64" s="89"/>
      <c r="K64" s="89"/>
      <c r="L64" s="89"/>
      <c r="M64" s="89"/>
      <c r="N64" s="89"/>
      <c r="O64" s="89"/>
      <c r="P64" s="89">
        <f>[1]Permanents!H64</f>
        <v>2.0000000000006124E-5</v>
      </c>
      <c r="Q64" s="89">
        <f t="shared" si="10"/>
        <v>0.57068999999999981</v>
      </c>
      <c r="R64" s="89">
        <f t="shared" si="11"/>
        <v>-3.9789999999999881E-2</v>
      </c>
      <c r="S64" s="196"/>
      <c r="T64" s="212">
        <f>'[1]Washington volumes'!J64</f>
        <v>0</v>
      </c>
      <c r="U64" s="211">
        <f t="shared" si="12"/>
        <v>0</v>
      </c>
      <c r="V64" s="211">
        <f t="shared" si="13"/>
        <v>0</v>
      </c>
      <c r="W64" s="211">
        <f t="shared" si="14"/>
        <v>0</v>
      </c>
      <c r="X64" s="210">
        <f t="shared" si="15"/>
        <v>0</v>
      </c>
      <c r="Z64" s="206"/>
    </row>
    <row r="65" spans="1:26" x14ac:dyDescent="0.35">
      <c r="A65" s="7">
        <f t="shared" si="8"/>
        <v>59</v>
      </c>
      <c r="B65" s="7"/>
      <c r="C65" s="103" t="s">
        <v>61</v>
      </c>
      <c r="D65" s="89">
        <f>+'Proposed Rates in detail'!D65</f>
        <v>0.57791000000000003</v>
      </c>
      <c r="E65" s="89">
        <f>+'Proposed Rates in detail'!I65-'Proposed Rates in detail'!E65</f>
        <v>-2.633000000000002E-2</v>
      </c>
      <c r="F65" s="89">
        <f>+'Proposed Rates in detail'!J65+'Proposed Rates in detail'!K65-'Proposed Rates in detail'!F65-'Proposed Rates in detail'!G65</f>
        <v>0</v>
      </c>
      <c r="G65" s="89">
        <f t="shared" si="9"/>
        <v>0.55157999999999996</v>
      </c>
      <c r="H65" s="89">
        <f>+'Proposed Rates in detail'!N65-'Proposed Rates in detail'!M65</f>
        <v>-1.347000000000001E-2</v>
      </c>
      <c r="I65" s="89"/>
      <c r="J65" s="89"/>
      <c r="K65" s="89"/>
      <c r="L65" s="89"/>
      <c r="M65" s="89"/>
      <c r="N65" s="89"/>
      <c r="O65" s="89"/>
      <c r="P65" s="89">
        <f>[1]Permanents!H65</f>
        <v>1.0000000000003062E-5</v>
      </c>
      <c r="Q65" s="89">
        <f t="shared" si="10"/>
        <v>0.53811999999999993</v>
      </c>
      <c r="R65" s="89">
        <f t="shared" si="11"/>
        <v>-3.9790000000000103E-2</v>
      </c>
      <c r="S65" s="196"/>
      <c r="T65" s="212">
        <f>'[1]Washington volumes'!J65</f>
        <v>0</v>
      </c>
      <c r="U65" s="211">
        <f t="shared" si="12"/>
        <v>0</v>
      </c>
      <c r="V65" s="211">
        <f t="shared" si="13"/>
        <v>0</v>
      </c>
      <c r="W65" s="211">
        <f t="shared" si="14"/>
        <v>0</v>
      </c>
      <c r="X65" s="210">
        <f t="shared" si="15"/>
        <v>0</v>
      </c>
      <c r="Z65" s="206"/>
    </row>
    <row r="66" spans="1:26" x14ac:dyDescent="0.35">
      <c r="A66" s="7">
        <f t="shared" si="8"/>
        <v>60</v>
      </c>
      <c r="B66" s="69"/>
      <c r="C66" s="213" t="s">
        <v>62</v>
      </c>
      <c r="D66" s="34">
        <f>+'Proposed Rates in detail'!D66</f>
        <v>0.53723999999999983</v>
      </c>
      <c r="E66" s="34">
        <f>+'Proposed Rates in detail'!I66-'Proposed Rates in detail'!E66</f>
        <v>-2.633000000000002E-2</v>
      </c>
      <c r="F66" s="34">
        <f>+'Proposed Rates in detail'!J66+'Proposed Rates in detail'!K66-'Proposed Rates in detail'!F66-'Proposed Rates in detail'!G66</f>
        <v>0</v>
      </c>
      <c r="G66" s="34">
        <f t="shared" si="9"/>
        <v>0.51090999999999975</v>
      </c>
      <c r="H66" s="34">
        <f>+'Proposed Rates in detail'!N66-'Proposed Rates in detail'!M66</f>
        <v>-1.347000000000001E-2</v>
      </c>
      <c r="I66" s="34"/>
      <c r="J66" s="34"/>
      <c r="K66" s="34"/>
      <c r="L66" s="34"/>
      <c r="M66" s="34"/>
      <c r="N66" s="34"/>
      <c r="O66" s="34"/>
      <c r="P66" s="34">
        <f>[1]Permanents!H66</f>
        <v>9.9999999999995925E-6</v>
      </c>
      <c r="Q66" s="34">
        <f t="shared" si="10"/>
        <v>0.49744999999999978</v>
      </c>
      <c r="R66" s="34">
        <f t="shared" si="11"/>
        <v>-3.9790000000000048E-2</v>
      </c>
      <c r="S66" s="196"/>
      <c r="T66" s="212">
        <f>'[1]Washington volumes'!J66</f>
        <v>0</v>
      </c>
      <c r="U66" s="211">
        <f t="shared" si="12"/>
        <v>0</v>
      </c>
      <c r="V66" s="211">
        <f t="shared" si="13"/>
        <v>0</v>
      </c>
      <c r="W66" s="211">
        <f t="shared" si="14"/>
        <v>0</v>
      </c>
      <c r="X66" s="210">
        <f t="shared" si="15"/>
        <v>0</v>
      </c>
      <c r="Z66" s="206"/>
    </row>
    <row r="67" spans="1:26" x14ac:dyDescent="0.35">
      <c r="A67" s="7">
        <f t="shared" si="8"/>
        <v>61</v>
      </c>
      <c r="B67" s="7" t="s">
        <v>68</v>
      </c>
      <c r="C67" s="103" t="s">
        <v>49</v>
      </c>
      <c r="D67" s="89">
        <f>+'Proposed Rates in detail'!D67</f>
        <v>0.39076</v>
      </c>
      <c r="E67" s="89">
        <f>+'Proposed Rates in detail'!I67-'Proposed Rates in detail'!E67</f>
        <v>0</v>
      </c>
      <c r="F67" s="89">
        <f>+'Proposed Rates in detail'!J67+'Proposed Rates in detail'!K67-'Proposed Rates in detail'!F67-'Proposed Rates in detail'!G67</f>
        <v>0</v>
      </c>
      <c r="G67" s="89">
        <f t="shared" si="9"/>
        <v>0.39076</v>
      </c>
      <c r="H67" s="89">
        <f>+'Proposed Rates in detail'!N67-'Proposed Rates in detail'!M67</f>
        <v>-4.300000000000137E-4</v>
      </c>
      <c r="I67" s="89"/>
      <c r="J67" s="89"/>
      <c r="K67" s="89"/>
      <c r="L67" s="89"/>
      <c r="M67" s="89"/>
      <c r="N67" s="89"/>
      <c r="O67" s="89"/>
      <c r="P67" s="89">
        <f>[1]Permanents!H67</f>
        <v>0</v>
      </c>
      <c r="Q67" s="89">
        <f t="shared" si="10"/>
        <v>0.39032999999999995</v>
      </c>
      <c r="R67" s="89">
        <f t="shared" si="11"/>
        <v>-4.3000000000004146E-4</v>
      </c>
      <c r="S67" s="196"/>
      <c r="T67" s="212">
        <f>'[1]Washington volumes'!J67</f>
        <v>0</v>
      </c>
      <c r="U67" s="211">
        <f t="shared" si="12"/>
        <v>0</v>
      </c>
      <c r="V67" s="211">
        <f t="shared" si="13"/>
        <v>0</v>
      </c>
      <c r="W67" s="211">
        <f t="shared" si="14"/>
        <v>0</v>
      </c>
      <c r="X67" s="210">
        <f t="shared" si="15"/>
        <v>0</v>
      </c>
      <c r="Z67" s="206"/>
    </row>
    <row r="68" spans="1:26" x14ac:dyDescent="0.35">
      <c r="A68" s="7">
        <f t="shared" si="8"/>
        <v>62</v>
      </c>
      <c r="B68" s="7"/>
      <c r="C68" s="103" t="s">
        <v>50</v>
      </c>
      <c r="D68" s="89">
        <f>+'Proposed Rates in detail'!D68</f>
        <v>0.37516000000000005</v>
      </c>
      <c r="E68" s="89">
        <f>+'Proposed Rates in detail'!I68-'Proposed Rates in detail'!E68</f>
        <v>0</v>
      </c>
      <c r="F68" s="89">
        <f>+'Proposed Rates in detail'!J68+'Proposed Rates in detail'!K68-'Proposed Rates in detail'!F68-'Proposed Rates in detail'!G68</f>
        <v>0</v>
      </c>
      <c r="G68" s="89">
        <f t="shared" si="9"/>
        <v>0.37516000000000005</v>
      </c>
      <c r="H68" s="89">
        <f>+'Proposed Rates in detail'!N68-'Proposed Rates in detail'!M68</f>
        <v>-4.5000000000000595E-4</v>
      </c>
      <c r="I68" s="89"/>
      <c r="J68" s="89"/>
      <c r="K68" s="89"/>
      <c r="L68" s="89"/>
      <c r="M68" s="89"/>
      <c r="N68" s="89"/>
      <c r="O68" s="89"/>
      <c r="P68" s="89">
        <f>[1]Permanents!H68</f>
        <v>0</v>
      </c>
      <c r="Q68" s="89">
        <f t="shared" si="10"/>
        <v>0.37471000000000004</v>
      </c>
      <c r="R68" s="89">
        <f t="shared" si="11"/>
        <v>-4.5000000000000595E-4</v>
      </c>
      <c r="S68" s="196"/>
      <c r="T68" s="212">
        <f>'[1]Washington volumes'!J68</f>
        <v>0</v>
      </c>
      <c r="U68" s="211">
        <f t="shared" si="12"/>
        <v>0</v>
      </c>
      <c r="V68" s="211">
        <f t="shared" si="13"/>
        <v>0</v>
      </c>
      <c r="W68" s="211">
        <f t="shared" si="14"/>
        <v>0</v>
      </c>
      <c r="X68" s="210">
        <f t="shared" si="15"/>
        <v>0</v>
      </c>
      <c r="Z68" s="206"/>
    </row>
    <row r="69" spans="1:26" x14ac:dyDescent="0.35">
      <c r="A69" s="7">
        <f t="shared" si="8"/>
        <v>63</v>
      </c>
      <c r="B69" s="7"/>
      <c r="C69" s="103" t="s">
        <v>59</v>
      </c>
      <c r="D69" s="89">
        <f>+'Proposed Rates in detail'!D69</f>
        <v>0.34404999999999997</v>
      </c>
      <c r="E69" s="89">
        <f>+'Proposed Rates in detail'!I69-'Proposed Rates in detail'!E69</f>
        <v>0</v>
      </c>
      <c r="F69" s="89">
        <f>+'Proposed Rates in detail'!J69+'Proposed Rates in detail'!K69-'Proposed Rates in detail'!F69-'Proposed Rates in detail'!G69</f>
        <v>0</v>
      </c>
      <c r="G69" s="89">
        <f t="shared" si="9"/>
        <v>0.34404999999999997</v>
      </c>
      <c r="H69" s="89">
        <f>+'Proposed Rates in detail'!N69-'Proposed Rates in detail'!M69</f>
        <v>-5.1000000000001044E-4</v>
      </c>
      <c r="I69" s="89"/>
      <c r="J69" s="89"/>
      <c r="K69" s="89"/>
      <c r="L69" s="89"/>
      <c r="M69" s="89"/>
      <c r="N69" s="89"/>
      <c r="O69" s="89"/>
      <c r="P69" s="89">
        <f>[1]Permanents!H69</f>
        <v>0</v>
      </c>
      <c r="Q69" s="89">
        <f t="shared" si="10"/>
        <v>0.34353999999999996</v>
      </c>
      <c r="R69" s="89">
        <f t="shared" si="11"/>
        <v>-5.1000000000001044E-4</v>
      </c>
      <c r="S69" s="196"/>
      <c r="T69" s="212">
        <f>'[1]Washington volumes'!J69</f>
        <v>0</v>
      </c>
      <c r="U69" s="211">
        <f t="shared" si="12"/>
        <v>0</v>
      </c>
      <c r="V69" s="211">
        <f t="shared" si="13"/>
        <v>0</v>
      </c>
      <c r="W69" s="211">
        <f t="shared" si="14"/>
        <v>0</v>
      </c>
      <c r="X69" s="210">
        <f t="shared" si="15"/>
        <v>0</v>
      </c>
      <c r="Z69" s="206"/>
    </row>
    <row r="70" spans="1:26" x14ac:dyDescent="0.35">
      <c r="A70" s="7">
        <f t="shared" si="8"/>
        <v>64</v>
      </c>
      <c r="B70" s="7"/>
      <c r="C70" s="103" t="s">
        <v>60</v>
      </c>
      <c r="D70" s="89">
        <f>+'Proposed Rates in detail'!D70</f>
        <v>0.3236</v>
      </c>
      <c r="E70" s="89">
        <f>+'Proposed Rates in detail'!I70-'Proposed Rates in detail'!E70</f>
        <v>0</v>
      </c>
      <c r="F70" s="89">
        <f>+'Proposed Rates in detail'!J70+'Proposed Rates in detail'!K70-'Proposed Rates in detail'!F70-'Proposed Rates in detail'!G70</f>
        <v>0</v>
      </c>
      <c r="G70" s="89">
        <f t="shared" si="9"/>
        <v>0.3236</v>
      </c>
      <c r="H70" s="89">
        <f>+'Proposed Rates in detail'!N70-'Proposed Rates in detail'!M70</f>
        <v>-5.3999999999998494E-4</v>
      </c>
      <c r="I70" s="89"/>
      <c r="J70" s="89"/>
      <c r="K70" s="89"/>
      <c r="L70" s="89"/>
      <c r="M70" s="89"/>
      <c r="N70" s="89"/>
      <c r="O70" s="89"/>
      <c r="P70" s="89">
        <f>[1]Permanents!H70</f>
        <v>0</v>
      </c>
      <c r="Q70" s="89">
        <f t="shared" si="10"/>
        <v>0.32306000000000001</v>
      </c>
      <c r="R70" s="89">
        <f t="shared" si="11"/>
        <v>-5.3999999999998494E-4</v>
      </c>
      <c r="S70" s="196"/>
      <c r="T70" s="212">
        <f>'[1]Washington volumes'!J70</f>
        <v>0</v>
      </c>
      <c r="U70" s="211">
        <f t="shared" si="12"/>
        <v>0</v>
      </c>
      <c r="V70" s="211">
        <f t="shared" si="13"/>
        <v>0</v>
      </c>
      <c r="W70" s="211">
        <f t="shared" si="14"/>
        <v>0</v>
      </c>
      <c r="X70" s="210">
        <f t="shared" si="15"/>
        <v>0</v>
      </c>
      <c r="Z70" s="206"/>
    </row>
    <row r="71" spans="1:26" x14ac:dyDescent="0.35">
      <c r="A71" s="7">
        <f t="shared" si="8"/>
        <v>65</v>
      </c>
      <c r="B71" s="7"/>
      <c r="C71" s="103" t="s">
        <v>61</v>
      </c>
      <c r="D71" s="89">
        <f>+'Proposed Rates in detail'!D71</f>
        <v>0.29632999999999998</v>
      </c>
      <c r="E71" s="89">
        <f>+'Proposed Rates in detail'!I71-'Proposed Rates in detail'!E71</f>
        <v>0</v>
      </c>
      <c r="F71" s="89">
        <f>+'Proposed Rates in detail'!J71+'Proposed Rates in detail'!K71-'Proposed Rates in detail'!F71-'Proposed Rates in detail'!G71</f>
        <v>0</v>
      </c>
      <c r="G71" s="89">
        <f t="shared" si="9"/>
        <v>0.29632999999999998</v>
      </c>
      <c r="H71" s="89">
        <f>+'Proposed Rates in detail'!N71-'Proposed Rates in detail'!M71</f>
        <v>-5.8999999999997943E-4</v>
      </c>
      <c r="I71" s="89"/>
      <c r="J71" s="89"/>
      <c r="K71" s="89"/>
      <c r="L71" s="89"/>
      <c r="M71" s="89"/>
      <c r="N71" s="89"/>
      <c r="O71" s="89"/>
      <c r="P71" s="89">
        <f>[1]Permanents!H71</f>
        <v>0</v>
      </c>
      <c r="Q71" s="89">
        <f t="shared" si="10"/>
        <v>0.29574</v>
      </c>
      <c r="R71" s="89">
        <f t="shared" si="11"/>
        <v>-5.8999999999997943E-4</v>
      </c>
      <c r="S71" s="196"/>
      <c r="T71" s="212">
        <f>'[1]Washington volumes'!J71</f>
        <v>0</v>
      </c>
      <c r="U71" s="211">
        <f t="shared" si="12"/>
        <v>0</v>
      </c>
      <c r="V71" s="211">
        <f t="shared" si="13"/>
        <v>0</v>
      </c>
      <c r="W71" s="211">
        <f t="shared" si="14"/>
        <v>0</v>
      </c>
      <c r="X71" s="210">
        <f t="shared" si="15"/>
        <v>0</v>
      </c>
      <c r="Z71" s="206"/>
    </row>
    <row r="72" spans="1:26" x14ac:dyDescent="0.35">
      <c r="A72" s="7">
        <f t="shared" ref="A72:A88" si="16">+A71+1</f>
        <v>66</v>
      </c>
      <c r="B72" s="69"/>
      <c r="C72" s="213" t="s">
        <v>62</v>
      </c>
      <c r="D72" s="34">
        <f>+'Proposed Rates in detail'!D72</f>
        <v>0.26221000000000005</v>
      </c>
      <c r="E72" s="34">
        <f>+'Proposed Rates in detail'!I72-'Proposed Rates in detail'!E72</f>
        <v>0</v>
      </c>
      <c r="F72" s="34">
        <f>+'Proposed Rates in detail'!J72+'Proposed Rates in detail'!K72-'Proposed Rates in detail'!F72-'Proposed Rates in detail'!G72</f>
        <v>0</v>
      </c>
      <c r="G72" s="34">
        <f t="shared" si="9"/>
        <v>0.26221000000000005</v>
      </c>
      <c r="H72" s="34">
        <f>+'Proposed Rates in detail'!N72-'Proposed Rates in detail'!M72</f>
        <v>-6.4999999999998392E-4</v>
      </c>
      <c r="I72" s="34"/>
      <c r="J72" s="34"/>
      <c r="K72" s="34"/>
      <c r="L72" s="34"/>
      <c r="M72" s="34"/>
      <c r="N72" s="34"/>
      <c r="O72" s="34"/>
      <c r="P72" s="34">
        <f>[1]Permanents!H72</f>
        <v>0</v>
      </c>
      <c r="Q72" s="34">
        <f t="shared" si="10"/>
        <v>0.26156000000000007</v>
      </c>
      <c r="R72" s="34">
        <f t="shared" si="11"/>
        <v>-6.4999999999998392E-4</v>
      </c>
      <c r="S72" s="196"/>
      <c r="T72" s="212">
        <f>'[1]Washington volumes'!J72</f>
        <v>0</v>
      </c>
      <c r="U72" s="211">
        <f t="shared" si="12"/>
        <v>0</v>
      </c>
      <c r="V72" s="211">
        <f t="shared" si="13"/>
        <v>0</v>
      </c>
      <c r="W72" s="211">
        <f t="shared" si="14"/>
        <v>0</v>
      </c>
      <c r="X72" s="210">
        <f t="shared" si="15"/>
        <v>0</v>
      </c>
      <c r="Z72" s="206"/>
    </row>
    <row r="73" spans="1:26" x14ac:dyDescent="0.35">
      <c r="A73" s="7">
        <f t="shared" si="16"/>
        <v>67</v>
      </c>
      <c r="B73" s="7" t="s">
        <v>69</v>
      </c>
      <c r="C73" s="103" t="s">
        <v>49</v>
      </c>
      <c r="D73" s="89">
        <f>+'Proposed Rates in detail'!D73</f>
        <v>0.39346999999999999</v>
      </c>
      <c r="E73" s="89">
        <f>+'Proposed Rates in detail'!I73-'Proposed Rates in detail'!E73</f>
        <v>0</v>
      </c>
      <c r="F73" s="89">
        <f>+'Proposed Rates in detail'!J73+'Proposed Rates in detail'!K73-'Proposed Rates in detail'!F73-'Proposed Rates in detail'!G73</f>
        <v>0</v>
      </c>
      <c r="G73" s="89">
        <f t="shared" si="9"/>
        <v>0.39346999999999999</v>
      </c>
      <c r="H73" s="89">
        <f>+'Proposed Rates in detail'!N73-'Proposed Rates in detail'!M73</f>
        <v>-5.4000000000001269E-4</v>
      </c>
      <c r="I73" s="89"/>
      <c r="J73" s="89"/>
      <c r="K73" s="89"/>
      <c r="L73" s="89"/>
      <c r="M73" s="89"/>
      <c r="N73" s="89"/>
      <c r="O73" s="89"/>
      <c r="P73" s="89">
        <f>[1]Permanents!H73</f>
        <v>0</v>
      </c>
      <c r="Q73" s="89">
        <f t="shared" si="10"/>
        <v>0.39293</v>
      </c>
      <c r="R73" s="89">
        <f t="shared" si="11"/>
        <v>-5.3999999999998494E-4</v>
      </c>
      <c r="S73" s="196"/>
      <c r="T73" s="212">
        <f>'[1]Washington volumes'!J73</f>
        <v>952237.06746634038</v>
      </c>
      <c r="U73" s="211">
        <f t="shared" si="12"/>
        <v>374676.71893598093</v>
      </c>
      <c r="V73" s="211">
        <f t="shared" si="13"/>
        <v>374162.51091954915</v>
      </c>
      <c r="W73" s="211">
        <f t="shared" si="14"/>
        <v>-514.20801643177401</v>
      </c>
      <c r="X73" s="210">
        <f t="shared" si="15"/>
        <v>-1.3724045035198307E-3</v>
      </c>
      <c r="Z73" s="206"/>
    </row>
    <row r="74" spans="1:26" x14ac:dyDescent="0.35">
      <c r="A74" s="7">
        <f t="shared" si="16"/>
        <v>68</v>
      </c>
      <c r="B74" s="7"/>
      <c r="C74" s="103" t="s">
        <v>50</v>
      </c>
      <c r="D74" s="89">
        <f>+'Proposed Rates in detail'!D74</f>
        <v>0.37758000000000003</v>
      </c>
      <c r="E74" s="89">
        <f>+'Proposed Rates in detail'!I74-'Proposed Rates in detail'!E74</f>
        <v>0</v>
      </c>
      <c r="F74" s="89">
        <f>+'Proposed Rates in detail'!J74+'Proposed Rates in detail'!K74-'Proposed Rates in detail'!F74-'Proposed Rates in detail'!G74</f>
        <v>0</v>
      </c>
      <c r="G74" s="89">
        <f t="shared" si="9"/>
        <v>0.37758000000000003</v>
      </c>
      <c r="H74" s="89">
        <f>+'Proposed Rates in detail'!N74-'Proposed Rates in detail'!M74</f>
        <v>-5.6000000000000494E-4</v>
      </c>
      <c r="I74" s="89"/>
      <c r="J74" s="89"/>
      <c r="K74" s="89"/>
      <c r="L74" s="89"/>
      <c r="M74" s="89"/>
      <c r="N74" s="89"/>
      <c r="O74" s="89"/>
      <c r="P74" s="89">
        <f>[1]Permanents!H74</f>
        <v>0</v>
      </c>
      <c r="Q74" s="89">
        <f t="shared" si="10"/>
        <v>0.37702000000000002</v>
      </c>
      <c r="R74" s="89">
        <f t="shared" si="11"/>
        <v>-5.6000000000000494E-4</v>
      </c>
      <c r="S74" s="196"/>
      <c r="T74" s="212">
        <f>'[1]Washington volumes'!J74</f>
        <v>1827774.6796347289</v>
      </c>
      <c r="U74" s="211">
        <f t="shared" si="12"/>
        <v>690131.16353648098</v>
      </c>
      <c r="V74" s="211">
        <f t="shared" si="13"/>
        <v>689107.6097158856</v>
      </c>
      <c r="W74" s="211">
        <f t="shared" si="14"/>
        <v>-1023.5538205953781</v>
      </c>
      <c r="X74" s="210">
        <f t="shared" si="15"/>
        <v>-1.4831294030403135E-3</v>
      </c>
      <c r="Z74" s="206"/>
    </row>
    <row r="75" spans="1:26" x14ac:dyDescent="0.35">
      <c r="A75" s="7">
        <f t="shared" si="16"/>
        <v>69</v>
      </c>
      <c r="B75" s="7"/>
      <c r="C75" s="103" t="s">
        <v>59</v>
      </c>
      <c r="D75" s="89">
        <f>+'Proposed Rates in detail'!D75</f>
        <v>0.34592000000000001</v>
      </c>
      <c r="E75" s="89">
        <f>+'Proposed Rates in detail'!I75-'Proposed Rates in detail'!E75</f>
        <v>0</v>
      </c>
      <c r="F75" s="89">
        <f>+'Proposed Rates in detail'!J75+'Proposed Rates in detail'!K75-'Proposed Rates in detail'!F75-'Proposed Rates in detail'!G75</f>
        <v>0</v>
      </c>
      <c r="G75" s="89">
        <f t="shared" si="9"/>
        <v>0.34592000000000001</v>
      </c>
      <c r="H75" s="89">
        <f>+'Proposed Rates in detail'!N75-'Proposed Rates in detail'!M75</f>
        <v>-6.0000000000001719E-4</v>
      </c>
      <c r="I75" s="89"/>
      <c r="J75" s="89"/>
      <c r="K75" s="89"/>
      <c r="L75" s="89"/>
      <c r="M75" s="89"/>
      <c r="N75" s="89"/>
      <c r="O75" s="89"/>
      <c r="P75" s="89">
        <f>[1]Permanents!H75</f>
        <v>0</v>
      </c>
      <c r="Q75" s="89">
        <f t="shared" si="10"/>
        <v>0.34531999999999996</v>
      </c>
      <c r="R75" s="89">
        <f t="shared" si="11"/>
        <v>-6.0000000000004494E-4</v>
      </c>
      <c r="S75" s="196"/>
      <c r="T75" s="212">
        <f>'[1]Washington volumes'!J75</f>
        <v>1364375.8495009863</v>
      </c>
      <c r="U75" s="211">
        <f t="shared" si="12"/>
        <v>471964.89385938121</v>
      </c>
      <c r="V75" s="211">
        <f t="shared" si="13"/>
        <v>471146.26834968053</v>
      </c>
      <c r="W75" s="211">
        <f t="shared" si="14"/>
        <v>-818.62550970067969</v>
      </c>
      <c r="X75" s="210">
        <f t="shared" si="15"/>
        <v>-1.7345050878817773E-3</v>
      </c>
      <c r="Z75" s="206"/>
    </row>
    <row r="76" spans="1:26" x14ac:dyDescent="0.35">
      <c r="A76" s="7">
        <f t="shared" si="16"/>
        <v>70</v>
      </c>
      <c r="B76" s="7"/>
      <c r="C76" s="103" t="s">
        <v>60</v>
      </c>
      <c r="D76" s="89">
        <f>+'Proposed Rates in detail'!D76</f>
        <v>0.32511000000000001</v>
      </c>
      <c r="E76" s="89">
        <f>+'Proposed Rates in detail'!I76-'Proposed Rates in detail'!E76</f>
        <v>0</v>
      </c>
      <c r="F76" s="89">
        <f>+'Proposed Rates in detail'!J76+'Proposed Rates in detail'!K76-'Proposed Rates in detail'!F76-'Proposed Rates in detail'!G76</f>
        <v>0</v>
      </c>
      <c r="G76" s="89">
        <f t="shared" si="9"/>
        <v>0.32511000000000001</v>
      </c>
      <c r="H76" s="89">
        <f>+'Proposed Rates in detail'!N76-'Proposed Rates in detail'!M76</f>
        <v>-6.1999999999998168E-4</v>
      </c>
      <c r="I76" s="89"/>
      <c r="J76" s="89"/>
      <c r="K76" s="89"/>
      <c r="L76" s="89"/>
      <c r="M76" s="89"/>
      <c r="N76" s="89"/>
      <c r="O76" s="89"/>
      <c r="P76" s="89">
        <f>[1]Permanents!H76</f>
        <v>0</v>
      </c>
      <c r="Q76" s="89">
        <f t="shared" si="10"/>
        <v>0.32449000000000006</v>
      </c>
      <c r="R76" s="89">
        <f t="shared" si="11"/>
        <v>-6.1999999999995392E-4</v>
      </c>
      <c r="S76" s="196"/>
      <c r="T76" s="212">
        <f>'[1]Washington volumes'!J76</f>
        <v>4116253.0789308902</v>
      </c>
      <c r="U76" s="211">
        <f t="shared" si="12"/>
        <v>1338235.0384912218</v>
      </c>
      <c r="V76" s="211">
        <f t="shared" si="13"/>
        <v>1335682.9615822849</v>
      </c>
      <c r="W76" s="211">
        <f t="shared" si="14"/>
        <v>-2552.0769089369569</v>
      </c>
      <c r="X76" s="210">
        <f t="shared" si="15"/>
        <v>-1.9070468456828537E-3</v>
      </c>
      <c r="Z76" s="206"/>
    </row>
    <row r="77" spans="1:26" x14ac:dyDescent="0.35">
      <c r="A77" s="7">
        <f t="shared" si="16"/>
        <v>71</v>
      </c>
      <c r="B77" s="7"/>
      <c r="C77" s="103" t="s">
        <v>61</v>
      </c>
      <c r="D77" s="89">
        <f>+'Proposed Rates in detail'!D77</f>
        <v>0.29735999999999996</v>
      </c>
      <c r="E77" s="89">
        <f>+'Proposed Rates in detail'!I77-'Proposed Rates in detail'!E77</f>
        <v>0</v>
      </c>
      <c r="F77" s="89">
        <f>+'Proposed Rates in detail'!J77+'Proposed Rates in detail'!K77-'Proposed Rates in detail'!F77-'Proposed Rates in detail'!G77</f>
        <v>0</v>
      </c>
      <c r="G77" s="89">
        <f t="shared" ref="G77:G80" si="17">+D77+E77+F77</f>
        <v>0.29735999999999996</v>
      </c>
      <c r="H77" s="89">
        <f>+'Proposed Rates in detail'!N77-'Proposed Rates in detail'!M77</f>
        <v>-6.6999999999997617E-4</v>
      </c>
      <c r="I77" s="89"/>
      <c r="J77" s="89"/>
      <c r="K77" s="89"/>
      <c r="L77" s="89"/>
      <c r="M77" s="89"/>
      <c r="N77" s="89"/>
      <c r="O77" s="89"/>
      <c r="P77" s="89">
        <f>[1]Permanents!H77</f>
        <v>0</v>
      </c>
      <c r="Q77" s="89">
        <f t="shared" ref="Q77:Q80" si="18">+G77+H77+P77</f>
        <v>0.29669000000000001</v>
      </c>
      <c r="R77" s="89">
        <f t="shared" ref="R77:R80" si="19">Q77-D77</f>
        <v>-6.6999999999994841E-4</v>
      </c>
      <c r="S77" s="196"/>
      <c r="T77" s="212">
        <f>'[1]Washington volumes'!J77</f>
        <v>1831129.0067156893</v>
      </c>
      <c r="U77" s="211">
        <f t="shared" ref="U77:U80" si="20">T77*D77</f>
        <v>544504.52143697732</v>
      </c>
      <c r="V77" s="211">
        <f t="shared" si="13"/>
        <v>543277.66500247794</v>
      </c>
      <c r="W77" s="211">
        <f t="shared" ref="W77:W80" si="21">V77-U77</f>
        <v>-1226.8564344993792</v>
      </c>
      <c r="X77" s="210">
        <f t="shared" ref="X77:X80" si="22">IF(W77=0,0,(V77-U77)/U77)</f>
        <v>-2.253161151465993E-3</v>
      </c>
      <c r="Z77" s="206"/>
    </row>
    <row r="78" spans="1:26" x14ac:dyDescent="0.35">
      <c r="A78" s="7">
        <f t="shared" si="16"/>
        <v>72</v>
      </c>
      <c r="B78" s="69"/>
      <c r="C78" s="213" t="s">
        <v>62</v>
      </c>
      <c r="D78" s="89">
        <f>+'Proposed Rates in detail'!D78</f>
        <v>0.26266000000000006</v>
      </c>
      <c r="E78" s="34">
        <f>+'Proposed Rates in detail'!I78-'Proposed Rates in detail'!E78</f>
        <v>0</v>
      </c>
      <c r="F78" s="34">
        <f>+'Proposed Rates in detail'!J78+'Proposed Rates in detail'!K78-'Proposed Rates in detail'!F78-'Proposed Rates in detail'!G78</f>
        <v>0</v>
      </c>
      <c r="G78" s="34">
        <f t="shared" si="17"/>
        <v>0.26266000000000006</v>
      </c>
      <c r="H78" s="34">
        <f>+'Proposed Rates in detail'!N78-'Proposed Rates in detail'!M78</f>
        <v>-7.3000000000000842E-4</v>
      </c>
      <c r="I78" s="34"/>
      <c r="J78" s="34"/>
      <c r="K78" s="34"/>
      <c r="L78" s="34"/>
      <c r="M78" s="34"/>
      <c r="N78" s="34"/>
      <c r="O78" s="34"/>
      <c r="P78" s="34">
        <f>[1]Permanents!H78</f>
        <v>0</v>
      </c>
      <c r="Q78" s="34">
        <f t="shared" si="18"/>
        <v>0.26193000000000005</v>
      </c>
      <c r="R78" s="34">
        <f t="shared" si="19"/>
        <v>-7.3000000000000842E-4</v>
      </c>
      <c r="S78" s="196"/>
      <c r="T78" s="212">
        <f>'[1]Washington volumes'!J78</f>
        <v>0</v>
      </c>
      <c r="U78" s="211">
        <f t="shared" si="20"/>
        <v>0</v>
      </c>
      <c r="V78" s="211">
        <f t="shared" si="13"/>
        <v>0</v>
      </c>
      <c r="W78" s="211">
        <f t="shared" si="21"/>
        <v>0</v>
      </c>
      <c r="X78" s="210">
        <f t="shared" si="22"/>
        <v>0</v>
      </c>
      <c r="Z78" s="206"/>
    </row>
    <row r="79" spans="1:26" x14ac:dyDescent="0.35">
      <c r="A79" s="7">
        <f t="shared" si="16"/>
        <v>73</v>
      </c>
      <c r="B79" s="69" t="s">
        <v>70</v>
      </c>
      <c r="C79" s="69"/>
      <c r="D79" s="53">
        <f>+'Proposed Rates in detail'!D79</f>
        <v>0.24684999999999996</v>
      </c>
      <c r="E79" s="53">
        <f>+'Proposed Rates in detail'!I79-'Proposed Rates in detail'!E79</f>
        <v>0</v>
      </c>
      <c r="F79" s="53">
        <f>+'Proposed Rates in detail'!J79+'Proposed Rates in detail'!K79-'Proposed Rates in detail'!F79-'Proposed Rates in detail'!G79</f>
        <v>0</v>
      </c>
      <c r="G79" s="53">
        <f t="shared" si="17"/>
        <v>0.24684999999999996</v>
      </c>
      <c r="H79" s="53">
        <f>+'Proposed Rates in detail'!N79-'Proposed Rates in detail'!M79</f>
        <v>-6.6999999999997617E-4</v>
      </c>
      <c r="I79" s="53"/>
      <c r="J79" s="53"/>
      <c r="K79" s="53"/>
      <c r="L79" s="53"/>
      <c r="M79" s="53"/>
      <c r="N79" s="53"/>
      <c r="O79" s="53"/>
      <c r="P79" s="53">
        <f>[1]Permanents!H79</f>
        <v>0</v>
      </c>
      <c r="Q79" s="53">
        <f t="shared" si="18"/>
        <v>0.24617999999999998</v>
      </c>
      <c r="R79" s="53">
        <f t="shared" si="19"/>
        <v>-6.6999999999997617E-4</v>
      </c>
      <c r="S79" s="196"/>
      <c r="T79" s="212">
        <f>'[1]Washington volumes'!J79</f>
        <v>0</v>
      </c>
      <c r="U79" s="211">
        <f t="shared" si="20"/>
        <v>0</v>
      </c>
      <c r="V79" s="211">
        <f t="shared" si="13"/>
        <v>0</v>
      </c>
      <c r="W79" s="211">
        <f t="shared" si="21"/>
        <v>0</v>
      </c>
      <c r="X79" s="210">
        <f t="shared" si="22"/>
        <v>0</v>
      </c>
      <c r="Z79" s="206"/>
    </row>
    <row r="80" spans="1:26" x14ac:dyDescent="0.35">
      <c r="A80" s="7">
        <f t="shared" si="16"/>
        <v>74</v>
      </c>
      <c r="B80" s="50" t="s">
        <v>71</v>
      </c>
      <c r="C80" s="50"/>
      <c r="D80" s="34">
        <f>+'Proposed Rates in detail'!D80</f>
        <v>0.24684999999999996</v>
      </c>
      <c r="E80" s="34">
        <f>+'Proposed Rates in detail'!I80-'Proposed Rates in detail'!E80</f>
        <v>0</v>
      </c>
      <c r="F80" s="34">
        <f>+'Proposed Rates in detail'!J80+'Proposed Rates in detail'!K80-'Proposed Rates in detail'!F80-'Proposed Rates in detail'!G80</f>
        <v>0</v>
      </c>
      <c r="G80" s="34">
        <f t="shared" si="17"/>
        <v>0.24684999999999996</v>
      </c>
      <c r="H80" s="34">
        <f>+'Proposed Rates in detail'!N80-'Proposed Rates in detail'!M80</f>
        <v>-6.6999999999997617E-4</v>
      </c>
      <c r="I80" s="34"/>
      <c r="J80" s="34"/>
      <c r="K80" s="34"/>
      <c r="L80" s="34"/>
      <c r="M80" s="34"/>
      <c r="N80" s="34"/>
      <c r="O80" s="34"/>
      <c r="P80" s="34">
        <f>[1]Permanents!H80</f>
        <v>0</v>
      </c>
      <c r="Q80" s="34">
        <f t="shared" si="18"/>
        <v>0.24617999999999998</v>
      </c>
      <c r="R80" s="34">
        <f t="shared" si="19"/>
        <v>-6.6999999999997617E-4</v>
      </c>
      <c r="S80" s="196"/>
      <c r="T80" s="209">
        <f>'[1]Washington volumes'!J80</f>
        <v>0</v>
      </c>
      <c r="U80" s="208">
        <f t="shared" si="20"/>
        <v>0</v>
      </c>
      <c r="V80" s="208">
        <f t="shared" si="13"/>
        <v>0</v>
      </c>
      <c r="W80" s="208">
        <f t="shared" si="21"/>
        <v>0</v>
      </c>
      <c r="X80" s="207">
        <f t="shared" si="22"/>
        <v>0</v>
      </c>
      <c r="Z80" s="206"/>
    </row>
    <row r="81" spans="1:24" x14ac:dyDescent="0.35">
      <c r="A81" s="7">
        <f t="shared" si="16"/>
        <v>75</v>
      </c>
      <c r="B81" s="50" t="s">
        <v>72</v>
      </c>
      <c r="C81" s="50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196"/>
      <c r="T81" s="205"/>
      <c r="U81" s="4"/>
      <c r="X81" s="204"/>
    </row>
    <row r="82" spans="1:24" x14ac:dyDescent="0.35">
      <c r="A82" s="7">
        <f t="shared" si="16"/>
        <v>76</v>
      </c>
      <c r="S82" s="196"/>
      <c r="T82" s="203">
        <f>SUM(T13:T81)</f>
        <v>110817104.48625472</v>
      </c>
      <c r="U82" s="202">
        <f>SUM(U13:U81)</f>
        <v>122256292.78653105</v>
      </c>
      <c r="V82" s="202">
        <f>SUM(V13:V81)</f>
        <v>115578913.86882505</v>
      </c>
      <c r="W82" s="202">
        <f>SUM(W13:W81)</f>
        <v>-6677378.9177059494</v>
      </c>
      <c r="X82" s="201">
        <f>IF(W82=0,0,(V82-U82)/U82)</f>
        <v>-5.4617875002681608E-2</v>
      </c>
    </row>
    <row r="83" spans="1:24" ht="15" thickBot="1" x14ac:dyDescent="0.4">
      <c r="A83" s="7">
        <f t="shared" si="16"/>
        <v>77</v>
      </c>
      <c r="B83" s="27" t="s">
        <v>76</v>
      </c>
      <c r="S83" s="196"/>
      <c r="T83" s="89"/>
    </row>
    <row r="84" spans="1:24" ht="15" thickBot="1" x14ac:dyDescent="0.4">
      <c r="A84" s="7">
        <f t="shared" si="16"/>
        <v>78</v>
      </c>
      <c r="B84" s="16" t="s">
        <v>77</v>
      </c>
      <c r="C84" s="11"/>
      <c r="D84" s="14" t="str">
        <f>'Proposed Rates in detail'!D84</f>
        <v>2022-23 PGA</v>
      </c>
      <c r="E84" s="200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9"/>
      <c r="Q84" s="198"/>
      <c r="S84" s="196"/>
      <c r="T84" s="89"/>
    </row>
    <row r="85" spans="1:24" ht="15" thickBot="1" x14ac:dyDescent="0.4">
      <c r="A85" s="7">
        <f t="shared" si="16"/>
        <v>79</v>
      </c>
      <c r="S85" s="196"/>
      <c r="T85" s="89"/>
    </row>
    <row r="86" spans="1:24" ht="15" thickBot="1" x14ac:dyDescent="0.4">
      <c r="A86" s="7">
        <f t="shared" si="16"/>
        <v>80</v>
      </c>
      <c r="B86" s="16" t="s">
        <v>98</v>
      </c>
      <c r="C86" s="11"/>
      <c r="D86" s="9"/>
      <c r="E86" s="14" t="s">
        <v>99</v>
      </c>
      <c r="F86" s="14" t="s">
        <v>100</v>
      </c>
      <c r="G86" s="9"/>
      <c r="H86" s="14" t="s">
        <v>101</v>
      </c>
      <c r="I86" s="14"/>
      <c r="J86" s="14"/>
      <c r="K86" s="14"/>
      <c r="L86" s="14"/>
      <c r="M86" s="14"/>
      <c r="N86" s="14"/>
      <c r="O86" s="14"/>
      <c r="P86" s="14" t="s">
        <v>102</v>
      </c>
      <c r="Q86" s="14" t="s">
        <v>103</v>
      </c>
      <c r="S86" s="196"/>
      <c r="T86" s="89"/>
    </row>
    <row r="87" spans="1:24" x14ac:dyDescent="0.35">
      <c r="A87" s="7">
        <f t="shared" si="16"/>
        <v>81</v>
      </c>
      <c r="S87" s="196"/>
      <c r="T87" s="89"/>
    </row>
    <row r="88" spans="1:24" x14ac:dyDescent="0.35">
      <c r="A88" s="7">
        <f t="shared" si="16"/>
        <v>82</v>
      </c>
      <c r="B88" s="197" t="s">
        <v>104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S88" s="196"/>
      <c r="T88" s="89"/>
    </row>
    <row r="89" spans="1:24" x14ac:dyDescent="0.35">
      <c r="A89" s="7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</sheetData>
  <pageMargins left="0.7" right="0.7" top="0.75" bottom="0.75" header="0.3" footer="0.3"/>
  <pageSetup scale="53" orientation="portrait" r:id="rId1"/>
  <headerFooter alignWithMargins="0">
    <oddHeader>&amp;RUG-250717 - NWN WUTC Advice No. 25-08A
Exhibit B - Supporting Materials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AD2B-4FDD-42E7-A2E8-EC5FCECF1285}">
  <sheetPr>
    <tabColor theme="0" tint="-0.14999847407452621"/>
    <pageSetUpPr fitToPage="1"/>
  </sheetPr>
  <dimension ref="A1:AO99"/>
  <sheetViews>
    <sheetView tabSelected="1" view="pageLayout" zoomScaleNormal="100" workbookViewId="0">
      <selection activeCell="F46" sqref="F46"/>
    </sheetView>
  </sheetViews>
  <sheetFormatPr defaultColWidth="8.453125" defaultRowHeight="14.5" outlineLevelCol="1" x14ac:dyDescent="0.35"/>
  <cols>
    <col min="1" max="1" width="6.1796875" style="6" customWidth="1"/>
    <col min="2" max="2" width="17.26953125" style="6" customWidth="1"/>
    <col min="3" max="3" width="9.453125" style="6" customWidth="1"/>
    <col min="4" max="12" width="13.453125" style="6" customWidth="1"/>
    <col min="13" max="13" width="15.54296875" style="6" customWidth="1"/>
    <col min="14" max="14" width="16.1796875" style="6" customWidth="1"/>
    <col min="15" max="20" width="13.453125" style="6" hidden="1" customWidth="1" outlineLevel="1"/>
    <col min="21" max="21" width="15.54296875" style="6" customWidth="1" outlineLevel="1"/>
    <col min="22" max="24" width="14.453125" style="6" customWidth="1"/>
    <col min="25" max="26" width="8.453125" style="6" hidden="1" customWidth="1"/>
    <col min="27" max="27" width="14.81640625" style="6" hidden="1" customWidth="1"/>
    <col min="28" max="28" width="8.453125" style="6" hidden="1" customWidth="1"/>
    <col min="29" max="32" width="15.26953125" style="6" hidden="1" customWidth="1"/>
    <col min="33" max="33" width="15.7265625" style="223" hidden="1" customWidth="1"/>
    <col min="34" max="34" width="11.1796875" style="223" hidden="1" customWidth="1"/>
    <col min="35" max="35" width="16.1796875" style="6" hidden="1" customWidth="1"/>
    <col min="36" max="36" width="5.26953125" style="6" hidden="1" customWidth="1"/>
    <col min="37" max="37" width="13.81640625" style="6" hidden="1" customWidth="1"/>
    <col min="38" max="38" width="0" style="6" hidden="1" customWidth="1"/>
    <col min="39" max="39" width="12.453125" style="6" hidden="1" customWidth="1"/>
    <col min="40" max="40" width="9.1796875" style="6" bestFit="1" customWidth="1"/>
    <col min="41" max="41" width="11.54296875" style="6" customWidth="1"/>
    <col min="42" max="16384" width="8.453125" style="6"/>
  </cols>
  <sheetData>
    <row r="1" spans="1:41" x14ac:dyDescent="0.35">
      <c r="A1" s="255" t="str">
        <f>+'[1]Washington volumes'!A1</f>
        <v>NW Natural</v>
      </c>
      <c r="AA1" s="255" t="s">
        <v>217</v>
      </c>
      <c r="AB1" s="255"/>
      <c r="AC1" s="255"/>
      <c r="AD1" s="255"/>
      <c r="AE1" s="255"/>
      <c r="AF1" s="255"/>
      <c r="AG1" s="260"/>
      <c r="AH1" s="260"/>
      <c r="AI1" s="255"/>
      <c r="AJ1" s="255"/>
      <c r="AK1" s="255"/>
      <c r="AL1" s="255"/>
      <c r="AM1" s="255"/>
    </row>
    <row r="2" spans="1:41" ht="15" thickBot="1" x14ac:dyDescent="0.4">
      <c r="A2" s="255" t="str">
        <f>+'[1]Washington volumes'!A2</f>
        <v>Rates &amp; Regulatory Affairs</v>
      </c>
      <c r="G2" s="223"/>
      <c r="H2" s="223"/>
      <c r="I2" s="223"/>
    </row>
    <row r="3" spans="1:41" ht="15" thickBot="1" x14ac:dyDescent="0.4">
      <c r="A3" s="255" t="str">
        <f>+'[1]Washington volumes'!A3</f>
        <v>2025-2026 PGA Filing - Washington: September Filing</v>
      </c>
      <c r="I3" s="122"/>
      <c r="M3" s="223"/>
      <c r="N3" s="223"/>
      <c r="AC3" s="259" t="s">
        <v>216</v>
      </c>
      <c r="AD3" s="13"/>
      <c r="AE3" s="13"/>
      <c r="AF3" s="13"/>
      <c r="AG3" s="258"/>
      <c r="AI3" s="257" t="s">
        <v>215</v>
      </c>
      <c r="AJ3" s="257"/>
      <c r="AK3" s="257"/>
    </row>
    <row r="4" spans="1:41" x14ac:dyDescent="0.35">
      <c r="A4" s="255" t="s">
        <v>105</v>
      </c>
      <c r="H4" s="223"/>
      <c r="I4" s="223"/>
      <c r="L4" s="223"/>
      <c r="N4" s="223"/>
    </row>
    <row r="5" spans="1:41" x14ac:dyDescent="0.35">
      <c r="H5" s="223"/>
      <c r="I5" s="256"/>
      <c r="J5" s="229"/>
      <c r="L5" s="229"/>
      <c r="M5" s="223"/>
      <c r="AI5" s="172" t="s">
        <v>214</v>
      </c>
      <c r="AK5" s="172" t="s">
        <v>213</v>
      </c>
    </row>
    <row r="6" spans="1:41" x14ac:dyDescent="0.35">
      <c r="H6" s="223"/>
      <c r="AI6" s="172" t="s">
        <v>212</v>
      </c>
      <c r="AK6" s="172" t="s">
        <v>211</v>
      </c>
    </row>
    <row r="7" spans="1:41" x14ac:dyDescent="0.35">
      <c r="A7" s="172">
        <v>1</v>
      </c>
      <c r="E7" s="255"/>
      <c r="F7" s="152" t="s">
        <v>106</v>
      </c>
      <c r="G7" s="152" t="s">
        <v>106</v>
      </c>
      <c r="H7" s="152"/>
      <c r="I7" s="255"/>
      <c r="J7" s="152" t="s">
        <v>107</v>
      </c>
      <c r="K7" s="152" t="s">
        <v>107</v>
      </c>
      <c r="L7" s="152"/>
      <c r="M7" s="152" t="s">
        <v>106</v>
      </c>
      <c r="N7" s="152" t="s">
        <v>107</v>
      </c>
      <c r="O7" s="152"/>
      <c r="P7" s="152"/>
      <c r="Q7" s="152"/>
      <c r="R7" s="152"/>
      <c r="S7" s="152"/>
      <c r="T7" s="152"/>
      <c r="U7" s="152" t="s">
        <v>107</v>
      </c>
      <c r="V7" s="253">
        <f>+EFFDATE</f>
        <v>45658</v>
      </c>
      <c r="W7" s="253"/>
      <c r="X7" s="253"/>
      <c r="AI7" s="172" t="s">
        <v>210</v>
      </c>
    </row>
    <row r="8" spans="1:41" x14ac:dyDescent="0.35">
      <c r="A8" s="172">
        <f t="shared" ref="A8:A39" si="0">+A7+1</f>
        <v>2</v>
      </c>
      <c r="D8" s="253" t="e">
        <f>+#REF!</f>
        <v>#REF!</v>
      </c>
      <c r="E8" s="152" t="s">
        <v>106</v>
      </c>
      <c r="F8" s="152" t="s">
        <v>1</v>
      </c>
      <c r="G8" s="152" t="s">
        <v>1</v>
      </c>
      <c r="H8" s="255"/>
      <c r="I8" s="152" t="s">
        <v>107</v>
      </c>
      <c r="J8" s="253" t="s">
        <v>3</v>
      </c>
      <c r="K8" s="253" t="s">
        <v>3</v>
      </c>
      <c r="L8" s="152"/>
      <c r="M8" s="152" t="s">
        <v>1</v>
      </c>
      <c r="N8" s="253" t="s">
        <v>3</v>
      </c>
      <c r="O8" s="152"/>
      <c r="P8" s="152"/>
      <c r="Q8" s="152"/>
      <c r="R8" s="152"/>
      <c r="S8" s="152"/>
      <c r="T8" s="152"/>
      <c r="U8" s="253" t="s">
        <v>3</v>
      </c>
      <c r="V8" s="152" t="s">
        <v>3</v>
      </c>
      <c r="W8" s="152"/>
      <c r="X8" s="152"/>
      <c r="AD8" s="254"/>
      <c r="AE8" s="254"/>
      <c r="AF8" s="254"/>
      <c r="AG8" s="252"/>
      <c r="AH8" s="252"/>
      <c r="AI8" s="254"/>
      <c r="AJ8" s="254"/>
      <c r="AK8" s="254"/>
      <c r="AM8" s="152"/>
      <c r="AO8" s="224"/>
    </row>
    <row r="9" spans="1:41" x14ac:dyDescent="0.35">
      <c r="A9" s="172">
        <f t="shared" si="0"/>
        <v>3</v>
      </c>
      <c r="D9" s="152" t="s">
        <v>13</v>
      </c>
      <c r="E9" s="152" t="s">
        <v>1</v>
      </c>
      <c r="F9" s="152" t="s">
        <v>108</v>
      </c>
      <c r="G9" s="152" t="s">
        <v>109</v>
      </c>
      <c r="H9" s="152"/>
      <c r="I9" s="253" t="s">
        <v>3</v>
      </c>
      <c r="J9" s="152" t="s">
        <v>108</v>
      </c>
      <c r="K9" s="152" t="s">
        <v>109</v>
      </c>
      <c r="L9" s="152"/>
      <c r="M9" s="152" t="s">
        <v>87</v>
      </c>
      <c r="N9" s="152" t="s">
        <v>87</v>
      </c>
      <c r="O9" s="152" t="s">
        <v>196</v>
      </c>
      <c r="P9" s="152" t="s">
        <v>196</v>
      </c>
      <c r="Q9" s="152" t="s">
        <v>196</v>
      </c>
      <c r="R9" s="152" t="s">
        <v>196</v>
      </c>
      <c r="S9" s="152" t="s">
        <v>196</v>
      </c>
      <c r="T9" s="152" t="s">
        <v>196</v>
      </c>
      <c r="U9" s="152" t="s">
        <v>88</v>
      </c>
      <c r="V9" s="152" t="s">
        <v>110</v>
      </c>
      <c r="W9" s="152"/>
      <c r="X9" s="152"/>
      <c r="AC9" s="172"/>
      <c r="AD9" s="172" t="s">
        <v>209</v>
      </c>
      <c r="AE9" s="152"/>
      <c r="AF9" s="172" t="s">
        <v>87</v>
      </c>
      <c r="AG9" s="172" t="s">
        <v>13</v>
      </c>
      <c r="AH9" s="172"/>
      <c r="AI9" s="152"/>
      <c r="AJ9" s="225"/>
      <c r="AK9" s="152"/>
      <c r="AM9" s="152"/>
    </row>
    <row r="10" spans="1:41" s="225" customFormat="1" ht="15" thickBot="1" x14ac:dyDescent="0.4">
      <c r="A10" s="172">
        <f t="shared" si="0"/>
        <v>4</v>
      </c>
      <c r="B10" s="6"/>
      <c r="C10" s="6"/>
      <c r="D10" s="165" t="s">
        <v>19</v>
      </c>
      <c r="E10" s="165" t="s">
        <v>90</v>
      </c>
      <c r="F10" s="165" t="s">
        <v>111</v>
      </c>
      <c r="G10" s="165" t="s">
        <v>111</v>
      </c>
      <c r="H10" s="165" t="s">
        <v>112</v>
      </c>
      <c r="I10" s="165" t="s">
        <v>90</v>
      </c>
      <c r="J10" s="165" t="s">
        <v>111</v>
      </c>
      <c r="K10" s="165" t="s">
        <v>111</v>
      </c>
      <c r="L10" s="165" t="s">
        <v>112</v>
      </c>
      <c r="M10" s="165" t="s">
        <v>113</v>
      </c>
      <c r="N10" s="165" t="s">
        <v>113</v>
      </c>
      <c r="O10" s="165" t="s">
        <v>195</v>
      </c>
      <c r="P10" s="165" t="s">
        <v>195</v>
      </c>
      <c r="Q10" s="165" t="s">
        <v>195</v>
      </c>
      <c r="R10" s="165" t="s">
        <v>195</v>
      </c>
      <c r="S10" s="165" t="s">
        <v>195</v>
      </c>
      <c r="T10" s="165" t="s">
        <v>195</v>
      </c>
      <c r="U10" s="165" t="s">
        <v>19</v>
      </c>
      <c r="V10" s="165" t="s">
        <v>95</v>
      </c>
      <c r="W10" s="152"/>
      <c r="X10" s="152"/>
      <c r="AC10" s="172" t="s">
        <v>208</v>
      </c>
      <c r="AD10" s="172" t="s">
        <v>207</v>
      </c>
      <c r="AE10" s="172" t="s">
        <v>206</v>
      </c>
      <c r="AF10" s="172" t="s">
        <v>205</v>
      </c>
      <c r="AG10" s="172" t="s">
        <v>94</v>
      </c>
      <c r="AH10" s="172"/>
      <c r="AI10" s="152" t="s">
        <v>204</v>
      </c>
      <c r="AK10" s="152" t="s">
        <v>203</v>
      </c>
      <c r="AM10" s="152"/>
      <c r="AO10" s="152"/>
    </row>
    <row r="11" spans="1:41" s="225" customFormat="1" ht="15" thickBot="1" x14ac:dyDescent="0.4">
      <c r="A11" s="172">
        <f t="shared" si="0"/>
        <v>5</v>
      </c>
      <c r="B11" s="6"/>
      <c r="C11" s="6"/>
      <c r="H11" s="152" t="s">
        <v>114</v>
      </c>
      <c r="I11" s="152"/>
      <c r="J11" s="152"/>
      <c r="K11" s="152"/>
      <c r="L11" s="152" t="s">
        <v>115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 t="s">
        <v>116</v>
      </c>
      <c r="W11" s="152"/>
      <c r="X11" s="152"/>
      <c r="AC11" s="165"/>
      <c r="AD11" s="164" t="s">
        <v>94</v>
      </c>
      <c r="AE11" s="164" t="s">
        <v>94</v>
      </c>
      <c r="AF11" s="164"/>
      <c r="AG11" s="252"/>
      <c r="AH11" s="252"/>
      <c r="AI11" s="140" t="s">
        <v>19</v>
      </c>
      <c r="AJ11" s="140"/>
      <c r="AK11" s="140" t="s">
        <v>202</v>
      </c>
      <c r="AO11" s="224"/>
    </row>
    <row r="12" spans="1:41" s="225" customFormat="1" x14ac:dyDescent="0.35">
      <c r="A12" s="172">
        <f t="shared" si="0"/>
        <v>6</v>
      </c>
      <c r="B12" s="251" t="s">
        <v>26</v>
      </c>
      <c r="C12" s="251" t="s">
        <v>15</v>
      </c>
      <c r="D12" s="140" t="s">
        <v>27</v>
      </c>
      <c r="E12" s="140" t="s">
        <v>28</v>
      </c>
      <c r="F12" s="140" t="s">
        <v>29</v>
      </c>
      <c r="G12" s="140" t="s">
        <v>30</v>
      </c>
      <c r="H12" s="140" t="s">
        <v>31</v>
      </c>
      <c r="I12" s="140" t="s">
        <v>32</v>
      </c>
      <c r="J12" s="140" t="s">
        <v>33</v>
      </c>
      <c r="K12" s="140" t="s">
        <v>34</v>
      </c>
      <c r="L12" s="140" t="s">
        <v>35</v>
      </c>
      <c r="M12" s="140" t="s">
        <v>36</v>
      </c>
      <c r="N12" s="140" t="s">
        <v>37</v>
      </c>
      <c r="O12" s="140"/>
      <c r="P12" s="140"/>
      <c r="Q12" s="140"/>
      <c r="R12" s="140"/>
      <c r="S12" s="140"/>
      <c r="T12" s="140"/>
      <c r="U12" s="140" t="s">
        <v>38</v>
      </c>
      <c r="V12" s="140" t="s">
        <v>38</v>
      </c>
      <c r="W12" s="152"/>
      <c r="X12" s="152"/>
      <c r="AA12" s="251" t="s">
        <v>26</v>
      </c>
      <c r="AB12" s="251" t="s">
        <v>15</v>
      </c>
      <c r="AC12" s="250"/>
      <c r="AD12" s="249"/>
      <c r="AE12" s="249"/>
      <c r="AF12" s="249"/>
      <c r="AG12" s="248"/>
      <c r="AH12" s="247" t="s">
        <v>201</v>
      </c>
      <c r="AI12" s="225" t="s">
        <v>200</v>
      </c>
      <c r="AK12" s="152" t="s">
        <v>199</v>
      </c>
      <c r="AO12" s="224"/>
    </row>
    <row r="13" spans="1:41" x14ac:dyDescent="0.35">
      <c r="A13" s="172">
        <f t="shared" si="0"/>
        <v>7</v>
      </c>
      <c r="B13" s="234" t="s">
        <v>42</v>
      </c>
      <c r="C13" s="234"/>
      <c r="D13" s="235">
        <v>1.6683000000000003</v>
      </c>
      <c r="E13" s="235">
        <v>0.43274000000000001</v>
      </c>
      <c r="F13" s="235">
        <v>0.10337</v>
      </c>
      <c r="G13" s="235">
        <v>0</v>
      </c>
      <c r="H13" s="235">
        <f t="shared" ref="H13:H44" si="1">+D13-SUM(E13:G13)</f>
        <v>1.1321900000000005</v>
      </c>
      <c r="I13" s="236">
        <f>+[1]Inputs!B16</f>
        <v>0.40640999999999999</v>
      </c>
      <c r="J13" s="236">
        <f>+[1]Inputs!B18</f>
        <v>0.10032000000000001</v>
      </c>
      <c r="K13" s="235">
        <v>0</v>
      </c>
      <c r="L13" s="235">
        <f t="shared" ref="L13:L44" si="2">SUM(H13:K13)</f>
        <v>1.6389200000000004</v>
      </c>
      <c r="M13" s="235">
        <f>+[1]Temporaries!D13</f>
        <v>0.29749999999999999</v>
      </c>
      <c r="N13" s="235">
        <f>+[1]Temporaries!W13</f>
        <v>0.29243999999999998</v>
      </c>
      <c r="O13" s="235"/>
      <c r="P13" s="235"/>
      <c r="Q13" s="235"/>
      <c r="R13" s="235"/>
      <c r="S13" s="235"/>
      <c r="T13" s="235"/>
      <c r="U13" s="235">
        <f>[1]Permanents!H13</f>
        <v>2.4000000000001798E-4</v>
      </c>
      <c r="V13" s="235">
        <f t="shared" ref="V13:V44" si="3">+L13-M13+N13+U13</f>
        <v>1.6341000000000003</v>
      </c>
      <c r="W13" s="223"/>
      <c r="X13" s="223"/>
      <c r="Y13" s="223">
        <f t="shared" ref="Y13:Y44" si="4">AD13+AE13</f>
        <v>0.50673000000000001</v>
      </c>
      <c r="AA13" s="234" t="s">
        <v>42</v>
      </c>
      <c r="AB13" s="234"/>
      <c r="AC13" s="238">
        <f t="shared" ref="AC13:AC44" si="5">+V13-I13-J13-K13-N13</f>
        <v>0.83493000000000039</v>
      </c>
      <c r="AD13" s="223">
        <f t="shared" ref="AD13:AD44" si="6">+J13</f>
        <v>0.10032000000000001</v>
      </c>
      <c r="AE13" s="223">
        <f t="shared" ref="AE13:AE44" si="7">+I13</f>
        <v>0.40640999999999999</v>
      </c>
      <c r="AF13" s="223">
        <f t="shared" ref="AF13:AF44" si="8">+N13</f>
        <v>0.29243999999999998</v>
      </c>
      <c r="AG13" s="237">
        <f t="shared" ref="AG13:AG44" si="9">+SUM(AC13:AF13)</f>
        <v>1.6341000000000003</v>
      </c>
      <c r="AH13" s="122">
        <f t="shared" ref="AH13:AH44" si="10">+AG13-V13</f>
        <v>0</v>
      </c>
      <c r="AI13" s="223">
        <f t="shared" ref="AI13:AI44" si="11">+V13-N13</f>
        <v>1.3416600000000003</v>
      </c>
      <c r="AK13" s="122">
        <f t="shared" ref="AK13:AK44" si="12">AI13-I13</f>
        <v>0.93525000000000036</v>
      </c>
      <c r="AM13" s="230"/>
      <c r="AN13" s="229"/>
      <c r="AO13" s="246"/>
    </row>
    <row r="14" spans="1:41" x14ac:dyDescent="0.35">
      <c r="A14" s="172">
        <f t="shared" si="0"/>
        <v>8</v>
      </c>
      <c r="B14" s="234" t="s">
        <v>44</v>
      </c>
      <c r="C14" s="234"/>
      <c r="D14" s="235">
        <v>1.672639999999999</v>
      </c>
      <c r="E14" s="235">
        <f t="shared" ref="E14:E26" si="13">+$E$13</f>
        <v>0.43274000000000001</v>
      </c>
      <c r="F14" s="235">
        <f>+$F$13</f>
        <v>0.10337</v>
      </c>
      <c r="G14" s="235">
        <f>G13</f>
        <v>0</v>
      </c>
      <c r="H14" s="235">
        <f t="shared" si="1"/>
        <v>1.1365299999999992</v>
      </c>
      <c r="I14" s="236">
        <f t="shared" ref="I14:I26" si="14">+$I$13</f>
        <v>0.40640999999999999</v>
      </c>
      <c r="J14" s="236">
        <f>+$J$13</f>
        <v>0.10032000000000001</v>
      </c>
      <c r="K14" s="235">
        <v>0</v>
      </c>
      <c r="L14" s="235">
        <f t="shared" si="2"/>
        <v>1.6432599999999991</v>
      </c>
      <c r="M14" s="235">
        <f>+[1]Temporaries!D14</f>
        <v>0.27344999999999997</v>
      </c>
      <c r="N14" s="235">
        <f>+[1]Temporaries!W14</f>
        <v>0.22691</v>
      </c>
      <c r="O14" s="235"/>
      <c r="P14" s="235"/>
      <c r="Q14" s="235"/>
      <c r="R14" s="235"/>
      <c r="S14" s="235"/>
      <c r="T14" s="235"/>
      <c r="U14" s="235">
        <f>[1]Permanents!H14</f>
        <v>1.6000000000004899E-4</v>
      </c>
      <c r="V14" s="235">
        <f t="shared" si="3"/>
        <v>1.5968799999999992</v>
      </c>
      <c r="W14" s="223"/>
      <c r="X14" s="223"/>
      <c r="Y14" s="223">
        <f t="shared" si="4"/>
        <v>0.50673000000000001</v>
      </c>
      <c r="AA14" s="234" t="s">
        <v>44</v>
      </c>
      <c r="AB14" s="234"/>
      <c r="AC14" s="238">
        <f t="shared" si="5"/>
        <v>0.86323999999999934</v>
      </c>
      <c r="AD14" s="223">
        <f t="shared" si="6"/>
        <v>0.10032000000000001</v>
      </c>
      <c r="AE14" s="223">
        <f t="shared" si="7"/>
        <v>0.40640999999999999</v>
      </c>
      <c r="AF14" s="223">
        <f t="shared" si="8"/>
        <v>0.22691</v>
      </c>
      <c r="AG14" s="237">
        <f t="shared" si="9"/>
        <v>1.5968799999999992</v>
      </c>
      <c r="AH14" s="122">
        <f t="shared" si="10"/>
        <v>0</v>
      </c>
      <c r="AI14" s="223">
        <f t="shared" si="11"/>
        <v>1.3699699999999992</v>
      </c>
      <c r="AK14" s="122">
        <f t="shared" si="12"/>
        <v>0.96355999999999931</v>
      </c>
      <c r="AM14" s="230"/>
      <c r="AN14" s="229"/>
      <c r="AO14" s="224"/>
    </row>
    <row r="15" spans="1:41" x14ac:dyDescent="0.35">
      <c r="A15" s="172">
        <f t="shared" si="0"/>
        <v>9</v>
      </c>
      <c r="B15" s="234" t="s">
        <v>45</v>
      </c>
      <c r="C15" s="234"/>
      <c r="D15" s="235">
        <v>1.3152700000000002</v>
      </c>
      <c r="E15" s="235">
        <f t="shared" si="13"/>
        <v>0.43274000000000001</v>
      </c>
      <c r="F15" s="235">
        <f>+$F$13</f>
        <v>0.10337</v>
      </c>
      <c r="G15" s="235">
        <f>G14</f>
        <v>0</v>
      </c>
      <c r="H15" s="235">
        <f t="shared" si="1"/>
        <v>0.77916000000000019</v>
      </c>
      <c r="I15" s="236">
        <f t="shared" si="14"/>
        <v>0.40640999999999999</v>
      </c>
      <c r="J15" s="236">
        <f>+$J$13</f>
        <v>0.10032000000000001</v>
      </c>
      <c r="K15" s="235">
        <v>0</v>
      </c>
      <c r="L15" s="235">
        <f t="shared" si="2"/>
        <v>1.2858900000000002</v>
      </c>
      <c r="M15" s="235">
        <f>+[1]Temporaries!D15</f>
        <v>0.22096000000000002</v>
      </c>
      <c r="N15" s="235">
        <f>+[1]Temporaries!W15</f>
        <v>0.17731999999999998</v>
      </c>
      <c r="O15" s="235"/>
      <c r="P15" s="235"/>
      <c r="Q15" s="235"/>
      <c r="R15" s="235"/>
      <c r="S15" s="235"/>
      <c r="T15" s="235"/>
      <c r="U15" s="235">
        <f>[1]Permanents!H15</f>
        <v>1.100000000000545E-4</v>
      </c>
      <c r="V15" s="235">
        <f t="shared" si="3"/>
        <v>1.2423600000000001</v>
      </c>
      <c r="W15" s="223"/>
      <c r="X15" s="223"/>
      <c r="Y15" s="223">
        <f t="shared" si="4"/>
        <v>0.50673000000000001</v>
      </c>
      <c r="AA15" s="234" t="s">
        <v>45</v>
      </c>
      <c r="AB15" s="234"/>
      <c r="AC15" s="238">
        <f t="shared" si="5"/>
        <v>0.55831000000000031</v>
      </c>
      <c r="AD15" s="223">
        <f t="shared" si="6"/>
        <v>0.10032000000000001</v>
      </c>
      <c r="AE15" s="223">
        <f t="shared" si="7"/>
        <v>0.40640999999999999</v>
      </c>
      <c r="AF15" s="223">
        <f t="shared" si="8"/>
        <v>0.17731999999999998</v>
      </c>
      <c r="AG15" s="237">
        <f t="shared" si="9"/>
        <v>1.2423600000000001</v>
      </c>
      <c r="AH15" s="122">
        <f t="shared" si="10"/>
        <v>0</v>
      </c>
      <c r="AI15" s="223">
        <f t="shared" si="11"/>
        <v>1.0650400000000002</v>
      </c>
      <c r="AK15" s="122">
        <f t="shared" si="12"/>
        <v>0.65863000000000027</v>
      </c>
      <c r="AM15" s="230"/>
      <c r="AN15" s="229"/>
      <c r="AO15" s="224"/>
    </row>
    <row r="16" spans="1:41" x14ac:dyDescent="0.35">
      <c r="A16" s="172">
        <f t="shared" si="0"/>
        <v>10</v>
      </c>
      <c r="B16" s="234" t="s">
        <v>46</v>
      </c>
      <c r="C16" s="234"/>
      <c r="D16" s="235">
        <v>1.2785399999999996</v>
      </c>
      <c r="E16" s="235">
        <f t="shared" si="13"/>
        <v>0.43274000000000001</v>
      </c>
      <c r="F16" s="235">
        <f>+$F$13</f>
        <v>0.10337</v>
      </c>
      <c r="G16" s="235">
        <f>G15</f>
        <v>0</v>
      </c>
      <c r="H16" s="235">
        <f t="shared" si="1"/>
        <v>0.74242999999999959</v>
      </c>
      <c r="I16" s="236">
        <f t="shared" si="14"/>
        <v>0.40640999999999999</v>
      </c>
      <c r="J16" s="236">
        <f>+$J$13</f>
        <v>0.10032000000000001</v>
      </c>
      <c r="K16" s="235">
        <v>0</v>
      </c>
      <c r="L16" s="235">
        <f t="shared" si="2"/>
        <v>1.2491599999999996</v>
      </c>
      <c r="M16" s="235">
        <f>+[1]Temporaries!D16</f>
        <v>0.20892999999999998</v>
      </c>
      <c r="N16" s="235">
        <f>+[1]Temporaries!W16</f>
        <v>0.16456000000000004</v>
      </c>
      <c r="O16" s="235"/>
      <c r="P16" s="235"/>
      <c r="Q16" s="235"/>
      <c r="R16" s="235"/>
      <c r="S16" s="235"/>
      <c r="T16" s="235"/>
      <c r="U16" s="235">
        <f>[1]Permanents!H16</f>
        <v>9.9999999999988987E-5</v>
      </c>
      <c r="V16" s="235">
        <f t="shared" si="3"/>
        <v>1.2048899999999996</v>
      </c>
      <c r="W16" s="223"/>
      <c r="X16" s="223"/>
      <c r="Y16" s="223">
        <f t="shared" si="4"/>
        <v>0.50673000000000001</v>
      </c>
      <c r="AA16" s="234" t="s">
        <v>46</v>
      </c>
      <c r="AB16" s="234"/>
      <c r="AC16" s="238">
        <f t="shared" si="5"/>
        <v>0.53359999999999963</v>
      </c>
      <c r="AD16" s="223">
        <f t="shared" si="6"/>
        <v>0.10032000000000001</v>
      </c>
      <c r="AE16" s="223">
        <f t="shared" si="7"/>
        <v>0.40640999999999999</v>
      </c>
      <c r="AF16" s="223">
        <f t="shared" si="8"/>
        <v>0.16456000000000004</v>
      </c>
      <c r="AG16" s="237">
        <f t="shared" si="9"/>
        <v>1.2048899999999996</v>
      </c>
      <c r="AH16" s="122">
        <f t="shared" si="10"/>
        <v>0</v>
      </c>
      <c r="AI16" s="223">
        <f t="shared" si="11"/>
        <v>1.0403299999999995</v>
      </c>
      <c r="AK16" s="122">
        <f t="shared" si="12"/>
        <v>0.63391999999999959</v>
      </c>
      <c r="AM16" s="230"/>
      <c r="AN16" s="229"/>
      <c r="AO16" s="224"/>
    </row>
    <row r="17" spans="1:41" x14ac:dyDescent="0.35">
      <c r="A17" s="172">
        <f t="shared" si="0"/>
        <v>11</v>
      </c>
      <c r="B17" s="234" t="s">
        <v>47</v>
      </c>
      <c r="C17" s="234"/>
      <c r="D17" s="235">
        <v>1.2303099999999996</v>
      </c>
      <c r="E17" s="235">
        <f t="shared" si="13"/>
        <v>0.43274000000000001</v>
      </c>
      <c r="F17" s="235">
        <f>+$F$13</f>
        <v>0.10337</v>
      </c>
      <c r="G17" s="235"/>
      <c r="H17" s="235">
        <f t="shared" si="1"/>
        <v>0.6941999999999996</v>
      </c>
      <c r="I17" s="236">
        <f t="shared" si="14"/>
        <v>0.40640999999999999</v>
      </c>
      <c r="J17" s="236">
        <f>+$J$13</f>
        <v>0.10032000000000001</v>
      </c>
      <c r="K17" s="235">
        <v>0</v>
      </c>
      <c r="L17" s="235">
        <f t="shared" si="2"/>
        <v>1.2009299999999996</v>
      </c>
      <c r="M17" s="235">
        <f>+[1]Temporaries!D17</f>
        <v>0.15035000000000001</v>
      </c>
      <c r="N17" s="235">
        <f>+[1]Temporaries!W17</f>
        <v>0.10452</v>
      </c>
      <c r="O17" s="235"/>
      <c r="P17" s="235"/>
      <c r="Q17" s="235"/>
      <c r="R17" s="235"/>
      <c r="S17" s="235"/>
      <c r="T17" s="235"/>
      <c r="U17" s="235">
        <f>[1]Permanents!H17</f>
        <v>9.0000000000034497E-5</v>
      </c>
      <c r="V17" s="235">
        <f t="shared" si="3"/>
        <v>1.1551899999999997</v>
      </c>
      <c r="W17" s="223"/>
      <c r="X17" s="223"/>
      <c r="Y17" s="223">
        <f t="shared" si="4"/>
        <v>0.50673000000000001</v>
      </c>
      <c r="AA17" s="234" t="s">
        <v>47</v>
      </c>
      <c r="AB17" s="234"/>
      <c r="AC17" s="238">
        <f t="shared" si="5"/>
        <v>0.54393999999999987</v>
      </c>
      <c r="AD17" s="223">
        <f t="shared" si="6"/>
        <v>0.10032000000000001</v>
      </c>
      <c r="AE17" s="223">
        <f t="shared" si="7"/>
        <v>0.40640999999999999</v>
      </c>
      <c r="AF17" s="223">
        <f t="shared" si="8"/>
        <v>0.10452</v>
      </c>
      <c r="AG17" s="237">
        <f t="shared" si="9"/>
        <v>1.1551899999999997</v>
      </c>
      <c r="AH17" s="122">
        <f t="shared" si="10"/>
        <v>0</v>
      </c>
      <c r="AI17" s="223">
        <f t="shared" si="11"/>
        <v>1.0506699999999998</v>
      </c>
      <c r="AK17" s="122">
        <f t="shared" si="12"/>
        <v>0.64425999999999983</v>
      </c>
      <c r="AM17" s="230"/>
      <c r="AN17" s="229"/>
      <c r="AO17" s="224"/>
    </row>
    <row r="18" spans="1:41" x14ac:dyDescent="0.35">
      <c r="A18" s="172">
        <f t="shared" si="0"/>
        <v>12</v>
      </c>
      <c r="B18" s="239">
        <v>27</v>
      </c>
      <c r="C18" s="239"/>
      <c r="D18" s="235">
        <v>1.11591</v>
      </c>
      <c r="E18" s="235">
        <f t="shared" si="13"/>
        <v>0.43274000000000001</v>
      </c>
      <c r="F18" s="235">
        <f>+$F$13</f>
        <v>0.10337</v>
      </c>
      <c r="G18" s="235"/>
      <c r="H18" s="235">
        <f t="shared" si="1"/>
        <v>0.57979999999999998</v>
      </c>
      <c r="I18" s="236">
        <f t="shared" si="14"/>
        <v>0.40640999999999999</v>
      </c>
      <c r="J18" s="236">
        <f>+$J$13</f>
        <v>0.10032000000000001</v>
      </c>
      <c r="K18" s="235">
        <v>0</v>
      </c>
      <c r="L18" s="235">
        <f t="shared" si="2"/>
        <v>1.08653</v>
      </c>
      <c r="M18" s="235">
        <f>+[1]Temporaries!D18</f>
        <v>0.26727000000000001</v>
      </c>
      <c r="N18" s="235">
        <f>+[1]Temporaries!W18</f>
        <v>0.29042999999999997</v>
      </c>
      <c r="O18" s="235"/>
      <c r="P18" s="235"/>
      <c r="Q18" s="235"/>
      <c r="R18" s="235"/>
      <c r="S18" s="235"/>
      <c r="T18" s="235"/>
      <c r="U18" s="235">
        <f>[1]Permanents!H18</f>
        <v>2.5999999999998247E-4</v>
      </c>
      <c r="V18" s="235">
        <f t="shared" si="3"/>
        <v>1.10995</v>
      </c>
      <c r="W18" s="223"/>
      <c r="X18" s="223"/>
      <c r="Y18" s="223">
        <f t="shared" si="4"/>
        <v>0.50673000000000001</v>
      </c>
      <c r="AA18" s="239">
        <v>27</v>
      </c>
      <c r="AB18" s="239"/>
      <c r="AC18" s="238">
        <f t="shared" si="5"/>
        <v>0.31279000000000012</v>
      </c>
      <c r="AD18" s="223">
        <f t="shared" si="6"/>
        <v>0.10032000000000001</v>
      </c>
      <c r="AE18" s="223">
        <f t="shared" si="7"/>
        <v>0.40640999999999999</v>
      </c>
      <c r="AF18" s="223">
        <f t="shared" si="8"/>
        <v>0.29042999999999997</v>
      </c>
      <c r="AG18" s="237">
        <f t="shared" si="9"/>
        <v>1.10995</v>
      </c>
      <c r="AH18" s="122">
        <f t="shared" si="10"/>
        <v>0</v>
      </c>
      <c r="AI18" s="223">
        <f t="shared" si="11"/>
        <v>0.81952000000000003</v>
      </c>
      <c r="AK18" s="122">
        <f t="shared" si="12"/>
        <v>0.41311000000000003</v>
      </c>
      <c r="AM18" s="230"/>
      <c r="AN18" s="229"/>
      <c r="AO18" s="224"/>
    </row>
    <row r="19" spans="1:41" x14ac:dyDescent="0.35">
      <c r="A19" s="172">
        <f t="shared" si="0"/>
        <v>13</v>
      </c>
      <c r="B19" s="172" t="s">
        <v>48</v>
      </c>
      <c r="C19" s="243" t="s">
        <v>49</v>
      </c>
      <c r="D19" s="223">
        <v>1.0394899999999998</v>
      </c>
      <c r="E19" s="223">
        <f t="shared" si="13"/>
        <v>0.43274000000000001</v>
      </c>
      <c r="F19" s="223"/>
      <c r="G19" s="223"/>
      <c r="H19" s="223">
        <f t="shared" si="1"/>
        <v>0.60674999999999979</v>
      </c>
      <c r="I19" s="229">
        <f t="shared" si="14"/>
        <v>0.40640999999999999</v>
      </c>
      <c r="J19" s="229"/>
      <c r="K19" s="223"/>
      <c r="L19" s="223">
        <f t="shared" si="2"/>
        <v>1.0131599999999998</v>
      </c>
      <c r="M19" s="223">
        <f>+[1]Temporaries!D19</f>
        <v>0.19066999999999998</v>
      </c>
      <c r="N19" s="223">
        <f>+[1]Temporaries!W19</f>
        <v>0.14546999999999999</v>
      </c>
      <c r="O19" s="223"/>
      <c r="P19" s="223"/>
      <c r="Q19" s="223"/>
      <c r="R19" s="223"/>
      <c r="S19" s="223"/>
      <c r="T19" s="223"/>
      <c r="U19" s="223">
        <f>[1]Permanents!H19</f>
        <v>8.0000000000024496E-5</v>
      </c>
      <c r="V19" s="223">
        <f t="shared" si="3"/>
        <v>0.96803999999999979</v>
      </c>
      <c r="W19" s="223"/>
      <c r="X19" s="223"/>
      <c r="Y19" s="223">
        <f t="shared" si="4"/>
        <v>0.40640999999999999</v>
      </c>
      <c r="AA19" s="172" t="s">
        <v>48</v>
      </c>
      <c r="AB19" s="243" t="s">
        <v>49</v>
      </c>
      <c r="AC19" s="238">
        <f t="shared" si="5"/>
        <v>0.41615999999999986</v>
      </c>
      <c r="AD19" s="223">
        <f t="shared" si="6"/>
        <v>0</v>
      </c>
      <c r="AE19" s="223">
        <f t="shared" si="7"/>
        <v>0.40640999999999999</v>
      </c>
      <c r="AF19" s="223">
        <f t="shared" si="8"/>
        <v>0.14546999999999999</v>
      </c>
      <c r="AG19" s="237">
        <f t="shared" si="9"/>
        <v>0.96803999999999979</v>
      </c>
      <c r="AH19" s="122">
        <f t="shared" si="10"/>
        <v>0</v>
      </c>
      <c r="AI19" s="223">
        <f t="shared" si="11"/>
        <v>0.8225699999999998</v>
      </c>
      <c r="AK19" s="122">
        <f t="shared" si="12"/>
        <v>0.41615999999999981</v>
      </c>
      <c r="AM19" s="230"/>
      <c r="AN19" s="229"/>
      <c r="AO19" s="224"/>
    </row>
    <row r="20" spans="1:41" x14ac:dyDescent="0.35">
      <c r="A20" s="172">
        <f t="shared" si="0"/>
        <v>14</v>
      </c>
      <c r="B20" s="239"/>
      <c r="C20" s="242" t="s">
        <v>50</v>
      </c>
      <c r="D20" s="235">
        <v>0.98116000000000014</v>
      </c>
      <c r="E20" s="235">
        <f t="shared" si="13"/>
        <v>0.43274000000000001</v>
      </c>
      <c r="F20" s="235"/>
      <c r="G20" s="235"/>
      <c r="H20" s="235">
        <f t="shared" si="1"/>
        <v>0.54842000000000013</v>
      </c>
      <c r="I20" s="236">
        <f t="shared" si="14"/>
        <v>0.40640999999999999</v>
      </c>
      <c r="J20" s="236"/>
      <c r="K20" s="235"/>
      <c r="L20" s="235">
        <f t="shared" si="2"/>
        <v>0.95483000000000007</v>
      </c>
      <c r="M20" s="235">
        <f>+[1]Temporaries!D20</f>
        <v>0.18178999999999998</v>
      </c>
      <c r="N20" s="235">
        <f>+[1]Temporaries!W20</f>
        <v>0.13657999999999998</v>
      </c>
      <c r="O20" s="235"/>
      <c r="P20" s="235"/>
      <c r="Q20" s="235"/>
      <c r="R20" s="235"/>
      <c r="S20" s="235"/>
      <c r="T20" s="235"/>
      <c r="U20" s="235">
        <f>[1]Permanents!H20</f>
        <v>7.0000000000014495E-5</v>
      </c>
      <c r="V20" s="235">
        <f t="shared" si="3"/>
        <v>0.90969000000000011</v>
      </c>
      <c r="W20" s="223"/>
      <c r="X20" s="223"/>
      <c r="Y20" s="223">
        <f t="shared" si="4"/>
        <v>0.40640999999999999</v>
      </c>
      <c r="AA20" s="239"/>
      <c r="AB20" s="242" t="s">
        <v>50</v>
      </c>
      <c r="AC20" s="238">
        <f t="shared" si="5"/>
        <v>0.36670000000000019</v>
      </c>
      <c r="AD20" s="223">
        <f t="shared" si="6"/>
        <v>0</v>
      </c>
      <c r="AE20" s="223">
        <f t="shared" si="7"/>
        <v>0.40640999999999999</v>
      </c>
      <c r="AF20" s="223">
        <f t="shared" si="8"/>
        <v>0.13657999999999998</v>
      </c>
      <c r="AG20" s="237">
        <f t="shared" si="9"/>
        <v>0.90969000000000011</v>
      </c>
      <c r="AH20" s="122">
        <f t="shared" si="10"/>
        <v>0</v>
      </c>
      <c r="AI20" s="223">
        <f t="shared" si="11"/>
        <v>0.77311000000000019</v>
      </c>
      <c r="AK20" s="122">
        <f t="shared" si="12"/>
        <v>0.36670000000000019</v>
      </c>
      <c r="AM20" s="230"/>
      <c r="AN20" s="229"/>
      <c r="AO20" s="224"/>
    </row>
    <row r="21" spans="1:41" x14ac:dyDescent="0.35">
      <c r="A21" s="172">
        <f t="shared" si="0"/>
        <v>15</v>
      </c>
      <c r="B21" s="172" t="s">
        <v>53</v>
      </c>
      <c r="C21" s="243" t="s">
        <v>49</v>
      </c>
      <c r="D21" s="223">
        <v>0.94622000000000028</v>
      </c>
      <c r="E21" s="223">
        <f t="shared" si="13"/>
        <v>0.43274000000000001</v>
      </c>
      <c r="F21" s="223"/>
      <c r="G21" s="223"/>
      <c r="H21" s="223">
        <f t="shared" si="1"/>
        <v>0.51348000000000027</v>
      </c>
      <c r="I21" s="229">
        <f t="shared" si="14"/>
        <v>0.40640999999999999</v>
      </c>
      <c r="J21" s="229"/>
      <c r="K21" s="223"/>
      <c r="L21" s="223">
        <f t="shared" si="2"/>
        <v>0.91989000000000032</v>
      </c>
      <c r="M21" s="223">
        <f>+[1]Temporaries!D21</f>
        <v>0.14201</v>
      </c>
      <c r="N21" s="223">
        <f>+[1]Temporaries!W21</f>
        <v>9.6619999999999984E-2</v>
      </c>
      <c r="O21" s="223"/>
      <c r="P21" s="223"/>
      <c r="Q21" s="223"/>
      <c r="R21" s="223"/>
      <c r="S21" s="223"/>
      <c r="T21" s="223"/>
      <c r="U21" s="223">
        <f>[1]Permanents!H21</f>
        <v>7.0000000000014495E-5</v>
      </c>
      <c r="V21" s="223">
        <f t="shared" si="3"/>
        <v>0.87457000000000029</v>
      </c>
      <c r="W21" s="223"/>
      <c r="X21" s="223"/>
      <c r="Y21" s="223">
        <f t="shared" si="4"/>
        <v>0.40640999999999999</v>
      </c>
      <c r="AA21" s="172" t="s">
        <v>53</v>
      </c>
      <c r="AB21" s="243" t="s">
        <v>49</v>
      </c>
      <c r="AC21" s="238">
        <f t="shared" si="5"/>
        <v>0.37154000000000031</v>
      </c>
      <c r="AD21" s="223">
        <f t="shared" si="6"/>
        <v>0</v>
      </c>
      <c r="AE21" s="223">
        <f t="shared" si="7"/>
        <v>0.40640999999999999</v>
      </c>
      <c r="AF21" s="223">
        <f t="shared" si="8"/>
        <v>9.6619999999999984E-2</v>
      </c>
      <c r="AG21" s="237">
        <f t="shared" si="9"/>
        <v>0.87457000000000029</v>
      </c>
      <c r="AH21" s="122">
        <f t="shared" si="10"/>
        <v>0</v>
      </c>
      <c r="AI21" s="223">
        <f t="shared" si="11"/>
        <v>0.77795000000000036</v>
      </c>
      <c r="AK21" s="122">
        <f t="shared" si="12"/>
        <v>0.37154000000000037</v>
      </c>
      <c r="AM21" s="230"/>
      <c r="AN21" s="229"/>
      <c r="AO21" s="224"/>
    </row>
    <row r="22" spans="1:41" x14ac:dyDescent="0.35">
      <c r="A22" s="172">
        <f t="shared" si="0"/>
        <v>16</v>
      </c>
      <c r="B22" s="239"/>
      <c r="C22" s="242" t="s">
        <v>50</v>
      </c>
      <c r="D22" s="235">
        <v>0.89908999999999961</v>
      </c>
      <c r="E22" s="235">
        <f t="shared" si="13"/>
        <v>0.43274000000000001</v>
      </c>
      <c r="F22" s="235"/>
      <c r="G22" s="235"/>
      <c r="H22" s="235">
        <f t="shared" si="1"/>
        <v>0.4663499999999996</v>
      </c>
      <c r="I22" s="236">
        <f t="shared" si="14"/>
        <v>0.40640999999999999</v>
      </c>
      <c r="J22" s="236"/>
      <c r="K22" s="235"/>
      <c r="L22" s="235">
        <f t="shared" si="2"/>
        <v>0.87275999999999954</v>
      </c>
      <c r="M22" s="235">
        <f>+[1]Temporaries!D22</f>
        <v>0.13903999999999997</v>
      </c>
      <c r="N22" s="235">
        <f>+[1]Temporaries!W22</f>
        <v>9.3590000000000007E-2</v>
      </c>
      <c r="O22" s="235"/>
      <c r="P22" s="235"/>
      <c r="Q22" s="235"/>
      <c r="R22" s="235"/>
      <c r="S22" s="235"/>
      <c r="T22" s="235"/>
      <c r="U22" s="235">
        <f>[1]Permanents!H22</f>
        <v>6.0000000000004494E-5</v>
      </c>
      <c r="V22" s="235">
        <f t="shared" si="3"/>
        <v>0.82736999999999949</v>
      </c>
      <c r="W22" s="223"/>
      <c r="X22" s="223"/>
      <c r="Y22" s="223">
        <f t="shared" si="4"/>
        <v>0.40640999999999999</v>
      </c>
      <c r="AA22" s="239"/>
      <c r="AB22" s="245" t="s">
        <v>50</v>
      </c>
      <c r="AC22" s="238">
        <f t="shared" si="5"/>
        <v>0.32736999999999949</v>
      </c>
      <c r="AD22" s="223">
        <f t="shared" si="6"/>
        <v>0</v>
      </c>
      <c r="AE22" s="223">
        <f t="shared" si="7"/>
        <v>0.40640999999999999</v>
      </c>
      <c r="AF22" s="223">
        <f t="shared" si="8"/>
        <v>9.3590000000000007E-2</v>
      </c>
      <c r="AG22" s="237">
        <f t="shared" si="9"/>
        <v>0.82736999999999949</v>
      </c>
      <c r="AH22" s="122">
        <f t="shared" si="10"/>
        <v>0</v>
      </c>
      <c r="AI22" s="223">
        <f t="shared" si="11"/>
        <v>0.73377999999999943</v>
      </c>
      <c r="AK22" s="122">
        <f t="shared" si="12"/>
        <v>0.32736999999999944</v>
      </c>
      <c r="AM22" s="230"/>
      <c r="AN22" s="229"/>
      <c r="AO22" s="224"/>
    </row>
    <row r="23" spans="1:41" x14ac:dyDescent="0.35">
      <c r="A23" s="172">
        <f t="shared" si="0"/>
        <v>17</v>
      </c>
      <c r="B23" s="172" t="s">
        <v>54</v>
      </c>
      <c r="C23" s="243" t="s">
        <v>49</v>
      </c>
      <c r="D23" s="223">
        <v>0.96427000000000007</v>
      </c>
      <c r="E23" s="223">
        <f t="shared" si="13"/>
        <v>0.43274000000000001</v>
      </c>
      <c r="F23" s="223"/>
      <c r="G23" s="223"/>
      <c r="H23" s="223">
        <f t="shared" si="1"/>
        <v>0.53153000000000006</v>
      </c>
      <c r="I23" s="229">
        <f t="shared" si="14"/>
        <v>0.40640999999999999</v>
      </c>
      <c r="J23" s="229"/>
      <c r="K23" s="223"/>
      <c r="L23" s="223">
        <f t="shared" si="2"/>
        <v>0.93794</v>
      </c>
      <c r="M23" s="223">
        <f>+[1]Temporaries!D23</f>
        <v>0.14699999999999999</v>
      </c>
      <c r="N23" s="223">
        <f>+[1]Temporaries!W23</f>
        <v>0.13558999999999999</v>
      </c>
      <c r="O23" s="223"/>
      <c r="P23" s="223"/>
      <c r="Q23" s="223"/>
      <c r="R23" s="223"/>
      <c r="S23" s="223"/>
      <c r="T23" s="223"/>
      <c r="U23" s="223">
        <f>[1]Permanents!H23</f>
        <v>7.0000000000014495E-5</v>
      </c>
      <c r="V23" s="223">
        <f t="shared" si="3"/>
        <v>0.92659999999999998</v>
      </c>
      <c r="W23" s="223"/>
      <c r="X23" s="223"/>
      <c r="Y23" s="223">
        <f t="shared" si="4"/>
        <v>0.40640999999999999</v>
      </c>
      <c r="AA23" s="172" t="s">
        <v>54</v>
      </c>
      <c r="AB23" s="243" t="s">
        <v>49</v>
      </c>
      <c r="AC23" s="238">
        <f t="shared" si="5"/>
        <v>0.38459999999999994</v>
      </c>
      <c r="AD23" s="223">
        <f t="shared" si="6"/>
        <v>0</v>
      </c>
      <c r="AE23" s="223">
        <f t="shared" si="7"/>
        <v>0.40640999999999999</v>
      </c>
      <c r="AF23" s="223">
        <f t="shared" si="8"/>
        <v>0.13558999999999999</v>
      </c>
      <c r="AG23" s="237">
        <f t="shared" si="9"/>
        <v>0.92659999999999998</v>
      </c>
      <c r="AH23" s="122">
        <f t="shared" si="10"/>
        <v>0</v>
      </c>
      <c r="AI23" s="223">
        <f t="shared" si="11"/>
        <v>0.79100999999999999</v>
      </c>
      <c r="AK23" s="122">
        <f t="shared" si="12"/>
        <v>0.3846</v>
      </c>
      <c r="AM23" s="230"/>
      <c r="AN23" s="229"/>
      <c r="AO23" s="224"/>
    </row>
    <row r="24" spans="1:41" x14ac:dyDescent="0.35">
      <c r="A24" s="172">
        <f t="shared" si="0"/>
        <v>18</v>
      </c>
      <c r="B24" s="239"/>
      <c r="C24" s="242" t="s">
        <v>50</v>
      </c>
      <c r="D24" s="235">
        <v>0.91047000000000022</v>
      </c>
      <c r="E24" s="235">
        <f t="shared" si="13"/>
        <v>0.43274000000000001</v>
      </c>
      <c r="F24" s="235"/>
      <c r="G24" s="235"/>
      <c r="H24" s="235">
        <f t="shared" si="1"/>
        <v>0.47773000000000021</v>
      </c>
      <c r="I24" s="236">
        <f t="shared" si="14"/>
        <v>0.40640999999999999</v>
      </c>
      <c r="J24" s="236"/>
      <c r="K24" s="235"/>
      <c r="L24" s="235">
        <f t="shared" si="2"/>
        <v>0.88414000000000015</v>
      </c>
      <c r="M24" s="235">
        <f>+[1]Temporaries!D24</f>
        <v>0.13892999999999997</v>
      </c>
      <c r="N24" s="235">
        <f>+[1]Temporaries!W24</f>
        <v>0.12733</v>
      </c>
      <c r="O24" s="235"/>
      <c r="P24" s="235"/>
      <c r="Q24" s="235"/>
      <c r="R24" s="235"/>
      <c r="S24" s="235"/>
      <c r="T24" s="235"/>
      <c r="U24" s="235">
        <f>[1]Permanents!H24</f>
        <v>6.0000000000004494E-5</v>
      </c>
      <c r="V24" s="235">
        <f t="shared" si="3"/>
        <v>0.87260000000000004</v>
      </c>
      <c r="W24" s="223"/>
      <c r="X24" s="223"/>
      <c r="Y24" s="223">
        <f t="shared" si="4"/>
        <v>0.40640999999999999</v>
      </c>
      <c r="AA24" s="239"/>
      <c r="AB24" s="242" t="s">
        <v>50</v>
      </c>
      <c r="AC24" s="238">
        <f t="shared" si="5"/>
        <v>0.33886000000000005</v>
      </c>
      <c r="AD24" s="223">
        <f t="shared" si="6"/>
        <v>0</v>
      </c>
      <c r="AE24" s="223">
        <f t="shared" si="7"/>
        <v>0.40640999999999999</v>
      </c>
      <c r="AF24" s="223">
        <f t="shared" si="8"/>
        <v>0.12733</v>
      </c>
      <c r="AG24" s="237">
        <f t="shared" si="9"/>
        <v>0.87260000000000004</v>
      </c>
      <c r="AH24" s="122">
        <f t="shared" si="10"/>
        <v>0</v>
      </c>
      <c r="AI24" s="223">
        <f t="shared" si="11"/>
        <v>0.7452700000000001</v>
      </c>
      <c r="AK24" s="122">
        <f t="shared" si="12"/>
        <v>0.33886000000000011</v>
      </c>
      <c r="AM24" s="230"/>
      <c r="AN24" s="229"/>
      <c r="AO24" s="224"/>
    </row>
    <row r="25" spans="1:41" x14ac:dyDescent="0.35">
      <c r="A25" s="172">
        <f t="shared" si="0"/>
        <v>19</v>
      </c>
      <c r="B25" s="172" t="s">
        <v>55</v>
      </c>
      <c r="C25" s="243" t="s">
        <v>49</v>
      </c>
      <c r="D25" s="223">
        <v>0.90245000000000009</v>
      </c>
      <c r="E25" s="223">
        <f t="shared" si="13"/>
        <v>0.43274000000000001</v>
      </c>
      <c r="F25" s="223"/>
      <c r="G25" s="223"/>
      <c r="H25" s="223">
        <f t="shared" si="1"/>
        <v>0.46971000000000007</v>
      </c>
      <c r="I25" s="229">
        <f t="shared" si="14"/>
        <v>0.40640999999999999</v>
      </c>
      <c r="J25" s="229"/>
      <c r="K25" s="223"/>
      <c r="L25" s="223">
        <f t="shared" si="2"/>
        <v>0.87612000000000001</v>
      </c>
      <c r="M25" s="223">
        <f>+[1]Temporaries!D25</f>
        <v>0.10593</v>
      </c>
      <c r="N25" s="223">
        <f>+[1]Temporaries!W25</f>
        <v>9.262999999999999E-2</v>
      </c>
      <c r="O25" s="223"/>
      <c r="P25" s="223"/>
      <c r="Q25" s="223"/>
      <c r="R25" s="223"/>
      <c r="S25" s="223"/>
      <c r="T25" s="223"/>
      <c r="U25" s="223">
        <f>[1]Permanents!H25</f>
        <v>7.0000000000014495E-5</v>
      </c>
      <c r="V25" s="223">
        <f t="shared" si="3"/>
        <v>0.86289000000000005</v>
      </c>
      <c r="W25" s="223"/>
      <c r="X25" s="223"/>
      <c r="Y25" s="223">
        <f t="shared" si="4"/>
        <v>0.40640999999999999</v>
      </c>
      <c r="AA25" s="172" t="s">
        <v>198</v>
      </c>
      <c r="AB25" s="243" t="s">
        <v>49</v>
      </c>
      <c r="AC25" s="238">
        <f t="shared" si="5"/>
        <v>0.36385000000000006</v>
      </c>
      <c r="AD25" s="223">
        <f t="shared" si="6"/>
        <v>0</v>
      </c>
      <c r="AE25" s="223">
        <f t="shared" si="7"/>
        <v>0.40640999999999999</v>
      </c>
      <c r="AF25" s="223">
        <f t="shared" si="8"/>
        <v>9.262999999999999E-2</v>
      </c>
      <c r="AG25" s="237">
        <f t="shared" si="9"/>
        <v>0.86289000000000005</v>
      </c>
      <c r="AH25" s="122">
        <f t="shared" si="10"/>
        <v>0</v>
      </c>
      <c r="AI25" s="223">
        <f t="shared" si="11"/>
        <v>0.77026000000000006</v>
      </c>
      <c r="AK25" s="122">
        <f t="shared" si="12"/>
        <v>0.36385000000000006</v>
      </c>
      <c r="AM25" s="230"/>
      <c r="AN25" s="229"/>
      <c r="AO25" s="224"/>
    </row>
    <row r="26" spans="1:41" x14ac:dyDescent="0.35">
      <c r="A26" s="172">
        <f t="shared" si="0"/>
        <v>20</v>
      </c>
      <c r="B26" s="239"/>
      <c r="C26" s="242" t="s">
        <v>50</v>
      </c>
      <c r="D26" s="235">
        <v>0.8560899999999998</v>
      </c>
      <c r="E26" s="235">
        <f t="shared" si="13"/>
        <v>0.43274000000000001</v>
      </c>
      <c r="F26" s="235"/>
      <c r="G26" s="235"/>
      <c r="H26" s="235">
        <f t="shared" si="1"/>
        <v>0.42334999999999978</v>
      </c>
      <c r="I26" s="236">
        <f t="shared" si="14"/>
        <v>0.40640999999999999</v>
      </c>
      <c r="J26" s="236"/>
      <c r="K26" s="235"/>
      <c r="L26" s="235">
        <f t="shared" si="2"/>
        <v>0.82975999999999983</v>
      </c>
      <c r="M26" s="235">
        <f>+[1]Temporaries!D26</f>
        <v>0.10284999999999997</v>
      </c>
      <c r="N26" s="235">
        <f>+[1]Temporaries!W26</f>
        <v>8.9550000000000018E-2</v>
      </c>
      <c r="O26" s="235"/>
      <c r="P26" s="235"/>
      <c r="Q26" s="235"/>
      <c r="R26" s="235"/>
      <c r="S26" s="235"/>
      <c r="T26" s="235"/>
      <c r="U26" s="235">
        <f>[1]Permanents!H26</f>
        <v>6.0000000000004494E-5</v>
      </c>
      <c r="V26" s="235">
        <f t="shared" si="3"/>
        <v>0.81651999999999991</v>
      </c>
      <c r="W26" s="223"/>
      <c r="X26" s="223"/>
      <c r="Y26" s="223">
        <f t="shared" si="4"/>
        <v>0.40640999999999999</v>
      </c>
      <c r="AA26" s="239"/>
      <c r="AB26" s="242" t="s">
        <v>50</v>
      </c>
      <c r="AC26" s="238">
        <f t="shared" si="5"/>
        <v>0.3205599999999999</v>
      </c>
      <c r="AD26" s="223">
        <f t="shared" si="6"/>
        <v>0</v>
      </c>
      <c r="AE26" s="223">
        <f t="shared" si="7"/>
        <v>0.40640999999999999</v>
      </c>
      <c r="AF26" s="223">
        <f t="shared" si="8"/>
        <v>8.9550000000000018E-2</v>
      </c>
      <c r="AG26" s="237">
        <f t="shared" si="9"/>
        <v>0.81651999999999991</v>
      </c>
      <c r="AH26" s="122">
        <f t="shared" si="10"/>
        <v>0</v>
      </c>
      <c r="AI26" s="223">
        <f t="shared" si="11"/>
        <v>0.72696999999999989</v>
      </c>
      <c r="AK26" s="122">
        <f t="shared" si="12"/>
        <v>0.3205599999999999</v>
      </c>
      <c r="AM26" s="230"/>
      <c r="AN26" s="229"/>
      <c r="AO26" s="224"/>
    </row>
    <row r="27" spans="1:41" x14ac:dyDescent="0.35">
      <c r="A27" s="172">
        <f t="shared" si="0"/>
        <v>21</v>
      </c>
      <c r="B27" s="172" t="s">
        <v>56</v>
      </c>
      <c r="C27" s="243" t="s">
        <v>49</v>
      </c>
      <c r="D27" s="223">
        <v>0.64044000000000001</v>
      </c>
      <c r="E27" s="223">
        <v>0</v>
      </c>
      <c r="F27" s="223"/>
      <c r="G27" s="223"/>
      <c r="H27" s="223">
        <f t="shared" si="1"/>
        <v>0.64044000000000001</v>
      </c>
      <c r="I27" s="229">
        <v>0</v>
      </c>
      <c r="J27" s="229"/>
      <c r="K27" s="223"/>
      <c r="L27" s="223">
        <f t="shared" si="2"/>
        <v>0.64044000000000001</v>
      </c>
      <c r="M27" s="223">
        <f>+[1]Temporaries!D27</f>
        <v>0.26258999999999999</v>
      </c>
      <c r="N27" s="223">
        <f>+[1]Temporaries!W27</f>
        <v>0.26261000000000001</v>
      </c>
      <c r="O27" s="223"/>
      <c r="P27" s="223"/>
      <c r="Q27" s="223"/>
      <c r="R27" s="223"/>
      <c r="S27" s="223"/>
      <c r="T27" s="223"/>
      <c r="U27" s="223">
        <f>[1]Permanents!H27</f>
        <v>0</v>
      </c>
      <c r="V27" s="223">
        <f t="shared" si="3"/>
        <v>0.64046000000000003</v>
      </c>
      <c r="W27" s="223"/>
      <c r="X27" s="223"/>
      <c r="Y27" s="223">
        <f t="shared" si="4"/>
        <v>0</v>
      </c>
      <c r="AA27" s="172" t="s">
        <v>56</v>
      </c>
      <c r="AB27" s="243" t="s">
        <v>49</v>
      </c>
      <c r="AC27" s="238">
        <f t="shared" si="5"/>
        <v>0.37785000000000002</v>
      </c>
      <c r="AD27" s="223">
        <f t="shared" si="6"/>
        <v>0</v>
      </c>
      <c r="AE27" s="223">
        <f t="shared" si="7"/>
        <v>0</v>
      </c>
      <c r="AF27" s="223">
        <f t="shared" si="8"/>
        <v>0.26261000000000001</v>
      </c>
      <c r="AG27" s="237">
        <f t="shared" si="9"/>
        <v>0.64046000000000003</v>
      </c>
      <c r="AH27" s="122">
        <f t="shared" si="10"/>
        <v>0</v>
      </c>
      <c r="AI27" s="223">
        <f t="shared" si="11"/>
        <v>0.37785000000000002</v>
      </c>
      <c r="AK27" s="122">
        <f t="shared" si="12"/>
        <v>0.37785000000000002</v>
      </c>
      <c r="AM27" s="230"/>
      <c r="AN27" s="229"/>
      <c r="AO27" s="224"/>
    </row>
    <row r="28" spans="1:41" x14ac:dyDescent="0.35">
      <c r="A28" s="172">
        <f t="shared" si="0"/>
        <v>22</v>
      </c>
      <c r="B28" s="239"/>
      <c r="C28" s="242" t="s">
        <v>50</v>
      </c>
      <c r="D28" s="235">
        <v>0.5930200000000001</v>
      </c>
      <c r="E28" s="235">
        <v>0</v>
      </c>
      <c r="F28" s="235"/>
      <c r="G28" s="235"/>
      <c r="H28" s="235">
        <f t="shared" si="1"/>
        <v>0.5930200000000001</v>
      </c>
      <c r="I28" s="236">
        <v>0</v>
      </c>
      <c r="J28" s="236"/>
      <c r="K28" s="235"/>
      <c r="L28" s="235">
        <f t="shared" si="2"/>
        <v>0.5930200000000001</v>
      </c>
      <c r="M28" s="235">
        <f>+[1]Temporaries!D28</f>
        <v>0.26011000000000001</v>
      </c>
      <c r="N28" s="235">
        <f>+[1]Temporaries!W28</f>
        <v>0.26005</v>
      </c>
      <c r="O28" s="235"/>
      <c r="P28" s="235"/>
      <c r="Q28" s="235"/>
      <c r="R28" s="235"/>
      <c r="S28" s="235"/>
      <c r="T28" s="235"/>
      <c r="U28" s="235">
        <f>[1]Permanents!H28</f>
        <v>0</v>
      </c>
      <c r="V28" s="235">
        <f t="shared" si="3"/>
        <v>0.59296000000000015</v>
      </c>
      <c r="W28" s="223"/>
      <c r="X28" s="223"/>
      <c r="Y28" s="223">
        <f t="shared" si="4"/>
        <v>0</v>
      </c>
      <c r="AA28" s="239"/>
      <c r="AB28" s="242" t="s">
        <v>50</v>
      </c>
      <c r="AC28" s="238">
        <f t="shared" si="5"/>
        <v>0.33291000000000015</v>
      </c>
      <c r="AD28" s="223">
        <f t="shared" si="6"/>
        <v>0</v>
      </c>
      <c r="AE28" s="223">
        <f t="shared" si="7"/>
        <v>0</v>
      </c>
      <c r="AF28" s="223">
        <f t="shared" si="8"/>
        <v>0.26005</v>
      </c>
      <c r="AG28" s="237">
        <f t="shared" si="9"/>
        <v>0.59296000000000015</v>
      </c>
      <c r="AH28" s="122">
        <f t="shared" si="10"/>
        <v>0</v>
      </c>
      <c r="AI28" s="223">
        <f t="shared" si="11"/>
        <v>0.33291000000000015</v>
      </c>
      <c r="AK28" s="122">
        <f t="shared" si="12"/>
        <v>0.33291000000000015</v>
      </c>
      <c r="AM28" s="230"/>
      <c r="AN28" s="229"/>
      <c r="AO28" s="224"/>
    </row>
    <row r="29" spans="1:41" x14ac:dyDescent="0.35">
      <c r="A29" s="172">
        <f t="shared" si="0"/>
        <v>23</v>
      </c>
      <c r="B29" s="172" t="s">
        <v>57</v>
      </c>
      <c r="C29" s="243" t="s">
        <v>49</v>
      </c>
      <c r="D29" s="223">
        <v>0.62856000000000001</v>
      </c>
      <c r="E29" s="223">
        <v>0</v>
      </c>
      <c r="F29" s="223"/>
      <c r="G29" s="223"/>
      <c r="H29" s="223">
        <f t="shared" si="1"/>
        <v>0.62856000000000001</v>
      </c>
      <c r="I29" s="229">
        <v>0</v>
      </c>
      <c r="J29" s="229"/>
      <c r="K29" s="223"/>
      <c r="L29" s="223">
        <f t="shared" si="2"/>
        <v>0.62856000000000001</v>
      </c>
      <c r="M29" s="223">
        <f>+[1]Temporaries!D29</f>
        <v>0.26074999999999998</v>
      </c>
      <c r="N29" s="223">
        <f>+[1]Temporaries!W29</f>
        <v>0.26072000000000001</v>
      </c>
      <c r="O29" s="223"/>
      <c r="P29" s="223"/>
      <c r="Q29" s="223"/>
      <c r="R29" s="223"/>
      <c r="S29" s="223"/>
      <c r="T29" s="223"/>
      <c r="U29" s="223">
        <f>[1]Permanents!H29</f>
        <v>0</v>
      </c>
      <c r="V29" s="223">
        <f t="shared" si="3"/>
        <v>0.62853000000000003</v>
      </c>
      <c r="W29" s="223"/>
      <c r="X29" s="223"/>
      <c r="Y29" s="223">
        <f t="shared" si="4"/>
        <v>0</v>
      </c>
      <c r="AA29" s="172" t="s">
        <v>57</v>
      </c>
      <c r="AB29" s="243" t="s">
        <v>49</v>
      </c>
      <c r="AC29" s="238">
        <f t="shared" si="5"/>
        <v>0.36781000000000003</v>
      </c>
      <c r="AD29" s="223">
        <f t="shared" si="6"/>
        <v>0</v>
      </c>
      <c r="AE29" s="223">
        <f t="shared" si="7"/>
        <v>0</v>
      </c>
      <c r="AF29" s="223">
        <f t="shared" si="8"/>
        <v>0.26072000000000001</v>
      </c>
      <c r="AG29" s="237">
        <f t="shared" si="9"/>
        <v>0.62853000000000003</v>
      </c>
      <c r="AH29" s="122">
        <f t="shared" si="10"/>
        <v>0</v>
      </c>
      <c r="AI29" s="223">
        <f t="shared" si="11"/>
        <v>0.36781000000000003</v>
      </c>
      <c r="AK29" s="122">
        <f t="shared" si="12"/>
        <v>0.36781000000000003</v>
      </c>
      <c r="AM29" s="230"/>
      <c r="AN29" s="229"/>
      <c r="AO29" s="224"/>
    </row>
    <row r="30" spans="1:41" x14ac:dyDescent="0.35">
      <c r="A30" s="172">
        <f t="shared" si="0"/>
        <v>24</v>
      </c>
      <c r="B30" s="239"/>
      <c r="C30" s="242" t="s">
        <v>50</v>
      </c>
      <c r="D30" s="235">
        <v>0.58256000000000019</v>
      </c>
      <c r="E30" s="235">
        <v>0</v>
      </c>
      <c r="F30" s="235"/>
      <c r="G30" s="235"/>
      <c r="H30" s="235">
        <f t="shared" si="1"/>
        <v>0.58256000000000019</v>
      </c>
      <c r="I30" s="236">
        <v>0</v>
      </c>
      <c r="J30" s="236"/>
      <c r="K30" s="235"/>
      <c r="L30" s="235">
        <f t="shared" si="2"/>
        <v>0.58256000000000019</v>
      </c>
      <c r="M30" s="235">
        <f>+[1]Temporaries!D30</f>
        <v>0.25850000000000001</v>
      </c>
      <c r="N30" s="235">
        <f>+[1]Temporaries!W30</f>
        <v>0.25839000000000001</v>
      </c>
      <c r="O30" s="235"/>
      <c r="P30" s="235"/>
      <c r="Q30" s="235"/>
      <c r="R30" s="235"/>
      <c r="S30" s="235"/>
      <c r="T30" s="235"/>
      <c r="U30" s="235">
        <f>[1]Permanents!H30</f>
        <v>0</v>
      </c>
      <c r="V30" s="235">
        <f t="shared" si="3"/>
        <v>0.58245000000000013</v>
      </c>
      <c r="W30" s="223"/>
      <c r="X30" s="223"/>
      <c r="Y30" s="223">
        <f t="shared" si="4"/>
        <v>0</v>
      </c>
      <c r="AA30" s="239"/>
      <c r="AB30" s="242" t="s">
        <v>50</v>
      </c>
      <c r="AC30" s="238">
        <f t="shared" si="5"/>
        <v>0.32406000000000013</v>
      </c>
      <c r="AD30" s="223">
        <f t="shared" si="6"/>
        <v>0</v>
      </c>
      <c r="AE30" s="223">
        <f t="shared" si="7"/>
        <v>0</v>
      </c>
      <c r="AF30" s="223">
        <f t="shared" si="8"/>
        <v>0.25839000000000001</v>
      </c>
      <c r="AG30" s="237">
        <f t="shared" si="9"/>
        <v>0.58245000000000013</v>
      </c>
      <c r="AH30" s="122">
        <f t="shared" si="10"/>
        <v>0</v>
      </c>
      <c r="AI30" s="223">
        <f t="shared" si="11"/>
        <v>0.32406000000000013</v>
      </c>
      <c r="AK30" s="122">
        <f t="shared" si="12"/>
        <v>0.32406000000000013</v>
      </c>
      <c r="AM30" s="230"/>
      <c r="AN30" s="229"/>
      <c r="AO30" s="224"/>
    </row>
    <row r="31" spans="1:41" x14ac:dyDescent="0.35">
      <c r="A31" s="172">
        <f t="shared" si="0"/>
        <v>25</v>
      </c>
      <c r="B31" s="172" t="s">
        <v>58</v>
      </c>
      <c r="C31" s="243" t="s">
        <v>49</v>
      </c>
      <c r="D31" s="223">
        <v>0.79625999999999986</v>
      </c>
      <c r="E31" s="223">
        <f t="shared" ref="E31:E42" si="15">+$E$13</f>
        <v>0.43274000000000001</v>
      </c>
      <c r="F31" s="223"/>
      <c r="G31" s="223"/>
      <c r="H31" s="223">
        <f t="shared" si="1"/>
        <v>0.36351999999999984</v>
      </c>
      <c r="I31" s="229">
        <f t="shared" ref="I31:I42" si="16">+$I$13</f>
        <v>0.40640999999999999</v>
      </c>
      <c r="J31" s="229"/>
      <c r="K31" s="223"/>
      <c r="L31" s="223">
        <f t="shared" si="2"/>
        <v>0.76992999999999978</v>
      </c>
      <c r="M31" s="223">
        <f>+[1]Temporaries!D31</f>
        <v>0.15741999999999998</v>
      </c>
      <c r="N31" s="223">
        <f>+[1]Temporaries!W31</f>
        <v>0.11216000000000004</v>
      </c>
      <c r="O31" s="223"/>
      <c r="P31" s="223"/>
      <c r="Q31" s="223"/>
      <c r="R31" s="223"/>
      <c r="S31" s="223"/>
      <c r="T31" s="223"/>
      <c r="U31" s="223">
        <f>[1]Permanents!H31</f>
        <v>4.0000000000012248E-5</v>
      </c>
      <c r="V31" s="223">
        <f t="shared" si="3"/>
        <v>0.72470999999999985</v>
      </c>
      <c r="W31" s="223"/>
      <c r="X31" s="223"/>
      <c r="Y31" s="223">
        <f t="shared" si="4"/>
        <v>0.40640999999999999</v>
      </c>
      <c r="AA31" s="172" t="s">
        <v>58</v>
      </c>
      <c r="AB31" s="243" t="s">
        <v>49</v>
      </c>
      <c r="AC31" s="238">
        <f t="shared" si="5"/>
        <v>0.20613999999999982</v>
      </c>
      <c r="AD31" s="223">
        <f t="shared" si="6"/>
        <v>0</v>
      </c>
      <c r="AE31" s="223">
        <f t="shared" si="7"/>
        <v>0.40640999999999999</v>
      </c>
      <c r="AF31" s="223">
        <f t="shared" si="8"/>
        <v>0.11216000000000004</v>
      </c>
      <c r="AG31" s="237">
        <f t="shared" si="9"/>
        <v>0.72470999999999985</v>
      </c>
      <c r="AH31" s="122">
        <f t="shared" si="10"/>
        <v>0</v>
      </c>
      <c r="AI31" s="223">
        <f t="shared" si="11"/>
        <v>0.61254999999999982</v>
      </c>
      <c r="AK31" s="122">
        <f t="shared" si="12"/>
        <v>0.20613999999999982</v>
      </c>
      <c r="AM31" s="230"/>
      <c r="AN31" s="229"/>
      <c r="AO31" s="224"/>
    </row>
    <row r="32" spans="1:41" x14ac:dyDescent="0.35">
      <c r="A32" s="172">
        <f t="shared" si="0"/>
        <v>26</v>
      </c>
      <c r="B32" s="172"/>
      <c r="C32" s="243" t="s">
        <v>50</v>
      </c>
      <c r="D32" s="223">
        <v>0.77026999999999957</v>
      </c>
      <c r="E32" s="223">
        <f t="shared" si="15"/>
        <v>0.43274000000000001</v>
      </c>
      <c r="F32" s="223"/>
      <c r="G32" s="223"/>
      <c r="H32" s="223">
        <f t="shared" si="1"/>
        <v>0.33752999999999955</v>
      </c>
      <c r="I32" s="229">
        <f t="shared" si="16"/>
        <v>0.40640999999999999</v>
      </c>
      <c r="J32" s="229"/>
      <c r="K32" s="223"/>
      <c r="L32" s="223">
        <f t="shared" si="2"/>
        <v>0.7439399999999996</v>
      </c>
      <c r="M32" s="223">
        <f>+[1]Temporaries!D32</f>
        <v>0.15304999999999999</v>
      </c>
      <c r="N32" s="223">
        <f>+[1]Temporaries!W32</f>
        <v>0.10781000000000002</v>
      </c>
      <c r="O32" s="223"/>
      <c r="P32" s="223"/>
      <c r="Q32" s="223"/>
      <c r="R32" s="223"/>
      <c r="S32" s="223"/>
      <c r="T32" s="223"/>
      <c r="U32" s="223">
        <f>[1]Permanents!H32</f>
        <v>4.0000000000012248E-5</v>
      </c>
      <c r="V32" s="223">
        <f t="shared" si="3"/>
        <v>0.69873999999999969</v>
      </c>
      <c r="W32" s="223"/>
      <c r="X32" s="223"/>
      <c r="Y32" s="223">
        <f t="shared" si="4"/>
        <v>0.40640999999999999</v>
      </c>
      <c r="AA32" s="172"/>
      <c r="AB32" s="243" t="s">
        <v>50</v>
      </c>
      <c r="AC32" s="238">
        <f t="shared" si="5"/>
        <v>0.18451999999999968</v>
      </c>
      <c r="AD32" s="223">
        <f t="shared" si="6"/>
        <v>0</v>
      </c>
      <c r="AE32" s="223">
        <f t="shared" si="7"/>
        <v>0.40640999999999999</v>
      </c>
      <c r="AF32" s="223">
        <f t="shared" si="8"/>
        <v>0.10781000000000002</v>
      </c>
      <c r="AG32" s="237">
        <f t="shared" si="9"/>
        <v>0.69873999999999969</v>
      </c>
      <c r="AH32" s="122">
        <f t="shared" si="10"/>
        <v>0</v>
      </c>
      <c r="AI32" s="223">
        <f t="shared" si="11"/>
        <v>0.59092999999999973</v>
      </c>
      <c r="AK32" s="122">
        <f t="shared" si="12"/>
        <v>0.18451999999999974</v>
      </c>
      <c r="AM32" s="230"/>
      <c r="AN32" s="229"/>
      <c r="AO32" s="224"/>
    </row>
    <row r="33" spans="1:41" x14ac:dyDescent="0.35">
      <c r="A33" s="172">
        <f t="shared" si="0"/>
        <v>27</v>
      </c>
      <c r="B33" s="172"/>
      <c r="C33" s="243" t="s">
        <v>59</v>
      </c>
      <c r="D33" s="223">
        <v>0.71862999999999988</v>
      </c>
      <c r="E33" s="223">
        <f t="shared" si="15"/>
        <v>0.43274000000000001</v>
      </c>
      <c r="F33" s="223"/>
      <c r="G33" s="223"/>
      <c r="H33" s="223">
        <f t="shared" si="1"/>
        <v>0.28588999999999987</v>
      </c>
      <c r="I33" s="229">
        <f t="shared" si="16"/>
        <v>0.40640999999999999</v>
      </c>
      <c r="J33" s="229"/>
      <c r="K33" s="223"/>
      <c r="L33" s="223">
        <f t="shared" si="2"/>
        <v>0.69229999999999992</v>
      </c>
      <c r="M33" s="223">
        <f>+[1]Temporaries!D33</f>
        <v>0.14438999999999999</v>
      </c>
      <c r="N33" s="223">
        <f>+[1]Temporaries!W33</f>
        <v>9.916999999999998E-2</v>
      </c>
      <c r="O33" s="223"/>
      <c r="P33" s="223"/>
      <c r="Q33" s="223"/>
      <c r="R33" s="223"/>
      <c r="S33" s="223"/>
      <c r="T33" s="223"/>
      <c r="U33" s="223">
        <f>[1]Permanents!H33</f>
        <v>3.0000000000002247E-5</v>
      </c>
      <c r="V33" s="223">
        <f t="shared" si="3"/>
        <v>0.64710999999999985</v>
      </c>
      <c r="W33" s="223"/>
      <c r="X33" s="223"/>
      <c r="Y33" s="223">
        <f t="shared" si="4"/>
        <v>0.40640999999999999</v>
      </c>
      <c r="AA33" s="172"/>
      <c r="AB33" s="243" t="s">
        <v>59</v>
      </c>
      <c r="AC33" s="238">
        <f t="shared" si="5"/>
        <v>0.14152999999999988</v>
      </c>
      <c r="AD33" s="223">
        <f t="shared" si="6"/>
        <v>0</v>
      </c>
      <c r="AE33" s="223">
        <f t="shared" si="7"/>
        <v>0.40640999999999999</v>
      </c>
      <c r="AF33" s="223">
        <f t="shared" si="8"/>
        <v>9.916999999999998E-2</v>
      </c>
      <c r="AG33" s="237">
        <f t="shared" si="9"/>
        <v>0.64710999999999985</v>
      </c>
      <c r="AH33" s="122">
        <f t="shared" si="10"/>
        <v>0</v>
      </c>
      <c r="AI33" s="223">
        <f t="shared" si="11"/>
        <v>0.54793999999999987</v>
      </c>
      <c r="AK33" s="122">
        <f t="shared" si="12"/>
        <v>0.14152999999999988</v>
      </c>
      <c r="AM33" s="230"/>
      <c r="AN33" s="229"/>
      <c r="AO33" s="224"/>
    </row>
    <row r="34" spans="1:41" x14ac:dyDescent="0.35">
      <c r="A34" s="172">
        <f t="shared" si="0"/>
        <v>28</v>
      </c>
      <c r="B34" s="172"/>
      <c r="C34" s="243" t="s">
        <v>60</v>
      </c>
      <c r="D34" s="223">
        <v>0.68461000000000016</v>
      </c>
      <c r="E34" s="223">
        <f t="shared" si="15"/>
        <v>0.43274000000000001</v>
      </c>
      <c r="F34" s="223"/>
      <c r="G34" s="223"/>
      <c r="H34" s="223">
        <f t="shared" si="1"/>
        <v>0.25187000000000015</v>
      </c>
      <c r="I34" s="229">
        <f t="shared" si="16"/>
        <v>0.40640999999999999</v>
      </c>
      <c r="J34" s="229"/>
      <c r="K34" s="223"/>
      <c r="L34" s="223">
        <f t="shared" si="2"/>
        <v>0.6582800000000002</v>
      </c>
      <c r="M34" s="223">
        <f>+[1]Temporaries!D34</f>
        <v>0.13869000000000001</v>
      </c>
      <c r="N34" s="223">
        <f>+[1]Temporaries!W34</f>
        <v>9.3500000000000028E-2</v>
      </c>
      <c r="O34" s="223"/>
      <c r="P34" s="223"/>
      <c r="Q34" s="223"/>
      <c r="R34" s="223"/>
      <c r="S34" s="223"/>
      <c r="T34" s="223"/>
      <c r="U34" s="223">
        <f>[1]Permanents!H34</f>
        <v>2.0000000000006124E-5</v>
      </c>
      <c r="V34" s="223">
        <f t="shared" si="3"/>
        <v>0.61311000000000027</v>
      </c>
      <c r="W34" s="223"/>
      <c r="X34" s="223"/>
      <c r="Y34" s="223">
        <f t="shared" si="4"/>
        <v>0.40640999999999999</v>
      </c>
      <c r="AA34" s="172"/>
      <c r="AB34" s="243" t="s">
        <v>60</v>
      </c>
      <c r="AC34" s="238">
        <f t="shared" si="5"/>
        <v>0.11320000000000024</v>
      </c>
      <c r="AD34" s="223">
        <f t="shared" si="6"/>
        <v>0</v>
      </c>
      <c r="AE34" s="223">
        <f t="shared" si="7"/>
        <v>0.40640999999999999</v>
      </c>
      <c r="AF34" s="223">
        <f t="shared" si="8"/>
        <v>9.3500000000000028E-2</v>
      </c>
      <c r="AG34" s="237">
        <f t="shared" si="9"/>
        <v>0.61311000000000027</v>
      </c>
      <c r="AH34" s="122">
        <f t="shared" si="10"/>
        <v>0</v>
      </c>
      <c r="AI34" s="223">
        <f t="shared" si="11"/>
        <v>0.51961000000000024</v>
      </c>
      <c r="AK34" s="122">
        <f t="shared" si="12"/>
        <v>0.11320000000000024</v>
      </c>
      <c r="AM34" s="230"/>
      <c r="AN34" s="229"/>
      <c r="AO34" s="224"/>
    </row>
    <row r="35" spans="1:41" x14ac:dyDescent="0.35">
      <c r="A35" s="172">
        <f t="shared" si="0"/>
        <v>29</v>
      </c>
      <c r="B35" s="172"/>
      <c r="C35" s="243" t="s">
        <v>61</v>
      </c>
      <c r="D35" s="223">
        <v>0.63927</v>
      </c>
      <c r="E35" s="223">
        <f t="shared" si="15"/>
        <v>0.43274000000000001</v>
      </c>
      <c r="F35" s="223"/>
      <c r="G35" s="223"/>
      <c r="H35" s="223">
        <f t="shared" si="1"/>
        <v>0.20652999999999999</v>
      </c>
      <c r="I35" s="229">
        <f t="shared" si="16"/>
        <v>0.40640999999999999</v>
      </c>
      <c r="J35" s="229"/>
      <c r="K35" s="223"/>
      <c r="L35" s="223">
        <f t="shared" si="2"/>
        <v>0.61294000000000004</v>
      </c>
      <c r="M35" s="223">
        <f>+[1]Temporaries!D35</f>
        <v>0.13108</v>
      </c>
      <c r="N35" s="223">
        <f>+[1]Temporaries!W35</f>
        <v>8.5880000000000012E-2</v>
      </c>
      <c r="O35" s="223"/>
      <c r="P35" s="223"/>
      <c r="Q35" s="223"/>
      <c r="R35" s="223"/>
      <c r="S35" s="223"/>
      <c r="T35" s="223"/>
      <c r="U35" s="223">
        <f>[1]Permanents!H35</f>
        <v>2.0000000000006124E-5</v>
      </c>
      <c r="V35" s="223">
        <f t="shared" si="3"/>
        <v>0.56776000000000015</v>
      </c>
      <c r="W35" s="223"/>
      <c r="X35" s="223"/>
      <c r="Y35" s="223">
        <f t="shared" si="4"/>
        <v>0.40640999999999999</v>
      </c>
      <c r="AA35" s="172"/>
      <c r="AB35" s="243" t="s">
        <v>61</v>
      </c>
      <c r="AC35" s="238">
        <f t="shared" si="5"/>
        <v>7.5470000000000148E-2</v>
      </c>
      <c r="AD35" s="223">
        <f t="shared" si="6"/>
        <v>0</v>
      </c>
      <c r="AE35" s="223">
        <f t="shared" si="7"/>
        <v>0.40640999999999999</v>
      </c>
      <c r="AF35" s="223">
        <f t="shared" si="8"/>
        <v>8.5880000000000012E-2</v>
      </c>
      <c r="AG35" s="237">
        <f t="shared" si="9"/>
        <v>0.56776000000000015</v>
      </c>
      <c r="AH35" s="122">
        <f t="shared" si="10"/>
        <v>0</v>
      </c>
      <c r="AI35" s="223">
        <f t="shared" si="11"/>
        <v>0.48188000000000014</v>
      </c>
      <c r="AK35" s="122">
        <f t="shared" si="12"/>
        <v>7.5470000000000148E-2</v>
      </c>
      <c r="AM35" s="230"/>
      <c r="AN35" s="229"/>
      <c r="AO35" s="224"/>
    </row>
    <row r="36" spans="1:41" x14ac:dyDescent="0.35">
      <c r="A36" s="172">
        <f t="shared" si="0"/>
        <v>30</v>
      </c>
      <c r="B36" s="239"/>
      <c r="C36" s="242" t="s">
        <v>62</v>
      </c>
      <c r="D36" s="235">
        <v>0.58259000000000005</v>
      </c>
      <c r="E36" s="235">
        <f t="shared" si="15"/>
        <v>0.43274000000000001</v>
      </c>
      <c r="F36" s="235"/>
      <c r="G36" s="235"/>
      <c r="H36" s="235">
        <f t="shared" si="1"/>
        <v>0.14985000000000004</v>
      </c>
      <c r="I36" s="236">
        <f t="shared" si="16"/>
        <v>0.40640999999999999</v>
      </c>
      <c r="J36" s="236"/>
      <c r="K36" s="235"/>
      <c r="L36" s="235">
        <f t="shared" si="2"/>
        <v>0.55625999999999998</v>
      </c>
      <c r="M36" s="235">
        <f>+[1]Temporaries!D36</f>
        <v>0.12156999999999998</v>
      </c>
      <c r="N36" s="235">
        <f>+[1]Temporaries!W36</f>
        <v>7.6420000000000016E-2</v>
      </c>
      <c r="O36" s="235"/>
      <c r="P36" s="235"/>
      <c r="Q36" s="235"/>
      <c r="R36" s="235"/>
      <c r="S36" s="235"/>
      <c r="T36" s="235"/>
      <c r="U36" s="235">
        <f>[1]Permanents!H36</f>
        <v>9.9999999999995925E-6</v>
      </c>
      <c r="V36" s="235">
        <f t="shared" si="3"/>
        <v>0.51112000000000002</v>
      </c>
      <c r="W36" s="223"/>
      <c r="X36" s="223"/>
      <c r="Y36" s="223">
        <f t="shared" si="4"/>
        <v>0.40640999999999999</v>
      </c>
      <c r="AA36" s="239"/>
      <c r="AB36" s="242" t="s">
        <v>62</v>
      </c>
      <c r="AC36" s="238">
        <f t="shared" si="5"/>
        <v>2.829000000000001E-2</v>
      </c>
      <c r="AD36" s="223">
        <f t="shared" si="6"/>
        <v>0</v>
      </c>
      <c r="AE36" s="223">
        <f t="shared" si="7"/>
        <v>0.40640999999999999</v>
      </c>
      <c r="AF36" s="223">
        <f t="shared" si="8"/>
        <v>7.6420000000000016E-2</v>
      </c>
      <c r="AG36" s="237">
        <f t="shared" si="9"/>
        <v>0.51112000000000002</v>
      </c>
      <c r="AH36" s="122">
        <f t="shared" si="10"/>
        <v>0</v>
      </c>
      <c r="AI36" s="223">
        <f t="shared" si="11"/>
        <v>0.43469999999999998</v>
      </c>
      <c r="AK36" s="122">
        <f t="shared" si="12"/>
        <v>2.8289999999999982E-2</v>
      </c>
      <c r="AM36" s="230"/>
      <c r="AN36" s="229"/>
      <c r="AO36" s="224"/>
    </row>
    <row r="37" spans="1:41" x14ac:dyDescent="0.35">
      <c r="A37" s="172">
        <f t="shared" si="0"/>
        <v>31</v>
      </c>
      <c r="B37" s="172" t="s">
        <v>63</v>
      </c>
      <c r="C37" s="243" t="s">
        <v>49</v>
      </c>
      <c r="D37" s="223">
        <v>0.73169000000000006</v>
      </c>
      <c r="E37" s="223">
        <f t="shared" si="15"/>
        <v>0.43274000000000001</v>
      </c>
      <c r="F37" s="223"/>
      <c r="G37" s="223"/>
      <c r="H37" s="223">
        <f t="shared" si="1"/>
        <v>0.29895000000000005</v>
      </c>
      <c r="I37" s="229">
        <f t="shared" si="16"/>
        <v>0.40640999999999999</v>
      </c>
      <c r="J37" s="229"/>
      <c r="K37" s="223"/>
      <c r="L37" s="223">
        <f t="shared" si="2"/>
        <v>0.70535999999999999</v>
      </c>
      <c r="M37" s="223">
        <f>+[1]Temporaries!D37</f>
        <v>0.13253999999999996</v>
      </c>
      <c r="N37" s="223">
        <f>+[1]Temporaries!W37</f>
        <v>8.7280000000000024E-2</v>
      </c>
      <c r="O37" s="223"/>
      <c r="P37" s="223"/>
      <c r="Q37" s="223"/>
      <c r="R37" s="223"/>
      <c r="S37" s="223"/>
      <c r="T37" s="223"/>
      <c r="U37" s="223">
        <f>[1]Permanents!H37</f>
        <v>4.9999999999994493E-5</v>
      </c>
      <c r="V37" s="223">
        <f t="shared" si="3"/>
        <v>0.66015000000000001</v>
      </c>
      <c r="W37" s="223"/>
      <c r="X37" s="223"/>
      <c r="Y37" s="223">
        <f t="shared" si="4"/>
        <v>0.40640999999999999</v>
      </c>
      <c r="AA37" s="172" t="s">
        <v>63</v>
      </c>
      <c r="AB37" s="243" t="s">
        <v>49</v>
      </c>
      <c r="AC37" s="238">
        <f t="shared" si="5"/>
        <v>0.16646</v>
      </c>
      <c r="AD37" s="223">
        <f t="shared" si="6"/>
        <v>0</v>
      </c>
      <c r="AE37" s="223">
        <f t="shared" si="7"/>
        <v>0.40640999999999999</v>
      </c>
      <c r="AF37" s="223">
        <f t="shared" si="8"/>
        <v>8.7280000000000024E-2</v>
      </c>
      <c r="AG37" s="237">
        <f t="shared" si="9"/>
        <v>0.66015000000000001</v>
      </c>
      <c r="AH37" s="122">
        <f t="shared" si="10"/>
        <v>0</v>
      </c>
      <c r="AI37" s="223">
        <f t="shared" si="11"/>
        <v>0.57286999999999999</v>
      </c>
      <c r="AK37" s="122">
        <f t="shared" si="12"/>
        <v>0.16646</v>
      </c>
      <c r="AM37" s="230"/>
      <c r="AN37" s="229"/>
      <c r="AO37" s="224"/>
    </row>
    <row r="38" spans="1:41" x14ac:dyDescent="0.35">
      <c r="A38" s="172">
        <f t="shared" si="0"/>
        <v>32</v>
      </c>
      <c r="B38" s="172"/>
      <c r="C38" s="243" t="s">
        <v>50</v>
      </c>
      <c r="D38" s="223">
        <v>0.71257999999999988</v>
      </c>
      <c r="E38" s="223">
        <f t="shared" si="15"/>
        <v>0.43274000000000001</v>
      </c>
      <c r="F38" s="223"/>
      <c r="G38" s="223"/>
      <c r="H38" s="223">
        <f t="shared" si="1"/>
        <v>0.27983999999999987</v>
      </c>
      <c r="I38" s="229">
        <f t="shared" si="16"/>
        <v>0.40640999999999999</v>
      </c>
      <c r="J38" s="229"/>
      <c r="K38" s="223"/>
      <c r="L38" s="223">
        <f t="shared" si="2"/>
        <v>0.6862499999999998</v>
      </c>
      <c r="M38" s="223">
        <f>+[1]Temporaries!D38</f>
        <v>0.13088999999999998</v>
      </c>
      <c r="N38" s="223">
        <f>+[1]Temporaries!W38</f>
        <v>8.5579999999999989E-2</v>
      </c>
      <c r="O38" s="223"/>
      <c r="P38" s="223"/>
      <c r="Q38" s="223"/>
      <c r="R38" s="223"/>
      <c r="S38" s="223"/>
      <c r="T38" s="223"/>
      <c r="U38" s="223">
        <f>[1]Permanents!H38</f>
        <v>4.0000000000012248E-5</v>
      </c>
      <c r="V38" s="223">
        <f t="shared" si="3"/>
        <v>0.64097999999999988</v>
      </c>
      <c r="W38" s="223"/>
      <c r="X38" s="223"/>
      <c r="Y38" s="223">
        <f t="shared" si="4"/>
        <v>0.40640999999999999</v>
      </c>
      <c r="AA38" s="172"/>
      <c r="AB38" s="243" t="s">
        <v>50</v>
      </c>
      <c r="AC38" s="238">
        <f t="shared" si="5"/>
        <v>0.1489899999999999</v>
      </c>
      <c r="AD38" s="223">
        <f t="shared" si="6"/>
        <v>0</v>
      </c>
      <c r="AE38" s="223">
        <f t="shared" si="7"/>
        <v>0.40640999999999999</v>
      </c>
      <c r="AF38" s="223">
        <f t="shared" si="8"/>
        <v>8.5579999999999989E-2</v>
      </c>
      <c r="AG38" s="237">
        <f t="shared" si="9"/>
        <v>0.64097999999999988</v>
      </c>
      <c r="AH38" s="122">
        <f t="shared" si="10"/>
        <v>0</v>
      </c>
      <c r="AI38" s="223">
        <f t="shared" si="11"/>
        <v>0.55539999999999989</v>
      </c>
      <c r="AK38" s="122">
        <f t="shared" si="12"/>
        <v>0.1489899999999999</v>
      </c>
      <c r="AM38" s="230"/>
      <c r="AN38" s="229"/>
      <c r="AO38" s="224"/>
    </row>
    <row r="39" spans="1:41" x14ac:dyDescent="0.35">
      <c r="A39" s="172">
        <f t="shared" si="0"/>
        <v>33</v>
      </c>
      <c r="B39" s="172"/>
      <c r="C39" s="243" t="s">
        <v>59</v>
      </c>
      <c r="D39" s="223">
        <v>0.67456999999999967</v>
      </c>
      <c r="E39" s="223">
        <f t="shared" si="15"/>
        <v>0.43274000000000001</v>
      </c>
      <c r="F39" s="223"/>
      <c r="G39" s="223"/>
      <c r="H39" s="223">
        <f t="shared" si="1"/>
        <v>0.24182999999999966</v>
      </c>
      <c r="I39" s="229">
        <f t="shared" si="16"/>
        <v>0.40640999999999999</v>
      </c>
      <c r="J39" s="229"/>
      <c r="K39" s="223"/>
      <c r="L39" s="223">
        <f t="shared" si="2"/>
        <v>0.64823999999999971</v>
      </c>
      <c r="M39" s="223">
        <f>+[1]Temporaries!D39</f>
        <v>0.12760999999999997</v>
      </c>
      <c r="N39" s="223">
        <f>+[1]Temporaries!W39</f>
        <v>8.2180000000000031E-2</v>
      </c>
      <c r="O39" s="223"/>
      <c r="P39" s="223"/>
      <c r="Q39" s="223"/>
      <c r="R39" s="223"/>
      <c r="S39" s="223"/>
      <c r="T39" s="223"/>
      <c r="U39" s="223">
        <f>[1]Permanents!H39</f>
        <v>3.0000000000002247E-5</v>
      </c>
      <c r="V39" s="223">
        <f t="shared" si="3"/>
        <v>0.60283999999999971</v>
      </c>
      <c r="W39" s="223"/>
      <c r="X39" s="223"/>
      <c r="Y39" s="223">
        <f t="shared" si="4"/>
        <v>0.40640999999999999</v>
      </c>
      <c r="AA39" s="172"/>
      <c r="AB39" s="243" t="s">
        <v>59</v>
      </c>
      <c r="AC39" s="238">
        <f t="shared" si="5"/>
        <v>0.11424999999999969</v>
      </c>
      <c r="AD39" s="223">
        <f t="shared" si="6"/>
        <v>0</v>
      </c>
      <c r="AE39" s="223">
        <f t="shared" si="7"/>
        <v>0.40640999999999999</v>
      </c>
      <c r="AF39" s="223">
        <f t="shared" si="8"/>
        <v>8.2180000000000031E-2</v>
      </c>
      <c r="AG39" s="237">
        <f t="shared" si="9"/>
        <v>0.60283999999999971</v>
      </c>
      <c r="AH39" s="122">
        <f t="shared" si="10"/>
        <v>0</v>
      </c>
      <c r="AI39" s="223">
        <f t="shared" si="11"/>
        <v>0.52065999999999968</v>
      </c>
      <c r="AK39" s="122">
        <f t="shared" si="12"/>
        <v>0.11424999999999969</v>
      </c>
      <c r="AM39" s="230"/>
      <c r="AN39" s="229"/>
      <c r="AO39" s="224"/>
    </row>
    <row r="40" spans="1:41" x14ac:dyDescent="0.35">
      <c r="A40" s="172">
        <f t="shared" ref="A40:A71" si="17">+A39+1</f>
        <v>34</v>
      </c>
      <c r="B40" s="172"/>
      <c r="C40" s="243" t="s">
        <v>60</v>
      </c>
      <c r="D40" s="223">
        <v>0.64957000000000009</v>
      </c>
      <c r="E40" s="223">
        <f t="shared" si="15"/>
        <v>0.43274000000000001</v>
      </c>
      <c r="F40" s="223"/>
      <c r="G40" s="223"/>
      <c r="H40" s="223">
        <f t="shared" si="1"/>
        <v>0.21683000000000008</v>
      </c>
      <c r="I40" s="229">
        <f t="shared" si="16"/>
        <v>0.40640999999999999</v>
      </c>
      <c r="J40" s="229"/>
      <c r="K40" s="223"/>
      <c r="L40" s="223">
        <f t="shared" si="2"/>
        <v>0.62324000000000002</v>
      </c>
      <c r="M40" s="223">
        <f>+[1]Temporaries!D40</f>
        <v>0.12544999999999998</v>
      </c>
      <c r="N40" s="223">
        <f>+[1]Temporaries!W40</f>
        <v>7.9979999999999996E-2</v>
      </c>
      <c r="O40" s="223"/>
      <c r="P40" s="223"/>
      <c r="Q40" s="223"/>
      <c r="R40" s="223"/>
      <c r="S40" s="223"/>
      <c r="T40" s="223"/>
      <c r="U40" s="223">
        <f>[1]Permanents!H40</f>
        <v>2.0000000000006124E-5</v>
      </c>
      <c r="V40" s="223">
        <f t="shared" si="3"/>
        <v>0.57779000000000014</v>
      </c>
      <c r="W40" s="223"/>
      <c r="X40" s="223"/>
      <c r="Y40" s="223">
        <f t="shared" si="4"/>
        <v>0.40640999999999999</v>
      </c>
      <c r="AA40" s="172"/>
      <c r="AB40" s="243" t="s">
        <v>60</v>
      </c>
      <c r="AC40" s="238">
        <f t="shared" si="5"/>
        <v>9.1400000000000148E-2</v>
      </c>
      <c r="AD40" s="223">
        <f t="shared" si="6"/>
        <v>0</v>
      </c>
      <c r="AE40" s="223">
        <f t="shared" si="7"/>
        <v>0.40640999999999999</v>
      </c>
      <c r="AF40" s="223">
        <f t="shared" si="8"/>
        <v>7.9979999999999996E-2</v>
      </c>
      <c r="AG40" s="237">
        <f t="shared" si="9"/>
        <v>0.57779000000000014</v>
      </c>
      <c r="AH40" s="122">
        <f t="shared" si="10"/>
        <v>0</v>
      </c>
      <c r="AI40" s="223">
        <f t="shared" si="11"/>
        <v>0.49781000000000014</v>
      </c>
      <c r="AK40" s="122">
        <f t="shared" si="12"/>
        <v>9.1400000000000148E-2</v>
      </c>
      <c r="AM40" s="230"/>
      <c r="AN40" s="229"/>
      <c r="AO40" s="224"/>
    </row>
    <row r="41" spans="1:41" x14ac:dyDescent="0.35">
      <c r="A41" s="172">
        <f t="shared" si="17"/>
        <v>35</v>
      </c>
      <c r="B41" s="172"/>
      <c r="C41" s="243" t="s">
        <v>61</v>
      </c>
      <c r="D41" s="223">
        <v>0.61626000000000036</v>
      </c>
      <c r="E41" s="223">
        <f t="shared" si="15"/>
        <v>0.43274000000000001</v>
      </c>
      <c r="F41" s="223"/>
      <c r="G41" s="223"/>
      <c r="H41" s="223">
        <f t="shared" si="1"/>
        <v>0.18352000000000035</v>
      </c>
      <c r="I41" s="229">
        <f t="shared" si="16"/>
        <v>0.40640999999999999</v>
      </c>
      <c r="J41" s="229"/>
      <c r="K41" s="223"/>
      <c r="L41" s="223">
        <f t="shared" si="2"/>
        <v>0.58993000000000029</v>
      </c>
      <c r="M41" s="223">
        <f>+[1]Temporaries!D41</f>
        <v>0.12257999999999999</v>
      </c>
      <c r="N41" s="223">
        <f>+[1]Temporaries!W41</f>
        <v>7.7000000000000013E-2</v>
      </c>
      <c r="O41" s="223"/>
      <c r="P41" s="223"/>
      <c r="Q41" s="223"/>
      <c r="R41" s="223"/>
      <c r="S41" s="223"/>
      <c r="T41" s="223"/>
      <c r="U41" s="223">
        <f>[1]Permanents!H41</f>
        <v>1.9999999999999185E-5</v>
      </c>
      <c r="V41" s="223">
        <f t="shared" si="3"/>
        <v>0.54437000000000035</v>
      </c>
      <c r="W41" s="223"/>
      <c r="X41" s="223"/>
      <c r="Y41" s="223">
        <f t="shared" si="4"/>
        <v>0.40640999999999999</v>
      </c>
      <c r="AA41" s="172"/>
      <c r="AB41" s="243" t="s">
        <v>61</v>
      </c>
      <c r="AC41" s="238">
        <f t="shared" si="5"/>
        <v>6.0960000000000347E-2</v>
      </c>
      <c r="AD41" s="223">
        <f t="shared" si="6"/>
        <v>0</v>
      </c>
      <c r="AE41" s="223">
        <f t="shared" si="7"/>
        <v>0.40640999999999999</v>
      </c>
      <c r="AF41" s="223">
        <f t="shared" si="8"/>
        <v>7.7000000000000013E-2</v>
      </c>
      <c r="AG41" s="237">
        <f t="shared" si="9"/>
        <v>0.54437000000000035</v>
      </c>
      <c r="AH41" s="122">
        <f t="shared" si="10"/>
        <v>0</v>
      </c>
      <c r="AI41" s="223">
        <f t="shared" si="11"/>
        <v>0.46737000000000034</v>
      </c>
      <c r="AK41" s="122">
        <f t="shared" si="12"/>
        <v>6.0960000000000347E-2</v>
      </c>
      <c r="AM41" s="230"/>
      <c r="AN41" s="229"/>
      <c r="AO41" s="224"/>
    </row>
    <row r="42" spans="1:41" x14ac:dyDescent="0.35">
      <c r="A42" s="172">
        <f t="shared" si="17"/>
        <v>36</v>
      </c>
      <c r="B42" s="239"/>
      <c r="C42" s="242" t="s">
        <v>62</v>
      </c>
      <c r="D42" s="235">
        <v>0.57454999999999989</v>
      </c>
      <c r="E42" s="235">
        <f t="shared" si="15"/>
        <v>0.43274000000000001</v>
      </c>
      <c r="F42" s="235"/>
      <c r="G42" s="235"/>
      <c r="H42" s="235">
        <f t="shared" si="1"/>
        <v>0.14180999999999988</v>
      </c>
      <c r="I42" s="236">
        <f t="shared" si="16"/>
        <v>0.40640999999999999</v>
      </c>
      <c r="J42" s="236"/>
      <c r="K42" s="235"/>
      <c r="L42" s="235">
        <f t="shared" si="2"/>
        <v>0.54821999999999993</v>
      </c>
      <c r="M42" s="235">
        <f>+[1]Temporaries!D42</f>
        <v>0.11898</v>
      </c>
      <c r="N42" s="235">
        <f>+[1]Temporaries!W42</f>
        <v>7.3289999999999994E-2</v>
      </c>
      <c r="O42" s="235"/>
      <c r="P42" s="235"/>
      <c r="Q42" s="235"/>
      <c r="R42" s="235"/>
      <c r="S42" s="235"/>
      <c r="T42" s="235"/>
      <c r="U42" s="235">
        <f>[1]Permanents!H42</f>
        <v>9.9999999999995925E-6</v>
      </c>
      <c r="V42" s="235">
        <f t="shared" si="3"/>
        <v>0.50253999999999988</v>
      </c>
      <c r="W42" s="223"/>
      <c r="X42" s="223"/>
      <c r="Y42" s="223">
        <f t="shared" si="4"/>
        <v>0.40640999999999999</v>
      </c>
      <c r="AA42" s="239"/>
      <c r="AB42" s="242" t="s">
        <v>62</v>
      </c>
      <c r="AC42" s="238">
        <f t="shared" si="5"/>
        <v>2.2839999999999888E-2</v>
      </c>
      <c r="AD42" s="223">
        <f t="shared" si="6"/>
        <v>0</v>
      </c>
      <c r="AE42" s="223">
        <f t="shared" si="7"/>
        <v>0.40640999999999999</v>
      </c>
      <c r="AF42" s="223">
        <f t="shared" si="8"/>
        <v>7.3289999999999994E-2</v>
      </c>
      <c r="AG42" s="237">
        <f t="shared" si="9"/>
        <v>0.50253999999999988</v>
      </c>
      <c r="AH42" s="122">
        <f t="shared" si="10"/>
        <v>0</v>
      </c>
      <c r="AI42" s="223">
        <f t="shared" si="11"/>
        <v>0.42924999999999991</v>
      </c>
      <c r="AK42" s="122">
        <f t="shared" si="12"/>
        <v>2.2839999999999916E-2</v>
      </c>
      <c r="AM42" s="230"/>
      <c r="AN42" s="229"/>
      <c r="AO42" s="224"/>
    </row>
    <row r="43" spans="1:41" x14ac:dyDescent="0.35">
      <c r="A43" s="172">
        <f t="shared" si="17"/>
        <v>37</v>
      </c>
      <c r="B43" s="172" t="s">
        <v>64</v>
      </c>
      <c r="C43" s="243" t="s">
        <v>49</v>
      </c>
      <c r="D43" s="223">
        <v>0.40332000000000001</v>
      </c>
      <c r="E43" s="223">
        <v>0</v>
      </c>
      <c r="F43" s="223"/>
      <c r="G43" s="223"/>
      <c r="H43" s="223">
        <f t="shared" si="1"/>
        <v>0.40332000000000001</v>
      </c>
      <c r="I43" s="229">
        <v>0</v>
      </c>
      <c r="J43" s="229"/>
      <c r="K43" s="223"/>
      <c r="L43" s="223">
        <f t="shared" si="2"/>
        <v>0.40332000000000001</v>
      </c>
      <c r="M43" s="223">
        <f>+[1]Temporaries!D43</f>
        <v>0.24890000000000001</v>
      </c>
      <c r="N43" s="223">
        <f>+[1]Temporaries!W43</f>
        <v>0.2485</v>
      </c>
      <c r="O43" s="223"/>
      <c r="P43" s="223"/>
      <c r="Q43" s="223"/>
      <c r="R43" s="223"/>
      <c r="S43" s="223"/>
      <c r="T43" s="223"/>
      <c r="U43" s="223">
        <f>[1]Permanents!H43</f>
        <v>0</v>
      </c>
      <c r="V43" s="223">
        <f t="shared" si="3"/>
        <v>0.40292</v>
      </c>
      <c r="W43" s="223"/>
      <c r="X43" s="223"/>
      <c r="Y43" s="223">
        <f t="shared" si="4"/>
        <v>0</v>
      </c>
      <c r="AA43" s="172" t="s">
        <v>64</v>
      </c>
      <c r="AB43" s="243" t="s">
        <v>49</v>
      </c>
      <c r="AC43" s="238">
        <f t="shared" si="5"/>
        <v>0.15442</v>
      </c>
      <c r="AD43" s="223">
        <f t="shared" si="6"/>
        <v>0</v>
      </c>
      <c r="AE43" s="223">
        <f t="shared" si="7"/>
        <v>0</v>
      </c>
      <c r="AF43" s="223">
        <f t="shared" si="8"/>
        <v>0.2485</v>
      </c>
      <c r="AG43" s="237">
        <f t="shared" si="9"/>
        <v>0.40292</v>
      </c>
      <c r="AH43" s="122">
        <f t="shared" si="10"/>
        <v>0</v>
      </c>
      <c r="AI43" s="223">
        <f t="shared" si="11"/>
        <v>0.15442</v>
      </c>
      <c r="AK43" s="122">
        <f t="shared" si="12"/>
        <v>0.15442</v>
      </c>
      <c r="AM43" s="230"/>
      <c r="AN43" s="229"/>
      <c r="AO43" s="224"/>
    </row>
    <row r="44" spans="1:41" x14ac:dyDescent="0.35">
      <c r="A44" s="172">
        <f t="shared" si="17"/>
        <v>38</v>
      </c>
      <c r="B44" s="172"/>
      <c r="C44" s="243" t="s">
        <v>50</v>
      </c>
      <c r="D44" s="223">
        <v>0.38640000000000002</v>
      </c>
      <c r="E44" s="223">
        <v>0</v>
      </c>
      <c r="F44" s="223"/>
      <c r="G44" s="223"/>
      <c r="H44" s="223">
        <f t="shared" si="1"/>
        <v>0.38640000000000002</v>
      </c>
      <c r="I44" s="229">
        <v>0</v>
      </c>
      <c r="J44" s="229"/>
      <c r="K44" s="223"/>
      <c r="L44" s="223">
        <f t="shared" si="2"/>
        <v>0.38640000000000002</v>
      </c>
      <c r="M44" s="223">
        <f>+[1]Temporaries!D44</f>
        <v>0.24815999999999999</v>
      </c>
      <c r="N44" s="223">
        <f>+[1]Temporaries!W44</f>
        <v>0.24773000000000001</v>
      </c>
      <c r="O44" s="223"/>
      <c r="P44" s="223"/>
      <c r="Q44" s="223"/>
      <c r="R44" s="223"/>
      <c r="S44" s="223"/>
      <c r="T44" s="223"/>
      <c r="U44" s="223">
        <f>[1]Permanents!H44</f>
        <v>0</v>
      </c>
      <c r="V44" s="223">
        <f t="shared" si="3"/>
        <v>0.38597000000000004</v>
      </c>
      <c r="W44" s="223"/>
      <c r="X44" s="223"/>
      <c r="Y44" s="223">
        <f t="shared" si="4"/>
        <v>0</v>
      </c>
      <c r="AA44" s="172"/>
      <c r="AB44" s="243" t="s">
        <v>50</v>
      </c>
      <c r="AC44" s="238">
        <f t="shared" si="5"/>
        <v>0.13824000000000003</v>
      </c>
      <c r="AD44" s="223">
        <f t="shared" si="6"/>
        <v>0</v>
      </c>
      <c r="AE44" s="223">
        <f t="shared" si="7"/>
        <v>0</v>
      </c>
      <c r="AF44" s="223">
        <f t="shared" si="8"/>
        <v>0.24773000000000001</v>
      </c>
      <c r="AG44" s="237">
        <f t="shared" si="9"/>
        <v>0.38597000000000004</v>
      </c>
      <c r="AH44" s="122">
        <f t="shared" si="10"/>
        <v>0</v>
      </c>
      <c r="AI44" s="223">
        <f t="shared" si="11"/>
        <v>0.13824000000000003</v>
      </c>
      <c r="AK44" s="122">
        <f t="shared" si="12"/>
        <v>0.13824000000000003</v>
      </c>
      <c r="AM44" s="230"/>
      <c r="AN44" s="229"/>
      <c r="AO44" s="224"/>
    </row>
    <row r="45" spans="1:41" x14ac:dyDescent="0.35">
      <c r="A45" s="172">
        <f t="shared" si="17"/>
        <v>39</v>
      </c>
      <c r="B45" s="172"/>
      <c r="C45" s="243" t="s">
        <v>59</v>
      </c>
      <c r="D45" s="223">
        <v>0.35268999999999995</v>
      </c>
      <c r="E45" s="223">
        <v>0</v>
      </c>
      <c r="F45" s="223"/>
      <c r="G45" s="223"/>
      <c r="H45" s="223">
        <f t="shared" ref="H45:H76" si="18">+D45-SUM(E45:G45)</f>
        <v>0.35268999999999995</v>
      </c>
      <c r="I45" s="229">
        <v>0</v>
      </c>
      <c r="J45" s="229"/>
      <c r="K45" s="223"/>
      <c r="L45" s="223">
        <f t="shared" ref="L45:L76" si="19">SUM(H45:K45)</f>
        <v>0.35268999999999995</v>
      </c>
      <c r="M45" s="223">
        <f>+[1]Temporaries!D45</f>
        <v>0.24668999999999999</v>
      </c>
      <c r="N45" s="223">
        <f>+[1]Temporaries!W45</f>
        <v>0.24618000000000001</v>
      </c>
      <c r="O45" s="223"/>
      <c r="P45" s="223"/>
      <c r="Q45" s="223"/>
      <c r="R45" s="223"/>
      <c r="S45" s="223"/>
      <c r="T45" s="223"/>
      <c r="U45" s="223">
        <f>[1]Permanents!H45</f>
        <v>0</v>
      </c>
      <c r="V45" s="223">
        <f t="shared" ref="V45:V76" si="20">+L45-M45+N45+U45</f>
        <v>0.35217999999999994</v>
      </c>
      <c r="W45" s="223"/>
      <c r="X45" s="223"/>
      <c r="Y45" s="223">
        <f t="shared" ref="Y45:Y81" si="21">AD45+AE45</f>
        <v>0</v>
      </c>
      <c r="AA45" s="172"/>
      <c r="AB45" s="243" t="s">
        <v>59</v>
      </c>
      <c r="AC45" s="238">
        <f t="shared" ref="AC45:AC81" si="22">+V45-I45-J45-K45-N45</f>
        <v>0.10599999999999993</v>
      </c>
      <c r="AD45" s="223">
        <f t="shared" ref="AD45:AD81" si="23">+J45</f>
        <v>0</v>
      </c>
      <c r="AE45" s="223">
        <f t="shared" ref="AE45:AE81" si="24">+I45</f>
        <v>0</v>
      </c>
      <c r="AF45" s="223">
        <f t="shared" ref="AF45:AF81" si="25">+N45</f>
        <v>0.24618000000000001</v>
      </c>
      <c r="AG45" s="237">
        <f t="shared" ref="AG45:AG76" si="26">+SUM(AC45:AF45)</f>
        <v>0.35217999999999994</v>
      </c>
      <c r="AH45" s="122">
        <f t="shared" ref="AH45:AH76" si="27">+AG45-V45</f>
        <v>0</v>
      </c>
      <c r="AI45" s="223">
        <f t="shared" ref="AI45:AI81" si="28">+V45-N45</f>
        <v>0.10599999999999993</v>
      </c>
      <c r="AK45" s="122">
        <f t="shared" ref="AK45:AK81" si="29">AI45-I45</f>
        <v>0.10599999999999993</v>
      </c>
      <c r="AM45" s="230"/>
      <c r="AN45" s="229"/>
      <c r="AO45" s="224"/>
    </row>
    <row r="46" spans="1:41" x14ac:dyDescent="0.35">
      <c r="A46" s="172">
        <f t="shared" si="17"/>
        <v>40</v>
      </c>
      <c r="B46" s="172"/>
      <c r="C46" s="243" t="s">
        <v>60</v>
      </c>
      <c r="D46" s="223">
        <v>0.33054000000000006</v>
      </c>
      <c r="E46" s="223">
        <v>0</v>
      </c>
      <c r="F46" s="223"/>
      <c r="G46" s="223"/>
      <c r="H46" s="223">
        <f t="shared" si="18"/>
        <v>0.33054000000000006</v>
      </c>
      <c r="I46" s="229">
        <v>0</v>
      </c>
      <c r="J46" s="229"/>
      <c r="K46" s="223"/>
      <c r="L46" s="223">
        <f t="shared" si="19"/>
        <v>0.33054000000000006</v>
      </c>
      <c r="M46" s="223">
        <f>+[1]Temporaries!D46</f>
        <v>0.24573</v>
      </c>
      <c r="N46" s="223">
        <f>+[1]Temporaries!W46</f>
        <v>0.24515000000000001</v>
      </c>
      <c r="O46" s="223"/>
      <c r="P46" s="223"/>
      <c r="Q46" s="223"/>
      <c r="R46" s="223"/>
      <c r="S46" s="223"/>
      <c r="T46" s="223"/>
      <c r="U46" s="223">
        <f>[1]Permanents!H46</f>
        <v>0</v>
      </c>
      <c r="V46" s="223">
        <f t="shared" si="20"/>
        <v>0.32996000000000003</v>
      </c>
      <c r="W46" s="223"/>
      <c r="X46" s="223"/>
      <c r="Y46" s="223">
        <f t="shared" si="21"/>
        <v>0</v>
      </c>
      <c r="AA46" s="172"/>
      <c r="AB46" s="243" t="s">
        <v>60</v>
      </c>
      <c r="AC46" s="238">
        <f t="shared" si="22"/>
        <v>8.4810000000000024E-2</v>
      </c>
      <c r="AD46" s="223">
        <f t="shared" si="23"/>
        <v>0</v>
      </c>
      <c r="AE46" s="223">
        <f t="shared" si="24"/>
        <v>0</v>
      </c>
      <c r="AF46" s="223">
        <f t="shared" si="25"/>
        <v>0.24515000000000001</v>
      </c>
      <c r="AG46" s="237">
        <f t="shared" si="26"/>
        <v>0.32996000000000003</v>
      </c>
      <c r="AH46" s="122">
        <f t="shared" si="27"/>
        <v>0</v>
      </c>
      <c r="AI46" s="223">
        <f t="shared" si="28"/>
        <v>8.4810000000000024E-2</v>
      </c>
      <c r="AK46" s="122">
        <f t="shared" si="29"/>
        <v>8.4810000000000024E-2</v>
      </c>
      <c r="AM46" s="230"/>
      <c r="AN46" s="229"/>
      <c r="AO46" s="224"/>
    </row>
    <row r="47" spans="1:41" x14ac:dyDescent="0.35">
      <c r="A47" s="172">
        <f t="shared" si="17"/>
        <v>41</v>
      </c>
      <c r="B47" s="172"/>
      <c r="C47" s="243" t="s">
        <v>61</v>
      </c>
      <c r="D47" s="223">
        <v>0.30097000000000007</v>
      </c>
      <c r="E47" s="223">
        <v>0</v>
      </c>
      <c r="F47" s="223"/>
      <c r="G47" s="223"/>
      <c r="H47" s="223">
        <f t="shared" si="18"/>
        <v>0.30097000000000007</v>
      </c>
      <c r="I47" s="229">
        <v>0</v>
      </c>
      <c r="J47" s="229"/>
      <c r="K47" s="223"/>
      <c r="L47" s="223">
        <f t="shared" si="19"/>
        <v>0.30097000000000007</v>
      </c>
      <c r="M47" s="223">
        <f>+[1]Temporaries!D47</f>
        <v>0.24443000000000001</v>
      </c>
      <c r="N47" s="223">
        <f>+[1]Temporaries!W47</f>
        <v>0.24379999999999999</v>
      </c>
      <c r="O47" s="223"/>
      <c r="P47" s="223"/>
      <c r="Q47" s="223"/>
      <c r="R47" s="223"/>
      <c r="S47" s="223"/>
      <c r="T47" s="223"/>
      <c r="U47" s="223">
        <f>[1]Permanents!H47</f>
        <v>0</v>
      </c>
      <c r="V47" s="223">
        <f t="shared" si="20"/>
        <v>0.30034000000000005</v>
      </c>
      <c r="W47" s="223"/>
      <c r="X47" s="223"/>
      <c r="Y47" s="223">
        <f t="shared" si="21"/>
        <v>0</v>
      </c>
      <c r="AA47" s="172"/>
      <c r="AB47" s="243" t="s">
        <v>61</v>
      </c>
      <c r="AC47" s="238">
        <f t="shared" si="22"/>
        <v>5.6540000000000062E-2</v>
      </c>
      <c r="AD47" s="223">
        <f t="shared" si="23"/>
        <v>0</v>
      </c>
      <c r="AE47" s="223">
        <f t="shared" si="24"/>
        <v>0</v>
      </c>
      <c r="AF47" s="223">
        <f t="shared" si="25"/>
        <v>0.24379999999999999</v>
      </c>
      <c r="AG47" s="237">
        <f t="shared" si="26"/>
        <v>0.30034000000000005</v>
      </c>
      <c r="AH47" s="122">
        <f t="shared" si="27"/>
        <v>0</v>
      </c>
      <c r="AI47" s="223">
        <f t="shared" si="28"/>
        <v>5.6540000000000062E-2</v>
      </c>
      <c r="AK47" s="122">
        <f t="shared" si="29"/>
        <v>5.6540000000000062E-2</v>
      </c>
      <c r="AM47" s="230"/>
      <c r="AN47" s="229"/>
      <c r="AO47" s="224"/>
    </row>
    <row r="48" spans="1:41" x14ac:dyDescent="0.35">
      <c r="A48" s="172">
        <f t="shared" si="17"/>
        <v>42</v>
      </c>
      <c r="B48" s="239"/>
      <c r="C48" s="242" t="s">
        <v>62</v>
      </c>
      <c r="D48" s="235">
        <v>0.26403000000000004</v>
      </c>
      <c r="E48" s="235">
        <v>0</v>
      </c>
      <c r="F48" s="235"/>
      <c r="G48" s="235"/>
      <c r="H48" s="235">
        <f t="shared" si="18"/>
        <v>0.26403000000000004</v>
      </c>
      <c r="I48" s="236">
        <v>0</v>
      </c>
      <c r="J48" s="236"/>
      <c r="K48" s="235"/>
      <c r="L48" s="235">
        <f t="shared" si="19"/>
        <v>0.26403000000000004</v>
      </c>
      <c r="M48" s="235">
        <f>+[1]Temporaries!D48</f>
        <v>0.24282999999999999</v>
      </c>
      <c r="N48" s="235">
        <f>+[1]Temporaries!W48</f>
        <v>0.24210999999999999</v>
      </c>
      <c r="O48" s="235"/>
      <c r="P48" s="235"/>
      <c r="Q48" s="235"/>
      <c r="R48" s="235"/>
      <c r="S48" s="235"/>
      <c r="T48" s="235"/>
      <c r="U48" s="235">
        <f>[1]Permanents!H48</f>
        <v>0</v>
      </c>
      <c r="V48" s="235">
        <f t="shared" si="20"/>
        <v>0.26331000000000004</v>
      </c>
      <c r="W48" s="223"/>
      <c r="X48" s="223"/>
      <c r="Y48" s="223">
        <f t="shared" si="21"/>
        <v>0</v>
      </c>
      <c r="AA48" s="239"/>
      <c r="AB48" s="242" t="s">
        <v>62</v>
      </c>
      <c r="AC48" s="238">
        <f t="shared" si="22"/>
        <v>2.1200000000000052E-2</v>
      </c>
      <c r="AD48" s="223">
        <f t="shared" si="23"/>
        <v>0</v>
      </c>
      <c r="AE48" s="223">
        <f t="shared" si="24"/>
        <v>0</v>
      </c>
      <c r="AF48" s="223">
        <f t="shared" si="25"/>
        <v>0.24210999999999999</v>
      </c>
      <c r="AG48" s="237">
        <f t="shared" si="26"/>
        <v>0.26331000000000004</v>
      </c>
      <c r="AH48" s="122">
        <f t="shared" si="27"/>
        <v>0</v>
      </c>
      <c r="AI48" s="223">
        <f t="shared" si="28"/>
        <v>2.1200000000000052E-2</v>
      </c>
      <c r="AK48" s="122">
        <f t="shared" si="29"/>
        <v>2.1200000000000052E-2</v>
      </c>
      <c r="AM48" s="230"/>
      <c r="AN48" s="229"/>
      <c r="AO48" s="224"/>
    </row>
    <row r="49" spans="1:41" x14ac:dyDescent="0.35">
      <c r="A49" s="172">
        <f t="shared" si="17"/>
        <v>43</v>
      </c>
      <c r="B49" s="172" t="s">
        <v>65</v>
      </c>
      <c r="C49" s="243" t="s">
        <v>49</v>
      </c>
      <c r="D49" s="223">
        <v>0.40095999999999998</v>
      </c>
      <c r="E49" s="223">
        <v>0</v>
      </c>
      <c r="F49" s="223"/>
      <c r="G49" s="223"/>
      <c r="H49" s="223">
        <f t="shared" si="18"/>
        <v>0.40095999999999998</v>
      </c>
      <c r="I49" s="229">
        <v>0</v>
      </c>
      <c r="J49" s="229"/>
      <c r="K49" s="223"/>
      <c r="L49" s="223">
        <f t="shared" si="19"/>
        <v>0.40095999999999998</v>
      </c>
      <c r="M49" s="244">
        <f>+[1]Temporaries!D49</f>
        <v>0.24934999999999999</v>
      </c>
      <c r="N49" s="244">
        <f>+[1]Temporaries!W49</f>
        <v>0.24896000000000001</v>
      </c>
      <c r="O49" s="223"/>
      <c r="P49" s="223"/>
      <c r="Q49" s="223"/>
      <c r="R49" s="223"/>
      <c r="S49" s="223"/>
      <c r="T49" s="223"/>
      <c r="U49" s="244">
        <f>[1]Permanents!H49</f>
        <v>0</v>
      </c>
      <c r="V49" s="223">
        <f t="shared" si="20"/>
        <v>0.40056999999999998</v>
      </c>
      <c r="W49" s="223"/>
      <c r="X49" s="223"/>
      <c r="Y49" s="223">
        <f t="shared" si="21"/>
        <v>0</v>
      </c>
      <c r="AA49" s="172" t="s">
        <v>65</v>
      </c>
      <c r="AB49" s="243" t="s">
        <v>49</v>
      </c>
      <c r="AC49" s="238">
        <f t="shared" si="22"/>
        <v>0.15160999999999997</v>
      </c>
      <c r="AD49" s="223">
        <f t="shared" si="23"/>
        <v>0</v>
      </c>
      <c r="AE49" s="223">
        <f t="shared" si="24"/>
        <v>0</v>
      </c>
      <c r="AF49" s="223">
        <f t="shared" si="25"/>
        <v>0.24896000000000001</v>
      </c>
      <c r="AG49" s="237">
        <f t="shared" si="26"/>
        <v>0.40056999999999998</v>
      </c>
      <c r="AH49" s="122">
        <f t="shared" si="27"/>
        <v>0</v>
      </c>
      <c r="AI49" s="223">
        <f t="shared" si="28"/>
        <v>0.15160999999999997</v>
      </c>
      <c r="AK49" s="122">
        <f t="shared" si="29"/>
        <v>0.15160999999999997</v>
      </c>
      <c r="AM49" s="230"/>
      <c r="AN49" s="229"/>
      <c r="AO49" s="224"/>
    </row>
    <row r="50" spans="1:41" x14ac:dyDescent="0.35">
      <c r="A50" s="172">
        <f t="shared" si="17"/>
        <v>44</v>
      </c>
      <c r="B50" s="172"/>
      <c r="C50" s="243" t="s">
        <v>50</v>
      </c>
      <c r="D50" s="223">
        <v>0.38426999999999989</v>
      </c>
      <c r="E50" s="223">
        <v>0</v>
      </c>
      <c r="F50" s="223"/>
      <c r="G50" s="223"/>
      <c r="H50" s="223">
        <f t="shared" si="18"/>
        <v>0.38426999999999989</v>
      </c>
      <c r="I50" s="229">
        <v>0</v>
      </c>
      <c r="J50" s="229"/>
      <c r="K50" s="223"/>
      <c r="L50" s="223">
        <f t="shared" si="19"/>
        <v>0.38426999999999989</v>
      </c>
      <c r="M50" s="223">
        <f>+[1]Temporaries!D50</f>
        <v>0.24856</v>
      </c>
      <c r="N50" s="223">
        <f>+[1]Temporaries!W50</f>
        <v>0.24814</v>
      </c>
      <c r="O50" s="223"/>
      <c r="P50" s="223"/>
      <c r="Q50" s="223"/>
      <c r="R50" s="223"/>
      <c r="S50" s="223"/>
      <c r="T50" s="223"/>
      <c r="U50" s="223">
        <f>[1]Permanents!H50</f>
        <v>0</v>
      </c>
      <c r="V50" s="223">
        <f t="shared" si="20"/>
        <v>0.38384999999999991</v>
      </c>
      <c r="W50" s="223"/>
      <c r="X50" s="223"/>
      <c r="Y50" s="223">
        <f t="shared" si="21"/>
        <v>0</v>
      </c>
      <c r="AA50" s="172"/>
      <c r="AB50" s="243" t="s">
        <v>50</v>
      </c>
      <c r="AC50" s="238">
        <f t="shared" si="22"/>
        <v>0.13570999999999991</v>
      </c>
      <c r="AD50" s="223">
        <f t="shared" si="23"/>
        <v>0</v>
      </c>
      <c r="AE50" s="223">
        <f t="shared" si="24"/>
        <v>0</v>
      </c>
      <c r="AF50" s="223">
        <f t="shared" si="25"/>
        <v>0.24814</v>
      </c>
      <c r="AG50" s="237">
        <f t="shared" si="26"/>
        <v>0.38384999999999991</v>
      </c>
      <c r="AH50" s="122">
        <f t="shared" si="27"/>
        <v>0</v>
      </c>
      <c r="AI50" s="223">
        <f t="shared" si="28"/>
        <v>0.13570999999999991</v>
      </c>
      <c r="AK50" s="122">
        <f t="shared" si="29"/>
        <v>0.13570999999999991</v>
      </c>
      <c r="AM50" s="230"/>
      <c r="AN50" s="229"/>
      <c r="AO50" s="224"/>
    </row>
    <row r="51" spans="1:41" x14ac:dyDescent="0.35">
      <c r="A51" s="172">
        <f t="shared" si="17"/>
        <v>45</v>
      </c>
      <c r="B51" s="172"/>
      <c r="C51" s="243" t="s">
        <v>59</v>
      </c>
      <c r="D51" s="223">
        <v>0.35105000000000003</v>
      </c>
      <c r="E51" s="223">
        <v>0</v>
      </c>
      <c r="F51" s="223"/>
      <c r="G51" s="223"/>
      <c r="H51" s="223">
        <f t="shared" si="18"/>
        <v>0.35105000000000003</v>
      </c>
      <c r="I51" s="229">
        <v>0</v>
      </c>
      <c r="J51" s="229"/>
      <c r="K51" s="223"/>
      <c r="L51" s="223">
        <f t="shared" si="19"/>
        <v>0.35105000000000003</v>
      </c>
      <c r="M51" s="223">
        <f>+[1]Temporaries!D51</f>
        <v>0.24698999999999999</v>
      </c>
      <c r="N51" s="223">
        <f>+[1]Temporaries!W51</f>
        <v>0.2465</v>
      </c>
      <c r="O51" s="223"/>
      <c r="P51" s="223"/>
      <c r="Q51" s="223"/>
      <c r="R51" s="223"/>
      <c r="S51" s="223"/>
      <c r="T51" s="223"/>
      <c r="U51" s="223">
        <f>[1]Permanents!H51</f>
        <v>0</v>
      </c>
      <c r="V51" s="223">
        <f t="shared" si="20"/>
        <v>0.35056000000000004</v>
      </c>
      <c r="W51" s="223"/>
      <c r="X51" s="223"/>
      <c r="Y51" s="223">
        <f t="shared" si="21"/>
        <v>0</v>
      </c>
      <c r="AA51" s="172"/>
      <c r="AB51" s="243" t="s">
        <v>59</v>
      </c>
      <c r="AC51" s="238">
        <f t="shared" si="22"/>
        <v>0.10406000000000004</v>
      </c>
      <c r="AD51" s="223">
        <f t="shared" si="23"/>
        <v>0</v>
      </c>
      <c r="AE51" s="223">
        <f t="shared" si="24"/>
        <v>0</v>
      </c>
      <c r="AF51" s="223">
        <f t="shared" si="25"/>
        <v>0.2465</v>
      </c>
      <c r="AG51" s="237">
        <f t="shared" si="26"/>
        <v>0.35056000000000004</v>
      </c>
      <c r="AH51" s="122">
        <f t="shared" si="27"/>
        <v>0</v>
      </c>
      <c r="AI51" s="223">
        <f t="shared" si="28"/>
        <v>0.10406000000000004</v>
      </c>
      <c r="AK51" s="122">
        <f t="shared" si="29"/>
        <v>0.10406000000000004</v>
      </c>
      <c r="AM51" s="230"/>
      <c r="AN51" s="229"/>
      <c r="AO51" s="224"/>
    </row>
    <row r="52" spans="1:41" x14ac:dyDescent="0.35">
      <c r="A52" s="172">
        <f t="shared" si="17"/>
        <v>46</v>
      </c>
      <c r="B52" s="172"/>
      <c r="C52" s="243" t="s">
        <v>60</v>
      </c>
      <c r="D52" s="223">
        <v>0.32922000000000012</v>
      </c>
      <c r="E52" s="223">
        <v>0</v>
      </c>
      <c r="F52" s="223"/>
      <c r="G52" s="223"/>
      <c r="H52" s="223">
        <f t="shared" si="18"/>
        <v>0.32922000000000012</v>
      </c>
      <c r="I52" s="229">
        <v>0</v>
      </c>
      <c r="J52" s="229"/>
      <c r="K52" s="223"/>
      <c r="L52" s="223">
        <f t="shared" si="19"/>
        <v>0.32922000000000012</v>
      </c>
      <c r="M52" s="223">
        <f>+[1]Temporaries!D52</f>
        <v>0.24596000000000001</v>
      </c>
      <c r="N52" s="223">
        <f>+[1]Temporaries!W52</f>
        <v>0.24540999999999999</v>
      </c>
      <c r="O52" s="223"/>
      <c r="P52" s="223"/>
      <c r="Q52" s="223"/>
      <c r="R52" s="223"/>
      <c r="S52" s="223"/>
      <c r="T52" s="223"/>
      <c r="U52" s="223">
        <f>[1]Permanents!H52</f>
        <v>0</v>
      </c>
      <c r="V52" s="223">
        <f t="shared" si="20"/>
        <v>0.32867000000000013</v>
      </c>
      <c r="W52" s="223"/>
      <c r="X52" s="223"/>
      <c r="Y52" s="223">
        <f t="shared" si="21"/>
        <v>0</v>
      </c>
      <c r="AA52" s="172"/>
      <c r="AB52" s="243" t="s">
        <v>60</v>
      </c>
      <c r="AC52" s="238">
        <f t="shared" si="22"/>
        <v>8.3260000000000139E-2</v>
      </c>
      <c r="AD52" s="223">
        <f t="shared" si="23"/>
        <v>0</v>
      </c>
      <c r="AE52" s="223">
        <f t="shared" si="24"/>
        <v>0</v>
      </c>
      <c r="AF52" s="223">
        <f t="shared" si="25"/>
        <v>0.24540999999999999</v>
      </c>
      <c r="AG52" s="237">
        <f t="shared" si="26"/>
        <v>0.32867000000000013</v>
      </c>
      <c r="AH52" s="122">
        <f t="shared" si="27"/>
        <v>0</v>
      </c>
      <c r="AI52" s="223">
        <f t="shared" si="28"/>
        <v>8.3260000000000139E-2</v>
      </c>
      <c r="AK52" s="122">
        <f t="shared" si="29"/>
        <v>8.3260000000000139E-2</v>
      </c>
      <c r="AM52" s="230"/>
      <c r="AN52" s="229"/>
      <c r="AO52" s="224"/>
    </row>
    <row r="53" spans="1:41" x14ac:dyDescent="0.35">
      <c r="A53" s="172">
        <f t="shared" si="17"/>
        <v>47</v>
      </c>
      <c r="B53" s="172"/>
      <c r="C53" s="243" t="s">
        <v>61</v>
      </c>
      <c r="D53" s="223">
        <v>0.30008999999999997</v>
      </c>
      <c r="E53" s="223">
        <v>0</v>
      </c>
      <c r="F53" s="223"/>
      <c r="G53" s="223"/>
      <c r="H53" s="223">
        <f t="shared" si="18"/>
        <v>0.30008999999999997</v>
      </c>
      <c r="I53" s="229">
        <v>0</v>
      </c>
      <c r="J53" s="229"/>
      <c r="K53" s="223"/>
      <c r="L53" s="223">
        <f t="shared" si="19"/>
        <v>0.30008999999999997</v>
      </c>
      <c r="M53" s="223">
        <f>+[1]Temporaries!D53</f>
        <v>0.24459</v>
      </c>
      <c r="N53" s="223">
        <f>+[1]Temporaries!W53</f>
        <v>0.24398</v>
      </c>
      <c r="O53" s="223"/>
      <c r="P53" s="223"/>
      <c r="Q53" s="223"/>
      <c r="R53" s="223"/>
      <c r="S53" s="223"/>
      <c r="T53" s="223"/>
      <c r="U53" s="223">
        <f>[1]Permanents!H53</f>
        <v>0</v>
      </c>
      <c r="V53" s="223">
        <f t="shared" si="20"/>
        <v>0.29947999999999997</v>
      </c>
      <c r="W53" s="223"/>
      <c r="X53" s="223"/>
      <c r="Y53" s="223">
        <f t="shared" si="21"/>
        <v>0</v>
      </c>
      <c r="AA53" s="172"/>
      <c r="AB53" s="243" t="s">
        <v>61</v>
      </c>
      <c r="AC53" s="238">
        <f t="shared" si="22"/>
        <v>5.5499999999999966E-2</v>
      </c>
      <c r="AD53" s="223">
        <f t="shared" si="23"/>
        <v>0</v>
      </c>
      <c r="AE53" s="223">
        <f t="shared" si="24"/>
        <v>0</v>
      </c>
      <c r="AF53" s="223">
        <f t="shared" si="25"/>
        <v>0.24398</v>
      </c>
      <c r="AG53" s="237">
        <f t="shared" si="26"/>
        <v>0.29947999999999997</v>
      </c>
      <c r="AH53" s="122">
        <f t="shared" si="27"/>
        <v>0</v>
      </c>
      <c r="AI53" s="223">
        <f t="shared" si="28"/>
        <v>5.5499999999999966E-2</v>
      </c>
      <c r="AK53" s="122">
        <f t="shared" si="29"/>
        <v>5.5499999999999966E-2</v>
      </c>
      <c r="AM53" s="230"/>
      <c r="AN53" s="229"/>
      <c r="AO53" s="224"/>
    </row>
    <row r="54" spans="1:41" x14ac:dyDescent="0.35">
      <c r="A54" s="172">
        <f t="shared" si="17"/>
        <v>48</v>
      </c>
      <c r="B54" s="239"/>
      <c r="C54" s="242" t="s">
        <v>62</v>
      </c>
      <c r="D54" s="235">
        <v>0.26369000000000009</v>
      </c>
      <c r="E54" s="235">
        <v>0</v>
      </c>
      <c r="F54" s="235"/>
      <c r="G54" s="235"/>
      <c r="H54" s="235">
        <f t="shared" si="18"/>
        <v>0.26369000000000009</v>
      </c>
      <c r="I54" s="236">
        <v>0</v>
      </c>
      <c r="J54" s="236"/>
      <c r="K54" s="235"/>
      <c r="L54" s="235">
        <f t="shared" si="19"/>
        <v>0.26369000000000009</v>
      </c>
      <c r="M54" s="235">
        <f>+[1]Temporaries!D54</f>
        <v>0.24287</v>
      </c>
      <c r="N54" s="235">
        <f>+[1]Temporaries!W54</f>
        <v>0.24218000000000001</v>
      </c>
      <c r="O54" s="235"/>
      <c r="P54" s="235"/>
      <c r="Q54" s="235"/>
      <c r="R54" s="235"/>
      <c r="S54" s="235"/>
      <c r="T54" s="235"/>
      <c r="U54" s="235">
        <f>[1]Permanents!H54</f>
        <v>0</v>
      </c>
      <c r="V54" s="235">
        <f t="shared" si="20"/>
        <v>0.26300000000000012</v>
      </c>
      <c r="W54" s="223"/>
      <c r="X54" s="223"/>
      <c r="Y54" s="223">
        <f t="shared" si="21"/>
        <v>0</v>
      </c>
      <c r="AA54" s="239"/>
      <c r="AB54" s="242" t="s">
        <v>62</v>
      </c>
      <c r="AC54" s="238">
        <f t="shared" si="22"/>
        <v>2.0820000000000116E-2</v>
      </c>
      <c r="AD54" s="223">
        <f t="shared" si="23"/>
        <v>0</v>
      </c>
      <c r="AE54" s="223">
        <f t="shared" si="24"/>
        <v>0</v>
      </c>
      <c r="AF54" s="223">
        <f t="shared" si="25"/>
        <v>0.24218000000000001</v>
      </c>
      <c r="AG54" s="237">
        <f t="shared" si="26"/>
        <v>0.26300000000000012</v>
      </c>
      <c r="AH54" s="122">
        <f t="shared" si="27"/>
        <v>0</v>
      </c>
      <c r="AI54" s="223">
        <f t="shared" si="28"/>
        <v>2.0820000000000116E-2</v>
      </c>
      <c r="AK54" s="122">
        <f t="shared" si="29"/>
        <v>2.0820000000000116E-2</v>
      </c>
      <c r="AM54" s="230"/>
      <c r="AN54" s="229"/>
      <c r="AO54" s="224"/>
    </row>
    <row r="55" spans="1:41" x14ac:dyDescent="0.35">
      <c r="A55" s="172">
        <f t="shared" si="17"/>
        <v>49</v>
      </c>
      <c r="B55" s="172" t="s">
        <v>66</v>
      </c>
      <c r="C55" s="243" t="s">
        <v>49</v>
      </c>
      <c r="D55" s="223">
        <v>0.71133000000000013</v>
      </c>
      <c r="E55" s="223">
        <f t="shared" ref="E55:E66" si="30">+$E$13</f>
        <v>0.43274000000000001</v>
      </c>
      <c r="F55" s="223"/>
      <c r="G55" s="223"/>
      <c r="H55" s="223">
        <f t="shared" si="18"/>
        <v>0.27859000000000012</v>
      </c>
      <c r="I55" s="229">
        <f t="shared" ref="I55:I66" si="31">+$I$13</f>
        <v>0.40640999999999999</v>
      </c>
      <c r="J55" s="229"/>
      <c r="K55" s="223"/>
      <c r="L55" s="223">
        <f t="shared" si="19"/>
        <v>0.68500000000000005</v>
      </c>
      <c r="M55" s="223">
        <f>+[1]Temporaries!D55</f>
        <v>0.10987</v>
      </c>
      <c r="N55" s="223">
        <f>+[1]Temporaries!W55</f>
        <v>9.7640000000000005E-2</v>
      </c>
      <c r="O55" s="223"/>
      <c r="P55" s="223"/>
      <c r="Q55" s="223"/>
      <c r="R55" s="223"/>
      <c r="S55" s="223"/>
      <c r="T55" s="223"/>
      <c r="U55" s="223">
        <f>[1]Permanents!H55</f>
        <v>3.0000000000002247E-5</v>
      </c>
      <c r="V55" s="223">
        <f t="shared" si="20"/>
        <v>0.67280000000000006</v>
      </c>
      <c r="W55" s="223"/>
      <c r="X55" s="223"/>
      <c r="Y55" s="223">
        <f t="shared" si="21"/>
        <v>0.40640999999999999</v>
      </c>
      <c r="AA55" s="172" t="s">
        <v>66</v>
      </c>
      <c r="AB55" s="243" t="s">
        <v>49</v>
      </c>
      <c r="AC55" s="238">
        <f t="shared" si="22"/>
        <v>0.16875000000000007</v>
      </c>
      <c r="AD55" s="223">
        <f t="shared" si="23"/>
        <v>0</v>
      </c>
      <c r="AE55" s="223">
        <f t="shared" si="24"/>
        <v>0.40640999999999999</v>
      </c>
      <c r="AF55" s="223">
        <f t="shared" si="25"/>
        <v>9.7640000000000005E-2</v>
      </c>
      <c r="AG55" s="237">
        <f t="shared" si="26"/>
        <v>0.67280000000000006</v>
      </c>
      <c r="AH55" s="122">
        <f t="shared" si="27"/>
        <v>0</v>
      </c>
      <c r="AI55" s="223">
        <f t="shared" si="28"/>
        <v>0.57516000000000012</v>
      </c>
      <c r="AK55" s="122">
        <f t="shared" si="29"/>
        <v>0.16875000000000012</v>
      </c>
      <c r="AM55" s="230"/>
      <c r="AN55" s="229"/>
      <c r="AO55" s="224"/>
    </row>
    <row r="56" spans="1:41" x14ac:dyDescent="0.35">
      <c r="A56" s="172">
        <f t="shared" si="17"/>
        <v>50</v>
      </c>
      <c r="B56" s="172"/>
      <c r="C56" s="243" t="s">
        <v>50</v>
      </c>
      <c r="D56" s="223">
        <v>0.69042999999999966</v>
      </c>
      <c r="E56" s="223">
        <f t="shared" si="30"/>
        <v>0.43274000000000001</v>
      </c>
      <c r="F56" s="223"/>
      <c r="G56" s="223"/>
      <c r="H56" s="223">
        <f t="shared" si="18"/>
        <v>0.25768999999999964</v>
      </c>
      <c r="I56" s="229">
        <f t="shared" si="31"/>
        <v>0.40640999999999999</v>
      </c>
      <c r="J56" s="229"/>
      <c r="K56" s="223"/>
      <c r="L56" s="223">
        <f t="shared" si="19"/>
        <v>0.66409999999999969</v>
      </c>
      <c r="M56" s="223">
        <f>+[1]Temporaries!D56</f>
        <v>0.10666</v>
      </c>
      <c r="N56" s="223">
        <f>+[1]Temporaries!W56</f>
        <v>9.4349999999999989E-2</v>
      </c>
      <c r="O56" s="223"/>
      <c r="P56" s="223"/>
      <c r="Q56" s="223"/>
      <c r="R56" s="223"/>
      <c r="S56" s="223"/>
      <c r="T56" s="223"/>
      <c r="U56" s="223">
        <f>[1]Permanents!H56</f>
        <v>3.0000000000002247E-5</v>
      </c>
      <c r="V56" s="223">
        <f t="shared" si="20"/>
        <v>0.65181999999999962</v>
      </c>
      <c r="W56" s="223"/>
      <c r="X56" s="223"/>
      <c r="Y56" s="223">
        <f t="shared" si="21"/>
        <v>0.40640999999999999</v>
      </c>
      <c r="AA56" s="172"/>
      <c r="AB56" s="243" t="s">
        <v>50</v>
      </c>
      <c r="AC56" s="238">
        <f t="shared" si="22"/>
        <v>0.15105999999999964</v>
      </c>
      <c r="AD56" s="223">
        <f t="shared" si="23"/>
        <v>0</v>
      </c>
      <c r="AE56" s="223">
        <f t="shared" si="24"/>
        <v>0.40640999999999999</v>
      </c>
      <c r="AF56" s="223">
        <f t="shared" si="25"/>
        <v>9.4349999999999989E-2</v>
      </c>
      <c r="AG56" s="237">
        <f t="shared" si="26"/>
        <v>0.65181999999999962</v>
      </c>
      <c r="AH56" s="122">
        <f t="shared" si="27"/>
        <v>0</v>
      </c>
      <c r="AI56" s="223">
        <f t="shared" si="28"/>
        <v>0.55746999999999969</v>
      </c>
      <c r="AK56" s="122">
        <f t="shared" si="29"/>
        <v>0.15105999999999969</v>
      </c>
      <c r="AM56" s="230"/>
      <c r="AN56" s="229"/>
      <c r="AO56" s="224"/>
    </row>
    <row r="57" spans="1:41" x14ac:dyDescent="0.35">
      <c r="A57" s="172">
        <f t="shared" si="17"/>
        <v>51</v>
      </c>
      <c r="B57" s="172"/>
      <c r="C57" s="243" t="s">
        <v>59</v>
      </c>
      <c r="D57" s="223">
        <v>0.64878000000000013</v>
      </c>
      <c r="E57" s="223">
        <f t="shared" si="30"/>
        <v>0.43274000000000001</v>
      </c>
      <c r="F57" s="223"/>
      <c r="G57" s="223"/>
      <c r="H57" s="223">
        <f t="shared" si="18"/>
        <v>0.21604000000000012</v>
      </c>
      <c r="I57" s="229">
        <f t="shared" si="31"/>
        <v>0.40640999999999999</v>
      </c>
      <c r="J57" s="229"/>
      <c r="K57" s="223"/>
      <c r="L57" s="223">
        <f t="shared" si="19"/>
        <v>0.62245000000000017</v>
      </c>
      <c r="M57" s="223">
        <f>+[1]Temporaries!D57</f>
        <v>0.10023999999999997</v>
      </c>
      <c r="N57" s="223">
        <f>+[1]Temporaries!W57</f>
        <v>8.7799999999999989E-2</v>
      </c>
      <c r="O57" s="223"/>
      <c r="P57" s="223"/>
      <c r="Q57" s="223"/>
      <c r="R57" s="223"/>
      <c r="S57" s="223"/>
      <c r="T57" s="223"/>
      <c r="U57" s="223">
        <f>[1]Permanents!H57</f>
        <v>2.0000000000006124E-5</v>
      </c>
      <c r="V57" s="223">
        <f t="shared" si="20"/>
        <v>0.61003000000000018</v>
      </c>
      <c r="W57" s="223"/>
      <c r="X57" s="223"/>
      <c r="Y57" s="223">
        <f t="shared" si="21"/>
        <v>0.40640999999999999</v>
      </c>
      <c r="AA57" s="172"/>
      <c r="AB57" s="243" t="s">
        <v>59</v>
      </c>
      <c r="AC57" s="238">
        <f t="shared" si="22"/>
        <v>0.1158200000000002</v>
      </c>
      <c r="AD57" s="223">
        <f t="shared" si="23"/>
        <v>0</v>
      </c>
      <c r="AE57" s="223">
        <f t="shared" si="24"/>
        <v>0.40640999999999999</v>
      </c>
      <c r="AF57" s="223">
        <f t="shared" si="25"/>
        <v>8.7799999999999989E-2</v>
      </c>
      <c r="AG57" s="237">
        <f t="shared" si="26"/>
        <v>0.61003000000000018</v>
      </c>
      <c r="AH57" s="122">
        <f t="shared" si="27"/>
        <v>0</v>
      </c>
      <c r="AI57" s="223">
        <f t="shared" si="28"/>
        <v>0.52223000000000019</v>
      </c>
      <c r="AK57" s="122">
        <f t="shared" si="29"/>
        <v>0.1158200000000002</v>
      </c>
      <c r="AM57" s="230"/>
      <c r="AN57" s="229"/>
      <c r="AO57" s="224"/>
    </row>
    <row r="58" spans="1:41" x14ac:dyDescent="0.35">
      <c r="A58" s="172">
        <f t="shared" si="17"/>
        <v>52</v>
      </c>
      <c r="B58" s="172"/>
      <c r="C58" s="243" t="s">
        <v>60</v>
      </c>
      <c r="D58" s="223">
        <v>0.62140999999999991</v>
      </c>
      <c r="E58" s="223">
        <f t="shared" si="30"/>
        <v>0.43274000000000001</v>
      </c>
      <c r="F58" s="223"/>
      <c r="G58" s="223"/>
      <c r="H58" s="223">
        <f t="shared" si="18"/>
        <v>0.18866999999999989</v>
      </c>
      <c r="I58" s="229">
        <f t="shared" si="31"/>
        <v>0.40640999999999999</v>
      </c>
      <c r="J58" s="229"/>
      <c r="K58" s="223"/>
      <c r="L58" s="223">
        <f t="shared" si="19"/>
        <v>0.59507999999999983</v>
      </c>
      <c r="M58" s="223">
        <f>+[1]Temporaries!D58</f>
        <v>9.6029999999999976E-2</v>
      </c>
      <c r="N58" s="223">
        <f>+[1]Temporaries!W58</f>
        <v>8.3490000000000009E-2</v>
      </c>
      <c r="O58" s="223"/>
      <c r="P58" s="223"/>
      <c r="Q58" s="223"/>
      <c r="R58" s="223"/>
      <c r="S58" s="223"/>
      <c r="T58" s="223"/>
      <c r="U58" s="223">
        <f>[1]Permanents!H58</f>
        <v>2.0000000000006124E-5</v>
      </c>
      <c r="V58" s="223">
        <f t="shared" si="20"/>
        <v>0.58255999999999986</v>
      </c>
      <c r="W58" s="223"/>
      <c r="X58" s="223"/>
      <c r="Y58" s="223">
        <f t="shared" si="21"/>
        <v>0.40640999999999999</v>
      </c>
      <c r="AA58" s="172"/>
      <c r="AB58" s="243" t="s">
        <v>60</v>
      </c>
      <c r="AC58" s="238">
        <f t="shared" si="22"/>
        <v>9.2659999999999854E-2</v>
      </c>
      <c r="AD58" s="223">
        <f t="shared" si="23"/>
        <v>0</v>
      </c>
      <c r="AE58" s="223">
        <f t="shared" si="24"/>
        <v>0.40640999999999999</v>
      </c>
      <c r="AF58" s="223">
        <f t="shared" si="25"/>
        <v>8.3490000000000009E-2</v>
      </c>
      <c r="AG58" s="237">
        <f t="shared" si="26"/>
        <v>0.58255999999999986</v>
      </c>
      <c r="AH58" s="122">
        <f t="shared" si="27"/>
        <v>0</v>
      </c>
      <c r="AI58" s="223">
        <f t="shared" si="28"/>
        <v>0.49906999999999985</v>
      </c>
      <c r="AK58" s="122">
        <f t="shared" si="29"/>
        <v>9.2659999999999854E-2</v>
      </c>
      <c r="AM58" s="230"/>
      <c r="AN58" s="229"/>
      <c r="AO58" s="224"/>
    </row>
    <row r="59" spans="1:41" x14ac:dyDescent="0.35">
      <c r="A59" s="172">
        <f t="shared" si="17"/>
        <v>53</v>
      </c>
      <c r="B59" s="172"/>
      <c r="C59" s="243" t="s">
        <v>61</v>
      </c>
      <c r="D59" s="223">
        <v>0.58492999999999984</v>
      </c>
      <c r="E59" s="223">
        <f t="shared" si="30"/>
        <v>0.43274000000000001</v>
      </c>
      <c r="F59" s="223"/>
      <c r="G59" s="223"/>
      <c r="H59" s="223">
        <f t="shared" si="18"/>
        <v>0.15218999999999983</v>
      </c>
      <c r="I59" s="229">
        <f t="shared" si="31"/>
        <v>0.40640999999999999</v>
      </c>
      <c r="J59" s="229"/>
      <c r="K59" s="223"/>
      <c r="L59" s="223">
        <f t="shared" si="19"/>
        <v>0.55859999999999976</v>
      </c>
      <c r="M59" s="223">
        <f>+[1]Temporaries!D59</f>
        <v>9.0409999999999963E-2</v>
      </c>
      <c r="N59" s="223">
        <f>+[1]Temporaries!W59</f>
        <v>7.7759999999999996E-2</v>
      </c>
      <c r="O59" s="223"/>
      <c r="P59" s="223"/>
      <c r="Q59" s="223"/>
      <c r="R59" s="223"/>
      <c r="S59" s="223"/>
      <c r="T59" s="223"/>
      <c r="U59" s="223">
        <f>[1]Permanents!H59</f>
        <v>1.0000000000003062E-5</v>
      </c>
      <c r="V59" s="223">
        <f t="shared" si="20"/>
        <v>0.54595999999999967</v>
      </c>
      <c r="W59" s="223"/>
      <c r="X59" s="223"/>
      <c r="Y59" s="223">
        <f t="shared" si="21"/>
        <v>0.40640999999999999</v>
      </c>
      <c r="AA59" s="172"/>
      <c r="AB59" s="243" t="s">
        <v>61</v>
      </c>
      <c r="AC59" s="238">
        <f t="shared" si="22"/>
        <v>6.1789999999999679E-2</v>
      </c>
      <c r="AD59" s="223">
        <f t="shared" si="23"/>
        <v>0</v>
      </c>
      <c r="AE59" s="223">
        <f t="shared" si="24"/>
        <v>0.40640999999999999</v>
      </c>
      <c r="AF59" s="223">
        <f t="shared" si="25"/>
        <v>7.7759999999999996E-2</v>
      </c>
      <c r="AG59" s="237">
        <f t="shared" si="26"/>
        <v>0.54595999999999967</v>
      </c>
      <c r="AH59" s="122">
        <f t="shared" si="27"/>
        <v>0</v>
      </c>
      <c r="AI59" s="223">
        <f t="shared" si="28"/>
        <v>0.46819999999999967</v>
      </c>
      <c r="AK59" s="122">
        <f t="shared" si="29"/>
        <v>6.1789999999999679E-2</v>
      </c>
      <c r="AM59" s="230"/>
      <c r="AN59" s="229"/>
      <c r="AO59" s="224"/>
    </row>
    <row r="60" spans="1:41" x14ac:dyDescent="0.35">
      <c r="A60" s="172">
        <f t="shared" si="17"/>
        <v>54</v>
      </c>
      <c r="B60" s="239"/>
      <c r="C60" s="242" t="s">
        <v>62</v>
      </c>
      <c r="D60" s="235">
        <v>0.53925000000000001</v>
      </c>
      <c r="E60" s="235">
        <f t="shared" si="30"/>
        <v>0.43274000000000001</v>
      </c>
      <c r="F60" s="235"/>
      <c r="G60" s="235"/>
      <c r="H60" s="235">
        <f t="shared" si="18"/>
        <v>0.10650999999999999</v>
      </c>
      <c r="I60" s="236">
        <f t="shared" si="31"/>
        <v>0.40640999999999999</v>
      </c>
      <c r="J60" s="236"/>
      <c r="K60" s="235"/>
      <c r="L60" s="235">
        <f t="shared" si="19"/>
        <v>0.51292000000000004</v>
      </c>
      <c r="M60" s="235">
        <f>+[1]Temporaries!D60</f>
        <v>8.3339999999999997E-2</v>
      </c>
      <c r="N60" s="235">
        <f>+[1]Temporaries!W60</f>
        <v>7.0589999999999986E-2</v>
      </c>
      <c r="O60" s="235"/>
      <c r="P60" s="235"/>
      <c r="Q60" s="235"/>
      <c r="R60" s="235"/>
      <c r="S60" s="235"/>
      <c r="T60" s="235"/>
      <c r="U60" s="235">
        <f>[1]Permanents!H60</f>
        <v>0</v>
      </c>
      <c r="V60" s="235">
        <f t="shared" si="20"/>
        <v>0.50017</v>
      </c>
      <c r="W60" s="223"/>
      <c r="X60" s="223"/>
      <c r="Y60" s="223">
        <f t="shared" si="21"/>
        <v>0.40640999999999999</v>
      </c>
      <c r="AA60" s="239"/>
      <c r="AB60" s="242" t="s">
        <v>62</v>
      </c>
      <c r="AC60" s="238">
        <f t="shared" si="22"/>
        <v>2.3170000000000024E-2</v>
      </c>
      <c r="AD60" s="223">
        <f t="shared" si="23"/>
        <v>0</v>
      </c>
      <c r="AE60" s="223">
        <f t="shared" si="24"/>
        <v>0.40640999999999999</v>
      </c>
      <c r="AF60" s="223">
        <f t="shared" si="25"/>
        <v>7.0589999999999986E-2</v>
      </c>
      <c r="AG60" s="237">
        <f t="shared" si="26"/>
        <v>0.50017</v>
      </c>
      <c r="AH60" s="122">
        <f t="shared" si="27"/>
        <v>0</v>
      </c>
      <c r="AI60" s="223">
        <f t="shared" si="28"/>
        <v>0.42958000000000002</v>
      </c>
      <c r="AK60" s="122">
        <f t="shared" si="29"/>
        <v>2.3170000000000024E-2</v>
      </c>
      <c r="AM60" s="230"/>
      <c r="AN60" s="229"/>
      <c r="AO60" s="224"/>
    </row>
    <row r="61" spans="1:41" x14ac:dyDescent="0.35">
      <c r="A61" s="172">
        <f t="shared" si="17"/>
        <v>55</v>
      </c>
      <c r="B61" s="172" t="s">
        <v>67</v>
      </c>
      <c r="C61" s="243" t="s">
        <v>49</v>
      </c>
      <c r="D61" s="223">
        <v>0.69063999999999992</v>
      </c>
      <c r="E61" s="223">
        <f t="shared" si="30"/>
        <v>0.43274000000000001</v>
      </c>
      <c r="F61" s="223"/>
      <c r="G61" s="223"/>
      <c r="H61" s="223">
        <f t="shared" si="18"/>
        <v>0.25789999999999991</v>
      </c>
      <c r="I61" s="229">
        <f t="shared" si="31"/>
        <v>0.40640999999999999</v>
      </c>
      <c r="J61" s="229"/>
      <c r="K61" s="223"/>
      <c r="L61" s="223">
        <f t="shared" si="19"/>
        <v>0.66430999999999996</v>
      </c>
      <c r="M61" s="223">
        <f>+[1]Temporaries!D61</f>
        <v>9.4369999999999982E-2</v>
      </c>
      <c r="N61" s="223">
        <f>+[1]Temporaries!W61</f>
        <v>8.0899999999999972E-2</v>
      </c>
      <c r="O61" s="223"/>
      <c r="P61" s="223"/>
      <c r="Q61" s="223"/>
      <c r="R61" s="223"/>
      <c r="S61" s="223"/>
      <c r="T61" s="223"/>
      <c r="U61" s="223">
        <f>[1]Permanents!H61</f>
        <v>4.0000000000012248E-5</v>
      </c>
      <c r="V61" s="223">
        <f t="shared" si="20"/>
        <v>0.65088000000000001</v>
      </c>
      <c r="W61" s="223"/>
      <c r="X61" s="223"/>
      <c r="Y61" s="223">
        <f t="shared" si="21"/>
        <v>0.40640999999999999</v>
      </c>
      <c r="AA61" s="172" t="s">
        <v>67</v>
      </c>
      <c r="AB61" s="243" t="s">
        <v>49</v>
      </c>
      <c r="AC61" s="238">
        <f t="shared" si="22"/>
        <v>0.16357000000000005</v>
      </c>
      <c r="AD61" s="223">
        <f t="shared" si="23"/>
        <v>0</v>
      </c>
      <c r="AE61" s="223">
        <f t="shared" si="24"/>
        <v>0.40640999999999999</v>
      </c>
      <c r="AF61" s="223">
        <f t="shared" si="25"/>
        <v>8.0899999999999972E-2</v>
      </c>
      <c r="AG61" s="237">
        <f t="shared" si="26"/>
        <v>0.65088000000000001</v>
      </c>
      <c r="AH61" s="122">
        <f t="shared" si="27"/>
        <v>0</v>
      </c>
      <c r="AI61" s="223">
        <f t="shared" si="28"/>
        <v>0.56998000000000004</v>
      </c>
      <c r="AK61" s="122">
        <f t="shared" si="29"/>
        <v>0.16357000000000005</v>
      </c>
      <c r="AM61" s="230"/>
      <c r="AN61" s="229"/>
      <c r="AO61" s="224"/>
    </row>
    <row r="62" spans="1:41" x14ac:dyDescent="0.35">
      <c r="A62" s="172">
        <f t="shared" si="17"/>
        <v>56</v>
      </c>
      <c r="B62" s="172"/>
      <c r="C62" s="243" t="s">
        <v>50</v>
      </c>
      <c r="D62" s="223">
        <v>0.67198999999999998</v>
      </c>
      <c r="E62" s="223">
        <f t="shared" si="30"/>
        <v>0.43274000000000001</v>
      </c>
      <c r="F62" s="223"/>
      <c r="G62" s="223"/>
      <c r="H62" s="223">
        <f t="shared" si="18"/>
        <v>0.23924999999999996</v>
      </c>
      <c r="I62" s="229">
        <f t="shared" si="31"/>
        <v>0.40640999999999999</v>
      </c>
      <c r="J62" s="229"/>
      <c r="K62" s="223"/>
      <c r="L62" s="223">
        <f t="shared" si="19"/>
        <v>0.6456599999999999</v>
      </c>
      <c r="M62" s="223">
        <f>+[1]Temporaries!D62</f>
        <v>9.286999999999998E-2</v>
      </c>
      <c r="N62" s="223">
        <f>+[1]Temporaries!W62</f>
        <v>7.9390000000000016E-2</v>
      </c>
      <c r="O62" s="223"/>
      <c r="P62" s="223"/>
      <c r="Q62" s="223"/>
      <c r="R62" s="223"/>
      <c r="S62" s="223"/>
      <c r="T62" s="223"/>
      <c r="U62" s="223">
        <f>[1]Permanents!H62</f>
        <v>4.0000000000012248E-5</v>
      </c>
      <c r="V62" s="223">
        <f t="shared" si="20"/>
        <v>0.63222</v>
      </c>
      <c r="W62" s="223"/>
      <c r="X62" s="223"/>
      <c r="Y62" s="223">
        <f t="shared" si="21"/>
        <v>0.40640999999999999</v>
      </c>
      <c r="AA62" s="172"/>
      <c r="AB62" s="243" t="s">
        <v>50</v>
      </c>
      <c r="AC62" s="238">
        <f t="shared" si="22"/>
        <v>0.14641999999999999</v>
      </c>
      <c r="AD62" s="223">
        <f t="shared" si="23"/>
        <v>0</v>
      </c>
      <c r="AE62" s="223">
        <f t="shared" si="24"/>
        <v>0.40640999999999999</v>
      </c>
      <c r="AF62" s="223">
        <f t="shared" si="25"/>
        <v>7.9390000000000016E-2</v>
      </c>
      <c r="AG62" s="237">
        <f t="shared" si="26"/>
        <v>0.63222</v>
      </c>
      <c r="AH62" s="122">
        <f t="shared" si="27"/>
        <v>0</v>
      </c>
      <c r="AI62" s="223">
        <f t="shared" si="28"/>
        <v>0.55282999999999993</v>
      </c>
      <c r="AK62" s="122">
        <f t="shared" si="29"/>
        <v>0.14641999999999994</v>
      </c>
      <c r="AM62" s="230"/>
      <c r="AN62" s="229"/>
      <c r="AO62" s="224"/>
    </row>
    <row r="63" spans="1:41" x14ac:dyDescent="0.35">
      <c r="A63" s="172">
        <f t="shared" si="17"/>
        <v>57</v>
      </c>
      <c r="B63" s="172"/>
      <c r="C63" s="243" t="s">
        <v>59</v>
      </c>
      <c r="D63" s="223">
        <v>0.63488999999999995</v>
      </c>
      <c r="E63" s="223">
        <f t="shared" si="30"/>
        <v>0.43274000000000001</v>
      </c>
      <c r="F63" s="223"/>
      <c r="G63" s="223"/>
      <c r="H63" s="223">
        <f t="shared" si="18"/>
        <v>0.20214999999999994</v>
      </c>
      <c r="I63" s="229">
        <f t="shared" si="31"/>
        <v>0.40640999999999999</v>
      </c>
      <c r="J63" s="229"/>
      <c r="K63" s="223"/>
      <c r="L63" s="223">
        <f t="shared" si="19"/>
        <v>0.60855999999999999</v>
      </c>
      <c r="M63" s="223">
        <f>+[1]Temporaries!D63</f>
        <v>8.9900000000000008E-2</v>
      </c>
      <c r="N63" s="223">
        <f>+[1]Temporaries!W63</f>
        <v>7.6409999999999978E-2</v>
      </c>
      <c r="O63" s="223"/>
      <c r="P63" s="223"/>
      <c r="Q63" s="223"/>
      <c r="R63" s="223"/>
      <c r="S63" s="223"/>
      <c r="T63" s="223"/>
      <c r="U63" s="223">
        <f>[1]Permanents!H63</f>
        <v>3.0000000000002247E-5</v>
      </c>
      <c r="V63" s="223">
        <f t="shared" si="20"/>
        <v>0.59509999999999996</v>
      </c>
      <c r="W63" s="223"/>
      <c r="X63" s="223"/>
      <c r="Y63" s="223">
        <f t="shared" si="21"/>
        <v>0.40640999999999999</v>
      </c>
      <c r="AA63" s="172"/>
      <c r="AB63" s="243" t="s">
        <v>59</v>
      </c>
      <c r="AC63" s="238">
        <f t="shared" si="22"/>
        <v>0.11227999999999999</v>
      </c>
      <c r="AD63" s="223">
        <f t="shared" si="23"/>
        <v>0</v>
      </c>
      <c r="AE63" s="223">
        <f t="shared" si="24"/>
        <v>0.40640999999999999</v>
      </c>
      <c r="AF63" s="223">
        <f t="shared" si="25"/>
        <v>7.6409999999999978E-2</v>
      </c>
      <c r="AG63" s="237">
        <f t="shared" si="26"/>
        <v>0.59509999999999996</v>
      </c>
      <c r="AH63" s="122">
        <f t="shared" si="27"/>
        <v>0</v>
      </c>
      <c r="AI63" s="223">
        <f t="shared" si="28"/>
        <v>0.51868999999999998</v>
      </c>
      <c r="AK63" s="122">
        <f t="shared" si="29"/>
        <v>0.11227999999999999</v>
      </c>
      <c r="AM63" s="230"/>
      <c r="AN63" s="229"/>
      <c r="AO63" s="224"/>
    </row>
    <row r="64" spans="1:41" x14ac:dyDescent="0.35">
      <c r="A64" s="172">
        <f t="shared" si="17"/>
        <v>58</v>
      </c>
      <c r="B64" s="172"/>
      <c r="C64" s="243" t="s">
        <v>60</v>
      </c>
      <c r="D64" s="223">
        <v>0.61047999999999969</v>
      </c>
      <c r="E64" s="223">
        <f t="shared" si="30"/>
        <v>0.43274000000000001</v>
      </c>
      <c r="F64" s="223"/>
      <c r="G64" s="223"/>
      <c r="H64" s="223">
        <f t="shared" si="18"/>
        <v>0.17773999999999968</v>
      </c>
      <c r="I64" s="229">
        <f t="shared" si="31"/>
        <v>0.40640999999999999</v>
      </c>
      <c r="J64" s="229"/>
      <c r="K64" s="223"/>
      <c r="L64" s="223">
        <f t="shared" si="19"/>
        <v>0.58414999999999973</v>
      </c>
      <c r="M64" s="223">
        <f>+[1]Temporaries!D64</f>
        <v>8.792999999999998E-2</v>
      </c>
      <c r="N64" s="223">
        <f>+[1]Temporaries!W64</f>
        <v>7.4449999999999988E-2</v>
      </c>
      <c r="O64" s="223"/>
      <c r="P64" s="223"/>
      <c r="Q64" s="223"/>
      <c r="R64" s="223"/>
      <c r="S64" s="223"/>
      <c r="T64" s="223"/>
      <c r="U64" s="223">
        <f>[1]Permanents!H64</f>
        <v>2.0000000000006124E-5</v>
      </c>
      <c r="V64" s="223">
        <f t="shared" si="20"/>
        <v>0.57068999999999981</v>
      </c>
      <c r="W64" s="223"/>
      <c r="X64" s="223"/>
      <c r="Y64" s="223">
        <f t="shared" si="21"/>
        <v>0.40640999999999999</v>
      </c>
      <c r="AA64" s="172"/>
      <c r="AB64" s="243" t="s">
        <v>60</v>
      </c>
      <c r="AC64" s="238">
        <f t="shared" si="22"/>
        <v>8.9829999999999827E-2</v>
      </c>
      <c r="AD64" s="223">
        <f t="shared" si="23"/>
        <v>0</v>
      </c>
      <c r="AE64" s="223">
        <f t="shared" si="24"/>
        <v>0.40640999999999999</v>
      </c>
      <c r="AF64" s="223">
        <f t="shared" si="25"/>
        <v>7.4449999999999988E-2</v>
      </c>
      <c r="AG64" s="237">
        <f t="shared" si="26"/>
        <v>0.57068999999999981</v>
      </c>
      <c r="AH64" s="122">
        <f t="shared" si="27"/>
        <v>0</v>
      </c>
      <c r="AI64" s="223">
        <f t="shared" si="28"/>
        <v>0.49623999999999979</v>
      </c>
      <c r="AK64" s="122">
        <f t="shared" si="29"/>
        <v>8.9829999999999799E-2</v>
      </c>
      <c r="AM64" s="230"/>
      <c r="AN64" s="229"/>
      <c r="AO64" s="224"/>
    </row>
    <row r="65" spans="1:41" x14ac:dyDescent="0.35">
      <c r="A65" s="172">
        <f t="shared" si="17"/>
        <v>59</v>
      </c>
      <c r="B65" s="172"/>
      <c r="C65" s="243" t="s">
        <v>61</v>
      </c>
      <c r="D65" s="223">
        <v>0.57791000000000003</v>
      </c>
      <c r="E65" s="223">
        <f t="shared" si="30"/>
        <v>0.43274000000000001</v>
      </c>
      <c r="F65" s="223"/>
      <c r="G65" s="223"/>
      <c r="H65" s="223">
        <f t="shared" si="18"/>
        <v>0.14517000000000002</v>
      </c>
      <c r="I65" s="229">
        <f t="shared" si="31"/>
        <v>0.40640999999999999</v>
      </c>
      <c r="J65" s="229"/>
      <c r="K65" s="223"/>
      <c r="L65" s="223">
        <f t="shared" si="19"/>
        <v>0.55157999999999996</v>
      </c>
      <c r="M65" s="223">
        <f>+[1]Temporaries!D65</f>
        <v>8.5309999999999997E-2</v>
      </c>
      <c r="N65" s="223">
        <f>+[1]Temporaries!W65</f>
        <v>7.1839999999999987E-2</v>
      </c>
      <c r="O65" s="223"/>
      <c r="P65" s="223"/>
      <c r="Q65" s="223"/>
      <c r="R65" s="223"/>
      <c r="S65" s="223"/>
      <c r="T65" s="223"/>
      <c r="U65" s="223">
        <f>[1]Permanents!H65</f>
        <v>1.0000000000003062E-5</v>
      </c>
      <c r="V65" s="223">
        <f t="shared" si="20"/>
        <v>0.53811999999999993</v>
      </c>
      <c r="W65" s="223"/>
      <c r="X65" s="223"/>
      <c r="Y65" s="223">
        <f t="shared" si="21"/>
        <v>0.40640999999999999</v>
      </c>
      <c r="AA65" s="172"/>
      <c r="AB65" s="243" t="s">
        <v>61</v>
      </c>
      <c r="AC65" s="238">
        <f t="shared" si="22"/>
        <v>5.9869999999999951E-2</v>
      </c>
      <c r="AD65" s="223">
        <f t="shared" si="23"/>
        <v>0</v>
      </c>
      <c r="AE65" s="223">
        <f t="shared" si="24"/>
        <v>0.40640999999999999</v>
      </c>
      <c r="AF65" s="223">
        <f t="shared" si="25"/>
        <v>7.1839999999999987E-2</v>
      </c>
      <c r="AG65" s="237">
        <f t="shared" si="26"/>
        <v>0.53811999999999993</v>
      </c>
      <c r="AH65" s="122">
        <f t="shared" si="27"/>
        <v>0</v>
      </c>
      <c r="AI65" s="223">
        <f t="shared" si="28"/>
        <v>0.46627999999999992</v>
      </c>
      <c r="AK65" s="122">
        <f t="shared" si="29"/>
        <v>5.9869999999999923E-2</v>
      </c>
      <c r="AM65" s="230"/>
      <c r="AN65" s="229"/>
      <c r="AO65" s="224"/>
    </row>
    <row r="66" spans="1:41" x14ac:dyDescent="0.35">
      <c r="A66" s="172">
        <f t="shared" si="17"/>
        <v>60</v>
      </c>
      <c r="B66" s="239"/>
      <c r="C66" s="242" t="s">
        <v>62</v>
      </c>
      <c r="D66" s="235">
        <v>0.53723999999999983</v>
      </c>
      <c r="E66" s="235">
        <f t="shared" si="30"/>
        <v>0.43274000000000001</v>
      </c>
      <c r="F66" s="235"/>
      <c r="G66" s="235"/>
      <c r="H66" s="235">
        <f t="shared" si="18"/>
        <v>0.10449999999999982</v>
      </c>
      <c r="I66" s="236">
        <f t="shared" si="31"/>
        <v>0.40640999999999999</v>
      </c>
      <c r="J66" s="236"/>
      <c r="K66" s="235"/>
      <c r="L66" s="235">
        <f t="shared" si="19"/>
        <v>0.51090999999999975</v>
      </c>
      <c r="M66" s="235">
        <f>+[1]Temporaries!D66</f>
        <v>8.2059999999999994E-2</v>
      </c>
      <c r="N66" s="235">
        <f>+[1]Temporaries!W66</f>
        <v>6.8589999999999984E-2</v>
      </c>
      <c r="O66" s="235"/>
      <c r="P66" s="235"/>
      <c r="Q66" s="235"/>
      <c r="R66" s="235"/>
      <c r="S66" s="235"/>
      <c r="T66" s="235"/>
      <c r="U66" s="235">
        <f>[1]Permanents!H66</f>
        <v>9.9999999999995925E-6</v>
      </c>
      <c r="V66" s="235">
        <f t="shared" si="20"/>
        <v>0.49744999999999973</v>
      </c>
      <c r="W66" s="223"/>
      <c r="X66" s="223"/>
      <c r="Y66" s="223">
        <f t="shared" si="21"/>
        <v>0.40640999999999999</v>
      </c>
      <c r="AA66" s="239"/>
      <c r="AB66" s="242" t="s">
        <v>62</v>
      </c>
      <c r="AC66" s="238">
        <f t="shared" si="22"/>
        <v>2.2449999999999748E-2</v>
      </c>
      <c r="AD66" s="223">
        <f t="shared" si="23"/>
        <v>0</v>
      </c>
      <c r="AE66" s="223">
        <f t="shared" si="24"/>
        <v>0.40640999999999999</v>
      </c>
      <c r="AF66" s="223">
        <f t="shared" si="25"/>
        <v>6.8589999999999984E-2</v>
      </c>
      <c r="AG66" s="237">
        <f t="shared" si="26"/>
        <v>0.49744999999999973</v>
      </c>
      <c r="AH66" s="122">
        <f t="shared" si="27"/>
        <v>0</v>
      </c>
      <c r="AI66" s="223">
        <f t="shared" si="28"/>
        <v>0.42885999999999974</v>
      </c>
      <c r="AK66" s="122">
        <f t="shared" si="29"/>
        <v>2.2449999999999748E-2</v>
      </c>
      <c r="AM66" s="230"/>
      <c r="AN66" s="229"/>
      <c r="AO66" s="224"/>
    </row>
    <row r="67" spans="1:41" x14ac:dyDescent="0.35">
      <c r="A67" s="172">
        <f t="shared" si="17"/>
        <v>61</v>
      </c>
      <c r="B67" s="172" t="s">
        <v>68</v>
      </c>
      <c r="C67" s="243" t="s">
        <v>49</v>
      </c>
      <c r="D67" s="223">
        <v>0.39076</v>
      </c>
      <c r="E67" s="223">
        <v>0</v>
      </c>
      <c r="F67" s="223"/>
      <c r="G67" s="223"/>
      <c r="H67" s="223">
        <f t="shared" si="18"/>
        <v>0.39076</v>
      </c>
      <c r="I67" s="229">
        <v>0</v>
      </c>
      <c r="J67" s="229"/>
      <c r="K67" s="223"/>
      <c r="L67" s="223">
        <f t="shared" si="19"/>
        <v>0.39076</v>
      </c>
      <c r="M67" s="223">
        <f>+[1]Temporaries!D67</f>
        <v>0.24907000000000001</v>
      </c>
      <c r="N67" s="223">
        <f>+[1]Temporaries!W67</f>
        <v>0.24864</v>
      </c>
      <c r="O67" s="223"/>
      <c r="P67" s="223"/>
      <c r="Q67" s="223"/>
      <c r="R67" s="223"/>
      <c r="S67" s="223"/>
      <c r="T67" s="223"/>
      <c r="U67" s="223">
        <f>[1]Permanents!H67</f>
        <v>0</v>
      </c>
      <c r="V67" s="223">
        <f t="shared" si="20"/>
        <v>0.39032999999999995</v>
      </c>
      <c r="W67" s="223"/>
      <c r="X67" s="223"/>
      <c r="Y67" s="223">
        <f t="shared" si="21"/>
        <v>0</v>
      </c>
      <c r="AA67" s="172" t="s">
        <v>68</v>
      </c>
      <c r="AB67" s="243" t="s">
        <v>49</v>
      </c>
      <c r="AC67" s="238">
        <f t="shared" si="22"/>
        <v>0.14168999999999995</v>
      </c>
      <c r="AD67" s="223">
        <f t="shared" si="23"/>
        <v>0</v>
      </c>
      <c r="AE67" s="223">
        <f t="shared" si="24"/>
        <v>0</v>
      </c>
      <c r="AF67" s="223">
        <f t="shared" si="25"/>
        <v>0.24864</v>
      </c>
      <c r="AG67" s="237">
        <f t="shared" si="26"/>
        <v>0.39032999999999995</v>
      </c>
      <c r="AH67" s="122">
        <f t="shared" si="27"/>
        <v>0</v>
      </c>
      <c r="AI67" s="223">
        <f t="shared" si="28"/>
        <v>0.14168999999999995</v>
      </c>
      <c r="AK67" s="122">
        <f t="shared" si="29"/>
        <v>0.14168999999999995</v>
      </c>
      <c r="AM67" s="230"/>
      <c r="AN67" s="229"/>
      <c r="AO67" s="224"/>
    </row>
    <row r="68" spans="1:41" x14ac:dyDescent="0.35">
      <c r="A68" s="172">
        <f t="shared" si="17"/>
        <v>62</v>
      </c>
      <c r="B68" s="172"/>
      <c r="C68" s="243" t="s">
        <v>50</v>
      </c>
      <c r="D68" s="223">
        <v>0.37516000000000005</v>
      </c>
      <c r="E68" s="223">
        <v>0</v>
      </c>
      <c r="F68" s="223"/>
      <c r="G68" s="223"/>
      <c r="H68" s="223">
        <f t="shared" si="18"/>
        <v>0.37516000000000005</v>
      </c>
      <c r="I68" s="229">
        <v>0</v>
      </c>
      <c r="J68" s="229"/>
      <c r="K68" s="223"/>
      <c r="L68" s="223">
        <f t="shared" si="19"/>
        <v>0.37516000000000005</v>
      </c>
      <c r="M68" s="223">
        <f>+[1]Temporaries!D68</f>
        <v>0.24831</v>
      </c>
      <c r="N68" s="223">
        <f>+[1]Temporaries!W68</f>
        <v>0.24786</v>
      </c>
      <c r="O68" s="223"/>
      <c r="P68" s="223"/>
      <c r="Q68" s="223"/>
      <c r="R68" s="223"/>
      <c r="S68" s="223"/>
      <c r="T68" s="223"/>
      <c r="U68" s="223">
        <f>[1]Permanents!H68</f>
        <v>0</v>
      </c>
      <c r="V68" s="223">
        <f t="shared" si="20"/>
        <v>0.37471000000000004</v>
      </c>
      <c r="W68" s="223"/>
      <c r="X68" s="223"/>
      <c r="Y68" s="223">
        <f t="shared" si="21"/>
        <v>0</v>
      </c>
      <c r="AA68" s="172"/>
      <c r="AB68" s="243" t="s">
        <v>50</v>
      </c>
      <c r="AC68" s="238">
        <f t="shared" si="22"/>
        <v>0.12685000000000005</v>
      </c>
      <c r="AD68" s="223">
        <f t="shared" si="23"/>
        <v>0</v>
      </c>
      <c r="AE68" s="223">
        <f t="shared" si="24"/>
        <v>0</v>
      </c>
      <c r="AF68" s="223">
        <f t="shared" si="25"/>
        <v>0.24786</v>
      </c>
      <c r="AG68" s="237">
        <f t="shared" si="26"/>
        <v>0.37471000000000004</v>
      </c>
      <c r="AH68" s="122">
        <f t="shared" si="27"/>
        <v>0</v>
      </c>
      <c r="AI68" s="223">
        <f t="shared" si="28"/>
        <v>0.12685000000000005</v>
      </c>
      <c r="AK68" s="122">
        <f t="shared" si="29"/>
        <v>0.12685000000000005</v>
      </c>
      <c r="AM68" s="230"/>
      <c r="AN68" s="229"/>
      <c r="AO68" s="224"/>
    </row>
    <row r="69" spans="1:41" x14ac:dyDescent="0.35">
      <c r="A69" s="172">
        <f t="shared" si="17"/>
        <v>63</v>
      </c>
      <c r="B69" s="172"/>
      <c r="C69" s="243" t="s">
        <v>59</v>
      </c>
      <c r="D69" s="223">
        <v>0.34404999999999997</v>
      </c>
      <c r="E69" s="223">
        <v>0</v>
      </c>
      <c r="F69" s="223"/>
      <c r="G69" s="223"/>
      <c r="H69" s="223">
        <f t="shared" si="18"/>
        <v>0.34404999999999997</v>
      </c>
      <c r="I69" s="229">
        <v>0</v>
      </c>
      <c r="J69" s="229"/>
      <c r="K69" s="223"/>
      <c r="L69" s="223">
        <f t="shared" si="19"/>
        <v>0.34404999999999997</v>
      </c>
      <c r="M69" s="223">
        <f>+[1]Temporaries!D69</f>
        <v>0.24678</v>
      </c>
      <c r="N69" s="223">
        <f>+[1]Temporaries!W69</f>
        <v>0.24626999999999999</v>
      </c>
      <c r="O69" s="223"/>
      <c r="P69" s="223"/>
      <c r="Q69" s="223"/>
      <c r="R69" s="223"/>
      <c r="S69" s="223"/>
      <c r="T69" s="223"/>
      <c r="U69" s="223">
        <f>[1]Permanents!H69</f>
        <v>0</v>
      </c>
      <c r="V69" s="223">
        <f t="shared" si="20"/>
        <v>0.34353999999999996</v>
      </c>
      <c r="W69" s="223"/>
      <c r="X69" s="223"/>
      <c r="Y69" s="223">
        <f t="shared" si="21"/>
        <v>0</v>
      </c>
      <c r="AA69" s="172"/>
      <c r="AB69" s="243" t="s">
        <v>59</v>
      </c>
      <c r="AC69" s="238">
        <f t="shared" si="22"/>
        <v>9.7269999999999968E-2</v>
      </c>
      <c r="AD69" s="223">
        <f t="shared" si="23"/>
        <v>0</v>
      </c>
      <c r="AE69" s="223">
        <f t="shared" si="24"/>
        <v>0</v>
      </c>
      <c r="AF69" s="223">
        <f t="shared" si="25"/>
        <v>0.24626999999999999</v>
      </c>
      <c r="AG69" s="237">
        <f t="shared" si="26"/>
        <v>0.34353999999999996</v>
      </c>
      <c r="AH69" s="122">
        <f t="shared" si="27"/>
        <v>0</v>
      </c>
      <c r="AI69" s="223">
        <f t="shared" si="28"/>
        <v>9.7269999999999968E-2</v>
      </c>
      <c r="AK69" s="122">
        <f t="shared" si="29"/>
        <v>9.7269999999999968E-2</v>
      </c>
      <c r="AM69" s="230"/>
      <c r="AN69" s="229"/>
      <c r="AO69" s="224"/>
    </row>
    <row r="70" spans="1:41" x14ac:dyDescent="0.35">
      <c r="A70" s="172">
        <f t="shared" si="17"/>
        <v>64</v>
      </c>
      <c r="B70" s="172"/>
      <c r="C70" s="243" t="s">
        <v>60</v>
      </c>
      <c r="D70" s="223">
        <v>0.3236</v>
      </c>
      <c r="E70" s="223">
        <v>0</v>
      </c>
      <c r="F70" s="223"/>
      <c r="G70" s="223"/>
      <c r="H70" s="223">
        <f t="shared" si="18"/>
        <v>0.3236</v>
      </c>
      <c r="I70" s="229">
        <v>0</v>
      </c>
      <c r="J70" s="229"/>
      <c r="K70" s="223"/>
      <c r="L70" s="223">
        <f t="shared" si="19"/>
        <v>0.3236</v>
      </c>
      <c r="M70" s="223">
        <f>+[1]Temporaries!D70</f>
        <v>0.24578</v>
      </c>
      <c r="N70" s="223">
        <f>+[1]Temporaries!W70</f>
        <v>0.24524000000000001</v>
      </c>
      <c r="O70" s="223"/>
      <c r="P70" s="223"/>
      <c r="Q70" s="223"/>
      <c r="R70" s="223"/>
      <c r="S70" s="223"/>
      <c r="T70" s="223"/>
      <c r="U70" s="223">
        <f>[1]Permanents!H70</f>
        <v>0</v>
      </c>
      <c r="V70" s="223">
        <f t="shared" si="20"/>
        <v>0.32306000000000001</v>
      </c>
      <c r="W70" s="223"/>
      <c r="X70" s="223"/>
      <c r="Y70" s="223">
        <f t="shared" si="21"/>
        <v>0</v>
      </c>
      <c r="AA70" s="172"/>
      <c r="AB70" s="243" t="s">
        <v>60</v>
      </c>
      <c r="AC70" s="238">
        <f t="shared" si="22"/>
        <v>7.782E-2</v>
      </c>
      <c r="AD70" s="223">
        <f t="shared" si="23"/>
        <v>0</v>
      </c>
      <c r="AE70" s="223">
        <f t="shared" si="24"/>
        <v>0</v>
      </c>
      <c r="AF70" s="223">
        <f t="shared" si="25"/>
        <v>0.24524000000000001</v>
      </c>
      <c r="AG70" s="237">
        <f t="shared" si="26"/>
        <v>0.32306000000000001</v>
      </c>
      <c r="AH70" s="122">
        <f t="shared" si="27"/>
        <v>0</v>
      </c>
      <c r="AI70" s="223">
        <f t="shared" si="28"/>
        <v>7.782E-2</v>
      </c>
      <c r="AK70" s="122">
        <f t="shared" si="29"/>
        <v>7.782E-2</v>
      </c>
      <c r="AM70" s="230"/>
      <c r="AN70" s="229"/>
      <c r="AO70" s="224"/>
    </row>
    <row r="71" spans="1:41" x14ac:dyDescent="0.35">
      <c r="A71" s="172">
        <f t="shared" si="17"/>
        <v>65</v>
      </c>
      <c r="B71" s="172"/>
      <c r="C71" s="243" t="s">
        <v>61</v>
      </c>
      <c r="D71" s="223">
        <v>0.29632999999999998</v>
      </c>
      <c r="E71" s="223">
        <v>0</v>
      </c>
      <c r="F71" s="223"/>
      <c r="G71" s="223"/>
      <c r="H71" s="223">
        <f t="shared" si="18"/>
        <v>0.29632999999999998</v>
      </c>
      <c r="I71" s="229">
        <v>0</v>
      </c>
      <c r="J71" s="229"/>
      <c r="K71" s="223"/>
      <c r="L71" s="223">
        <f t="shared" si="19"/>
        <v>0.29632999999999998</v>
      </c>
      <c r="M71" s="223">
        <f>+[1]Temporaries!D71</f>
        <v>0.24443999999999999</v>
      </c>
      <c r="N71" s="223">
        <f>+[1]Temporaries!W71</f>
        <v>0.24385000000000001</v>
      </c>
      <c r="O71" s="223"/>
      <c r="P71" s="223"/>
      <c r="Q71" s="223"/>
      <c r="R71" s="223"/>
      <c r="S71" s="223"/>
      <c r="T71" s="223"/>
      <c r="U71" s="223">
        <f>[1]Permanents!H71</f>
        <v>0</v>
      </c>
      <c r="V71" s="223">
        <f t="shared" si="20"/>
        <v>0.29574</v>
      </c>
      <c r="W71" s="223"/>
      <c r="X71" s="223"/>
      <c r="Y71" s="223">
        <f t="shared" si="21"/>
        <v>0</v>
      </c>
      <c r="AA71" s="172"/>
      <c r="AB71" s="243" t="s">
        <v>61</v>
      </c>
      <c r="AC71" s="238">
        <f t="shared" si="22"/>
        <v>5.1889999999999992E-2</v>
      </c>
      <c r="AD71" s="223">
        <f t="shared" si="23"/>
        <v>0</v>
      </c>
      <c r="AE71" s="223">
        <f t="shared" si="24"/>
        <v>0</v>
      </c>
      <c r="AF71" s="223">
        <f t="shared" si="25"/>
        <v>0.24385000000000001</v>
      </c>
      <c r="AG71" s="237">
        <f t="shared" si="26"/>
        <v>0.29574</v>
      </c>
      <c r="AH71" s="122">
        <f t="shared" si="27"/>
        <v>0</v>
      </c>
      <c r="AI71" s="223">
        <f t="shared" si="28"/>
        <v>5.1889999999999992E-2</v>
      </c>
      <c r="AK71" s="122">
        <f t="shared" si="29"/>
        <v>5.1889999999999992E-2</v>
      </c>
      <c r="AM71" s="230"/>
      <c r="AN71" s="229"/>
      <c r="AO71" s="224"/>
    </row>
    <row r="72" spans="1:41" x14ac:dyDescent="0.35">
      <c r="A72" s="172">
        <f t="shared" ref="A72:A89" si="32">+A71+1</f>
        <v>66</v>
      </c>
      <c r="B72" s="239"/>
      <c r="C72" s="242" t="s">
        <v>62</v>
      </c>
      <c r="D72" s="235">
        <v>0.26221000000000005</v>
      </c>
      <c r="E72" s="235">
        <v>0</v>
      </c>
      <c r="F72" s="235"/>
      <c r="G72" s="235"/>
      <c r="H72" s="235">
        <f t="shared" si="18"/>
        <v>0.26221000000000005</v>
      </c>
      <c r="I72" s="236">
        <v>0</v>
      </c>
      <c r="J72" s="236"/>
      <c r="K72" s="235"/>
      <c r="L72" s="235">
        <f t="shared" si="19"/>
        <v>0.26221000000000005</v>
      </c>
      <c r="M72" s="235">
        <f>+[1]Temporaries!D72</f>
        <v>0.24276999999999999</v>
      </c>
      <c r="N72" s="235">
        <f>+[1]Temporaries!W72</f>
        <v>0.24212</v>
      </c>
      <c r="O72" s="235"/>
      <c r="P72" s="235"/>
      <c r="Q72" s="235"/>
      <c r="R72" s="235"/>
      <c r="S72" s="235"/>
      <c r="T72" s="235"/>
      <c r="U72" s="235">
        <f>[1]Permanents!H72</f>
        <v>0</v>
      </c>
      <c r="V72" s="235">
        <f t="shared" si="20"/>
        <v>0.26156000000000007</v>
      </c>
      <c r="W72" s="223"/>
      <c r="X72" s="223"/>
      <c r="Y72" s="223">
        <f t="shared" si="21"/>
        <v>0</v>
      </c>
      <c r="AA72" s="239"/>
      <c r="AB72" s="242" t="s">
        <v>62</v>
      </c>
      <c r="AC72" s="238">
        <f t="shared" si="22"/>
        <v>1.9440000000000068E-2</v>
      </c>
      <c r="AD72" s="223">
        <f t="shared" si="23"/>
        <v>0</v>
      </c>
      <c r="AE72" s="223">
        <f t="shared" si="24"/>
        <v>0</v>
      </c>
      <c r="AF72" s="223">
        <f t="shared" si="25"/>
        <v>0.24212</v>
      </c>
      <c r="AG72" s="237">
        <f t="shared" si="26"/>
        <v>0.26156000000000007</v>
      </c>
      <c r="AH72" s="122">
        <f t="shared" si="27"/>
        <v>0</v>
      </c>
      <c r="AI72" s="223">
        <f t="shared" si="28"/>
        <v>1.9440000000000068E-2</v>
      </c>
      <c r="AK72" s="122">
        <f t="shared" si="29"/>
        <v>1.9440000000000068E-2</v>
      </c>
      <c r="AM72" s="230"/>
      <c r="AN72" s="229"/>
      <c r="AO72" s="224"/>
    </row>
    <row r="73" spans="1:41" x14ac:dyDescent="0.35">
      <c r="A73" s="172">
        <f t="shared" si="32"/>
        <v>67</v>
      </c>
      <c r="B73" s="172" t="s">
        <v>69</v>
      </c>
      <c r="C73" s="243" t="s">
        <v>49</v>
      </c>
      <c r="D73" s="223">
        <v>0.39346999999999999</v>
      </c>
      <c r="E73" s="223">
        <v>0</v>
      </c>
      <c r="F73" s="223"/>
      <c r="G73" s="223"/>
      <c r="H73" s="223">
        <f t="shared" si="18"/>
        <v>0.39346999999999999</v>
      </c>
      <c r="I73" s="229">
        <v>0</v>
      </c>
      <c r="J73" s="229"/>
      <c r="K73" s="223"/>
      <c r="L73" s="223">
        <f t="shared" si="19"/>
        <v>0.39346999999999999</v>
      </c>
      <c r="M73" s="223">
        <f>+[1]Temporaries!D73</f>
        <v>0.24917</v>
      </c>
      <c r="N73" s="223">
        <f>+[1]Temporaries!W73</f>
        <v>0.24862999999999999</v>
      </c>
      <c r="O73" s="223"/>
      <c r="P73" s="223"/>
      <c r="Q73" s="223"/>
      <c r="R73" s="223"/>
      <c r="S73" s="223"/>
      <c r="T73" s="223"/>
      <c r="U73" s="223">
        <f>[1]Permanents!H73</f>
        <v>0</v>
      </c>
      <c r="V73" s="223">
        <f t="shared" si="20"/>
        <v>0.39293</v>
      </c>
      <c r="W73" s="223"/>
      <c r="X73" s="223"/>
      <c r="Y73" s="223">
        <f t="shared" si="21"/>
        <v>0</v>
      </c>
      <c r="AA73" s="172" t="s">
        <v>69</v>
      </c>
      <c r="AB73" s="243" t="s">
        <v>49</v>
      </c>
      <c r="AC73" s="238">
        <f t="shared" si="22"/>
        <v>0.14430000000000001</v>
      </c>
      <c r="AD73" s="223">
        <f t="shared" si="23"/>
        <v>0</v>
      </c>
      <c r="AE73" s="223">
        <f t="shared" si="24"/>
        <v>0</v>
      </c>
      <c r="AF73" s="223">
        <f t="shared" si="25"/>
        <v>0.24862999999999999</v>
      </c>
      <c r="AG73" s="237">
        <f t="shared" si="26"/>
        <v>0.39293</v>
      </c>
      <c r="AH73" s="122">
        <f t="shared" si="27"/>
        <v>0</v>
      </c>
      <c r="AI73" s="223">
        <f t="shared" si="28"/>
        <v>0.14430000000000001</v>
      </c>
      <c r="AK73" s="122">
        <f t="shared" si="29"/>
        <v>0.14430000000000001</v>
      </c>
      <c r="AM73" s="230"/>
      <c r="AN73" s="229"/>
      <c r="AO73" s="224"/>
    </row>
    <row r="74" spans="1:41" x14ac:dyDescent="0.35">
      <c r="A74" s="172">
        <f t="shared" si="32"/>
        <v>68</v>
      </c>
      <c r="B74" s="172"/>
      <c r="C74" s="243" t="s">
        <v>50</v>
      </c>
      <c r="D74" s="223">
        <v>0.37758000000000003</v>
      </c>
      <c r="E74" s="223">
        <v>0</v>
      </c>
      <c r="F74" s="223"/>
      <c r="G74" s="223"/>
      <c r="H74" s="223">
        <f t="shared" si="18"/>
        <v>0.37758000000000003</v>
      </c>
      <c r="I74" s="229">
        <v>0</v>
      </c>
      <c r="J74" s="229"/>
      <c r="K74" s="223"/>
      <c r="L74" s="223">
        <f t="shared" si="19"/>
        <v>0.37758000000000003</v>
      </c>
      <c r="M74" s="223">
        <f>+[1]Temporaries!D74</f>
        <v>0.24840999999999999</v>
      </c>
      <c r="N74" s="223">
        <f>+[1]Temporaries!W74</f>
        <v>0.24784999999999999</v>
      </c>
      <c r="O74" s="223"/>
      <c r="P74" s="223"/>
      <c r="Q74" s="223"/>
      <c r="R74" s="223"/>
      <c r="S74" s="223"/>
      <c r="T74" s="223"/>
      <c r="U74" s="223">
        <f>[1]Permanents!H74</f>
        <v>0</v>
      </c>
      <c r="V74" s="223">
        <f t="shared" si="20"/>
        <v>0.37702000000000002</v>
      </c>
      <c r="W74" s="223"/>
      <c r="X74" s="223"/>
      <c r="Y74" s="223">
        <f t="shared" si="21"/>
        <v>0</v>
      </c>
      <c r="AA74" s="172"/>
      <c r="AB74" s="243" t="s">
        <v>50</v>
      </c>
      <c r="AC74" s="238">
        <f t="shared" si="22"/>
        <v>0.12917000000000003</v>
      </c>
      <c r="AD74" s="223">
        <f t="shared" si="23"/>
        <v>0</v>
      </c>
      <c r="AE74" s="223">
        <f t="shared" si="24"/>
        <v>0</v>
      </c>
      <c r="AF74" s="223">
        <f t="shared" si="25"/>
        <v>0.24784999999999999</v>
      </c>
      <c r="AG74" s="237">
        <f t="shared" si="26"/>
        <v>0.37702000000000002</v>
      </c>
      <c r="AH74" s="122">
        <f t="shared" si="27"/>
        <v>0</v>
      </c>
      <c r="AI74" s="223">
        <f t="shared" si="28"/>
        <v>0.12917000000000003</v>
      </c>
      <c r="AK74" s="122">
        <f t="shared" si="29"/>
        <v>0.12917000000000003</v>
      </c>
      <c r="AM74" s="230"/>
      <c r="AN74" s="229"/>
      <c r="AO74" s="224"/>
    </row>
    <row r="75" spans="1:41" x14ac:dyDescent="0.35">
      <c r="A75" s="172">
        <f t="shared" si="32"/>
        <v>69</v>
      </c>
      <c r="B75" s="172"/>
      <c r="C75" s="243" t="s">
        <v>59</v>
      </c>
      <c r="D75" s="223">
        <v>0.34592000000000001</v>
      </c>
      <c r="E75" s="223">
        <v>0</v>
      </c>
      <c r="F75" s="223"/>
      <c r="G75" s="223"/>
      <c r="H75" s="223">
        <f t="shared" si="18"/>
        <v>0.34592000000000001</v>
      </c>
      <c r="I75" s="229">
        <v>0</v>
      </c>
      <c r="J75" s="229"/>
      <c r="K75" s="223"/>
      <c r="L75" s="223">
        <f t="shared" si="19"/>
        <v>0.34592000000000001</v>
      </c>
      <c r="M75" s="223">
        <f>+[1]Temporaries!D75</f>
        <v>0.24687000000000001</v>
      </c>
      <c r="N75" s="223">
        <f>+[1]Temporaries!W75</f>
        <v>0.24626999999999999</v>
      </c>
      <c r="O75" s="223"/>
      <c r="P75" s="223"/>
      <c r="Q75" s="223"/>
      <c r="R75" s="223"/>
      <c r="S75" s="223"/>
      <c r="T75" s="223"/>
      <c r="U75" s="223">
        <f>[1]Permanents!H75</f>
        <v>0</v>
      </c>
      <c r="V75" s="223">
        <f t="shared" si="20"/>
        <v>0.34531999999999996</v>
      </c>
      <c r="W75" s="223"/>
      <c r="X75" s="223"/>
      <c r="Y75" s="223">
        <f t="shared" si="21"/>
        <v>0</v>
      </c>
      <c r="AA75" s="172"/>
      <c r="AB75" s="243" t="s">
        <v>59</v>
      </c>
      <c r="AC75" s="238">
        <f t="shared" si="22"/>
        <v>9.9049999999999971E-2</v>
      </c>
      <c r="AD75" s="223">
        <f t="shared" si="23"/>
        <v>0</v>
      </c>
      <c r="AE75" s="223">
        <f t="shared" si="24"/>
        <v>0</v>
      </c>
      <c r="AF75" s="223">
        <f t="shared" si="25"/>
        <v>0.24626999999999999</v>
      </c>
      <c r="AG75" s="237">
        <f t="shared" si="26"/>
        <v>0.34531999999999996</v>
      </c>
      <c r="AH75" s="122">
        <f t="shared" si="27"/>
        <v>0</v>
      </c>
      <c r="AI75" s="223">
        <f t="shared" si="28"/>
        <v>9.9049999999999971E-2</v>
      </c>
      <c r="AK75" s="122">
        <f t="shared" si="29"/>
        <v>9.9049999999999971E-2</v>
      </c>
      <c r="AM75" s="230"/>
      <c r="AN75" s="229"/>
      <c r="AO75" s="224"/>
    </row>
    <row r="76" spans="1:41" x14ac:dyDescent="0.35">
      <c r="A76" s="172">
        <f t="shared" si="32"/>
        <v>70</v>
      </c>
      <c r="B76" s="172"/>
      <c r="C76" s="243" t="s">
        <v>60</v>
      </c>
      <c r="D76" s="223">
        <v>0.32511000000000001</v>
      </c>
      <c r="E76" s="223">
        <v>0</v>
      </c>
      <c r="F76" s="223"/>
      <c r="G76" s="223"/>
      <c r="H76" s="223">
        <f t="shared" si="18"/>
        <v>0.32511000000000001</v>
      </c>
      <c r="I76" s="229">
        <v>0</v>
      </c>
      <c r="J76" s="229"/>
      <c r="K76" s="223"/>
      <c r="L76" s="223">
        <f t="shared" si="19"/>
        <v>0.32511000000000001</v>
      </c>
      <c r="M76" s="223">
        <f>+[1]Temporaries!D76</f>
        <v>0.24586</v>
      </c>
      <c r="N76" s="223">
        <f>+[1]Temporaries!W76</f>
        <v>0.24524000000000001</v>
      </c>
      <c r="O76" s="223"/>
      <c r="P76" s="223"/>
      <c r="Q76" s="223"/>
      <c r="R76" s="223"/>
      <c r="S76" s="223"/>
      <c r="T76" s="223"/>
      <c r="U76" s="223">
        <f>[1]Permanents!H76</f>
        <v>0</v>
      </c>
      <c r="V76" s="223">
        <f t="shared" si="20"/>
        <v>0.32449000000000006</v>
      </c>
      <c r="W76" s="223"/>
      <c r="X76" s="223"/>
      <c r="Y76" s="223">
        <f t="shared" si="21"/>
        <v>0</v>
      </c>
      <c r="AA76" s="172"/>
      <c r="AB76" s="243" t="s">
        <v>60</v>
      </c>
      <c r="AC76" s="238">
        <f t="shared" si="22"/>
        <v>7.9250000000000043E-2</v>
      </c>
      <c r="AD76" s="223">
        <f t="shared" si="23"/>
        <v>0</v>
      </c>
      <c r="AE76" s="223">
        <f t="shared" si="24"/>
        <v>0</v>
      </c>
      <c r="AF76" s="223">
        <f t="shared" si="25"/>
        <v>0.24524000000000001</v>
      </c>
      <c r="AG76" s="237">
        <f t="shared" si="26"/>
        <v>0.32449000000000006</v>
      </c>
      <c r="AH76" s="122">
        <f t="shared" si="27"/>
        <v>0</v>
      </c>
      <c r="AI76" s="223">
        <f t="shared" si="28"/>
        <v>7.9250000000000043E-2</v>
      </c>
      <c r="AK76" s="122">
        <f t="shared" si="29"/>
        <v>7.9250000000000043E-2</v>
      </c>
      <c r="AM76" s="230"/>
      <c r="AN76" s="229"/>
      <c r="AO76" s="224"/>
    </row>
    <row r="77" spans="1:41" x14ac:dyDescent="0.35">
      <c r="A77" s="172">
        <f t="shared" si="32"/>
        <v>71</v>
      </c>
      <c r="B77" s="172"/>
      <c r="C77" s="243" t="s">
        <v>61</v>
      </c>
      <c r="D77" s="223">
        <v>0.29735999999999996</v>
      </c>
      <c r="E77" s="223">
        <v>0</v>
      </c>
      <c r="F77" s="223"/>
      <c r="G77" s="223"/>
      <c r="H77" s="223">
        <f t="shared" ref="H77:H80" si="33">+D77-SUM(E77:G77)</f>
        <v>0.29735999999999996</v>
      </c>
      <c r="I77" s="229">
        <v>0</v>
      </c>
      <c r="J77" s="229"/>
      <c r="K77" s="223"/>
      <c r="L77" s="223">
        <f t="shared" ref="L77:L80" si="34">SUM(H77:K77)</f>
        <v>0.29735999999999996</v>
      </c>
      <c r="M77" s="223">
        <f>+[1]Temporaries!D77</f>
        <v>0.24451999999999999</v>
      </c>
      <c r="N77" s="223">
        <f>+[1]Temporaries!W77</f>
        <v>0.24385000000000001</v>
      </c>
      <c r="O77" s="223"/>
      <c r="P77" s="223"/>
      <c r="Q77" s="223"/>
      <c r="R77" s="223"/>
      <c r="S77" s="223"/>
      <c r="T77" s="223"/>
      <c r="U77" s="223">
        <f>[1]Permanents!H77</f>
        <v>0</v>
      </c>
      <c r="V77" s="223">
        <f t="shared" ref="V77:V80" si="35">+L77-M77+N77+U77</f>
        <v>0.29669000000000001</v>
      </c>
      <c r="W77" s="223"/>
      <c r="X77" s="223"/>
      <c r="Y77" s="223">
        <f t="shared" si="21"/>
        <v>0</v>
      </c>
      <c r="AA77" s="172"/>
      <c r="AB77" s="243" t="s">
        <v>61</v>
      </c>
      <c r="AC77" s="238">
        <f t="shared" si="22"/>
        <v>5.2839999999999998E-2</v>
      </c>
      <c r="AD77" s="223">
        <f t="shared" si="23"/>
        <v>0</v>
      </c>
      <c r="AE77" s="223">
        <f t="shared" si="24"/>
        <v>0</v>
      </c>
      <c r="AF77" s="223">
        <f t="shared" si="25"/>
        <v>0.24385000000000001</v>
      </c>
      <c r="AG77" s="237">
        <f t="shared" ref="AG77:AG81" si="36">+SUM(AC77:AF77)</f>
        <v>0.29669000000000001</v>
      </c>
      <c r="AH77" s="122">
        <f t="shared" ref="AH77:AH81" si="37">+AG77-V77</f>
        <v>0</v>
      </c>
      <c r="AI77" s="223">
        <f t="shared" si="28"/>
        <v>5.2839999999999998E-2</v>
      </c>
      <c r="AK77" s="122">
        <f t="shared" si="29"/>
        <v>5.2839999999999998E-2</v>
      </c>
      <c r="AM77" s="230"/>
      <c r="AN77" s="229"/>
      <c r="AO77" s="224"/>
    </row>
    <row r="78" spans="1:41" x14ac:dyDescent="0.35">
      <c r="A78" s="172">
        <f t="shared" si="32"/>
        <v>72</v>
      </c>
      <c r="B78" s="239"/>
      <c r="C78" s="242" t="s">
        <v>62</v>
      </c>
      <c r="D78" s="235">
        <v>0.26266000000000006</v>
      </c>
      <c r="E78" s="235">
        <v>0</v>
      </c>
      <c r="F78" s="235"/>
      <c r="G78" s="235"/>
      <c r="H78" s="235">
        <f t="shared" si="33"/>
        <v>0.26266000000000006</v>
      </c>
      <c r="I78" s="236">
        <v>0</v>
      </c>
      <c r="J78" s="236"/>
      <c r="K78" s="235"/>
      <c r="L78" s="235">
        <f t="shared" si="34"/>
        <v>0.26266000000000006</v>
      </c>
      <c r="M78" s="223">
        <f>+[1]Temporaries!D78</f>
        <v>0.24285000000000001</v>
      </c>
      <c r="N78" s="223">
        <f>+[1]Temporaries!W78</f>
        <v>0.24212</v>
      </c>
      <c r="O78" s="235"/>
      <c r="P78" s="235"/>
      <c r="Q78" s="235"/>
      <c r="R78" s="235"/>
      <c r="S78" s="235"/>
      <c r="T78" s="235"/>
      <c r="U78" s="223">
        <f>[1]Permanents!H78</f>
        <v>0</v>
      </c>
      <c r="V78" s="235">
        <f t="shared" si="35"/>
        <v>0.26193000000000005</v>
      </c>
      <c r="W78" s="223"/>
      <c r="X78" s="223"/>
      <c r="Y78" s="223">
        <f t="shared" si="21"/>
        <v>0</v>
      </c>
      <c r="AA78" s="239"/>
      <c r="AB78" s="242" t="s">
        <v>62</v>
      </c>
      <c r="AC78" s="238">
        <f t="shared" si="22"/>
        <v>1.981000000000005E-2</v>
      </c>
      <c r="AD78" s="223">
        <f t="shared" si="23"/>
        <v>0</v>
      </c>
      <c r="AE78" s="223">
        <f t="shared" si="24"/>
        <v>0</v>
      </c>
      <c r="AF78" s="223">
        <f t="shared" si="25"/>
        <v>0.24212</v>
      </c>
      <c r="AG78" s="237">
        <f t="shared" si="36"/>
        <v>0.26193000000000005</v>
      </c>
      <c r="AH78" s="122">
        <f t="shared" si="37"/>
        <v>0</v>
      </c>
      <c r="AI78" s="223">
        <f t="shared" si="28"/>
        <v>1.981000000000005E-2</v>
      </c>
      <c r="AK78" s="122">
        <f t="shared" si="29"/>
        <v>1.981000000000005E-2</v>
      </c>
      <c r="AM78" s="230"/>
      <c r="AN78" s="229"/>
      <c r="AO78" s="224"/>
    </row>
    <row r="79" spans="1:41" x14ac:dyDescent="0.35">
      <c r="A79" s="172">
        <f t="shared" si="32"/>
        <v>73</v>
      </c>
      <c r="B79" s="239" t="s">
        <v>70</v>
      </c>
      <c r="C79" s="239"/>
      <c r="D79" s="240">
        <v>0.24684999999999996</v>
      </c>
      <c r="E79" s="240">
        <v>0</v>
      </c>
      <c r="F79" s="240"/>
      <c r="G79" s="240"/>
      <c r="H79" s="240">
        <f t="shared" si="33"/>
        <v>0.24684999999999996</v>
      </c>
      <c r="I79" s="241">
        <v>0</v>
      </c>
      <c r="J79" s="241">
        <v>0</v>
      </c>
      <c r="K79" s="240">
        <v>0</v>
      </c>
      <c r="L79" s="240">
        <f t="shared" si="34"/>
        <v>0.24684999999999996</v>
      </c>
      <c r="M79" s="240">
        <f>+[1]Temporaries!D79</f>
        <v>0.24193999999999999</v>
      </c>
      <c r="N79" s="240">
        <f>+[1]Temporaries!W79</f>
        <v>0.24127000000000001</v>
      </c>
      <c r="O79" s="240"/>
      <c r="P79" s="240"/>
      <c r="Q79" s="240"/>
      <c r="R79" s="240"/>
      <c r="S79" s="240"/>
      <c r="T79" s="240"/>
      <c r="U79" s="240">
        <f>[1]Permanents!H79</f>
        <v>0</v>
      </c>
      <c r="V79" s="240">
        <f t="shared" si="35"/>
        <v>0.24617999999999998</v>
      </c>
      <c r="W79" s="223"/>
      <c r="X79" s="223"/>
      <c r="Y79" s="223">
        <f t="shared" si="21"/>
        <v>0</v>
      </c>
      <c r="AA79" s="239" t="s">
        <v>70</v>
      </c>
      <c r="AB79" s="239"/>
      <c r="AC79" s="238">
        <f t="shared" si="22"/>
        <v>4.9099999999999699E-3</v>
      </c>
      <c r="AD79" s="223">
        <f t="shared" si="23"/>
        <v>0</v>
      </c>
      <c r="AE79" s="223">
        <f t="shared" si="24"/>
        <v>0</v>
      </c>
      <c r="AF79" s="223">
        <f t="shared" si="25"/>
        <v>0.24127000000000001</v>
      </c>
      <c r="AG79" s="237">
        <f t="shared" si="36"/>
        <v>0.24617999999999998</v>
      </c>
      <c r="AH79" s="122">
        <f t="shared" si="37"/>
        <v>0</v>
      </c>
      <c r="AI79" s="223">
        <f t="shared" si="28"/>
        <v>4.9099999999999699E-3</v>
      </c>
      <c r="AK79" s="122">
        <f t="shared" si="29"/>
        <v>4.9099999999999699E-3</v>
      </c>
      <c r="AM79" s="230"/>
      <c r="AN79" s="229"/>
      <c r="AO79" s="224"/>
    </row>
    <row r="80" spans="1:41" x14ac:dyDescent="0.35">
      <c r="A80" s="172">
        <f t="shared" si="32"/>
        <v>74</v>
      </c>
      <c r="B80" s="234" t="s">
        <v>71</v>
      </c>
      <c r="C80" s="234"/>
      <c r="D80" s="235">
        <v>0.24684999999999996</v>
      </c>
      <c r="E80" s="235">
        <v>0</v>
      </c>
      <c r="F80" s="235"/>
      <c r="G80" s="235"/>
      <c r="H80" s="235">
        <f t="shared" si="33"/>
        <v>0.24684999999999996</v>
      </c>
      <c r="I80" s="236">
        <v>0</v>
      </c>
      <c r="J80" s="236">
        <v>0</v>
      </c>
      <c r="K80" s="235">
        <v>0</v>
      </c>
      <c r="L80" s="235">
        <f t="shared" si="34"/>
        <v>0.24684999999999996</v>
      </c>
      <c r="M80" s="235">
        <f>+[1]Temporaries!D80</f>
        <v>0.24193999999999999</v>
      </c>
      <c r="N80" s="235">
        <f>+[1]Temporaries!W80</f>
        <v>0.24127000000000001</v>
      </c>
      <c r="O80" s="235"/>
      <c r="P80" s="235"/>
      <c r="Q80" s="235"/>
      <c r="R80" s="235"/>
      <c r="S80" s="235"/>
      <c r="T80" s="235"/>
      <c r="U80" s="235">
        <f>[1]Permanents!H80</f>
        <v>0</v>
      </c>
      <c r="V80" s="235">
        <f t="shared" si="35"/>
        <v>0.24617999999999998</v>
      </c>
      <c r="W80" s="223"/>
      <c r="X80" s="223"/>
      <c r="Y80" s="223">
        <f t="shared" si="21"/>
        <v>0</v>
      </c>
      <c r="AA80" s="234" t="s">
        <v>71</v>
      </c>
      <c r="AB80" s="234"/>
      <c r="AC80" s="238">
        <f t="shared" si="22"/>
        <v>4.9099999999999699E-3</v>
      </c>
      <c r="AD80" s="223">
        <f t="shared" si="23"/>
        <v>0</v>
      </c>
      <c r="AE80" s="223">
        <f t="shared" si="24"/>
        <v>0</v>
      </c>
      <c r="AF80" s="223">
        <f t="shared" si="25"/>
        <v>0.24127000000000001</v>
      </c>
      <c r="AG80" s="237">
        <f t="shared" si="36"/>
        <v>0.24617999999999998</v>
      </c>
      <c r="AH80" s="122">
        <f t="shared" si="37"/>
        <v>0</v>
      </c>
      <c r="AI80" s="223">
        <f t="shared" si="28"/>
        <v>4.9099999999999699E-3</v>
      </c>
      <c r="AK80" s="122">
        <f t="shared" si="29"/>
        <v>4.9099999999999699E-3</v>
      </c>
      <c r="AM80" s="230"/>
      <c r="AN80" s="229"/>
      <c r="AO80" s="224"/>
    </row>
    <row r="81" spans="1:41" ht="15" thickBot="1" x14ac:dyDescent="0.4">
      <c r="A81" s="172">
        <f t="shared" si="32"/>
        <v>75</v>
      </c>
      <c r="B81" s="234" t="s">
        <v>72</v>
      </c>
      <c r="C81" s="234"/>
      <c r="D81" s="235"/>
      <c r="E81" s="235"/>
      <c r="F81" s="235"/>
      <c r="G81" s="235"/>
      <c r="H81" s="235"/>
      <c r="I81" s="236"/>
      <c r="J81" s="236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23"/>
      <c r="X81" s="223"/>
      <c r="Y81" s="223">
        <f t="shared" si="21"/>
        <v>0</v>
      </c>
      <c r="AA81" s="234">
        <v>54</v>
      </c>
      <c r="AB81" s="234"/>
      <c r="AC81" s="233">
        <f t="shared" si="22"/>
        <v>0</v>
      </c>
      <c r="AD81" s="232">
        <f t="shared" si="23"/>
        <v>0</v>
      </c>
      <c r="AE81" s="232">
        <f t="shared" si="24"/>
        <v>0</v>
      </c>
      <c r="AF81" s="232">
        <f t="shared" si="25"/>
        <v>0</v>
      </c>
      <c r="AG81" s="231">
        <f t="shared" si="36"/>
        <v>0</v>
      </c>
      <c r="AH81" s="122">
        <f t="shared" si="37"/>
        <v>0</v>
      </c>
      <c r="AI81" s="223">
        <f t="shared" si="28"/>
        <v>0</v>
      </c>
      <c r="AK81" s="122">
        <f t="shared" si="29"/>
        <v>0</v>
      </c>
      <c r="AM81" s="230"/>
      <c r="AN81" s="229"/>
      <c r="AO81" s="224"/>
    </row>
    <row r="82" spans="1:41" x14ac:dyDescent="0.35">
      <c r="A82" s="172">
        <f t="shared" si="32"/>
        <v>76</v>
      </c>
      <c r="X82" s="223"/>
      <c r="AG82" s="6"/>
      <c r="AH82" s="122"/>
      <c r="AM82" s="225"/>
      <c r="AO82" s="224"/>
    </row>
    <row r="83" spans="1:41" ht="15" thickBot="1" x14ac:dyDescent="0.4">
      <c r="A83" s="172">
        <f t="shared" si="32"/>
        <v>77</v>
      </c>
      <c r="B83" s="228" t="s">
        <v>76</v>
      </c>
      <c r="X83" s="223"/>
      <c r="AG83" s="6"/>
      <c r="AH83" s="122"/>
      <c r="AM83" s="225"/>
      <c r="AO83" s="224"/>
    </row>
    <row r="84" spans="1:41" ht="15" thickBot="1" x14ac:dyDescent="0.4">
      <c r="A84" s="172">
        <f t="shared" si="32"/>
        <v>78</v>
      </c>
      <c r="B84" s="227" t="s">
        <v>77</v>
      </c>
      <c r="C84" s="13"/>
      <c r="D84" s="20" t="s">
        <v>86</v>
      </c>
      <c r="E84" s="20" t="str">
        <f>D84</f>
        <v>2022-23 PGA</v>
      </c>
      <c r="F84" s="20" t="str">
        <f>+E84</f>
        <v>2022-23 PGA</v>
      </c>
      <c r="G84" s="20" t="str">
        <f>+F84</f>
        <v>2022-23 PGA</v>
      </c>
      <c r="H84" s="13"/>
      <c r="I84" s="20" t="s">
        <v>117</v>
      </c>
      <c r="J84" s="20" t="s">
        <v>117</v>
      </c>
      <c r="K84" s="20" t="s">
        <v>117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X84" s="223"/>
      <c r="AG84" s="6"/>
      <c r="AH84" s="122"/>
      <c r="AM84" s="225"/>
      <c r="AO84" s="224"/>
    </row>
    <row r="85" spans="1:41" ht="15" thickBot="1" x14ac:dyDescent="0.4">
      <c r="A85" s="172">
        <f t="shared" si="32"/>
        <v>79</v>
      </c>
      <c r="B85" s="226"/>
      <c r="X85" s="223"/>
      <c r="AG85" s="6"/>
      <c r="AH85" s="122"/>
      <c r="AM85" s="225"/>
      <c r="AO85" s="224"/>
    </row>
    <row r="86" spans="1:41" ht="15" thickBot="1" x14ac:dyDescent="0.4">
      <c r="A86" s="172">
        <f t="shared" si="32"/>
        <v>80</v>
      </c>
      <c r="B86" s="227" t="s">
        <v>118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20" t="s">
        <v>80</v>
      </c>
      <c r="N86" s="20" t="s">
        <v>119</v>
      </c>
      <c r="O86" s="20"/>
      <c r="P86" s="20"/>
      <c r="Q86" s="20"/>
      <c r="R86" s="20"/>
      <c r="S86" s="20"/>
      <c r="T86" s="20"/>
      <c r="U86" s="13"/>
      <c r="V86" s="13"/>
      <c r="X86" s="223"/>
      <c r="AG86" s="6"/>
      <c r="AH86" s="122"/>
      <c r="AM86" s="225"/>
      <c r="AO86" s="224"/>
    </row>
    <row r="87" spans="1:41" ht="15" thickBot="1" x14ac:dyDescent="0.4">
      <c r="A87" s="172">
        <f t="shared" si="32"/>
        <v>81</v>
      </c>
      <c r="B87" s="227" t="s">
        <v>120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20"/>
      <c r="N87" s="20"/>
      <c r="O87" s="20"/>
      <c r="P87" s="20"/>
      <c r="Q87" s="20"/>
      <c r="R87" s="20"/>
      <c r="S87" s="20"/>
      <c r="T87" s="20"/>
      <c r="U87" s="20" t="s">
        <v>121</v>
      </c>
      <c r="V87" s="13"/>
      <c r="X87" s="223"/>
      <c r="AG87" s="6"/>
      <c r="AH87" s="122"/>
      <c r="AM87" s="225"/>
      <c r="AO87" s="224"/>
    </row>
    <row r="88" spans="1:41" ht="15" thickBot="1" x14ac:dyDescent="0.4">
      <c r="A88" s="172">
        <f t="shared" si="32"/>
        <v>82</v>
      </c>
      <c r="B88" s="227" t="s">
        <v>122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0"/>
      <c r="V88" s="13"/>
      <c r="X88" s="223"/>
      <c r="AG88" s="6"/>
      <c r="AH88" s="122"/>
      <c r="AM88" s="225"/>
      <c r="AO88" s="224"/>
    </row>
    <row r="89" spans="1:41" x14ac:dyDescent="0.35">
      <c r="A89" s="172">
        <f t="shared" si="32"/>
        <v>83</v>
      </c>
      <c r="B89" s="226" t="s">
        <v>123</v>
      </c>
      <c r="X89" s="223"/>
      <c r="AG89" s="6"/>
      <c r="AH89" s="122"/>
      <c r="AM89" s="225"/>
      <c r="AO89" s="224"/>
    </row>
    <row r="90" spans="1:41" x14ac:dyDescent="0.35">
      <c r="A90" s="172"/>
      <c r="B90" s="226"/>
      <c r="X90" s="223"/>
      <c r="AG90" s="6"/>
      <c r="AH90" s="122"/>
      <c r="AM90" s="225"/>
      <c r="AO90" s="224"/>
    </row>
    <row r="91" spans="1:41" x14ac:dyDescent="0.35">
      <c r="B91" s="226"/>
      <c r="AG91" s="6"/>
      <c r="AH91" s="122"/>
      <c r="AM91" s="225"/>
      <c r="AO91" s="224"/>
    </row>
    <row r="92" spans="1:41" x14ac:dyDescent="0.35">
      <c r="AG92" s="6"/>
      <c r="AH92" s="122"/>
      <c r="AM92" s="225"/>
      <c r="AO92" s="224"/>
    </row>
    <row r="93" spans="1:41" x14ac:dyDescent="0.35">
      <c r="AG93" s="6"/>
      <c r="AH93" s="122"/>
    </row>
    <row r="94" spans="1:41" x14ac:dyDescent="0.35">
      <c r="AG94" s="6"/>
      <c r="AH94" s="122"/>
    </row>
    <row r="95" spans="1:41" x14ac:dyDescent="0.35">
      <c r="AG95" s="6"/>
      <c r="AH95" s="122"/>
    </row>
    <row r="96" spans="1:41" x14ac:dyDescent="0.35">
      <c r="AG96" s="6"/>
    </row>
    <row r="97" spans="33:33" x14ac:dyDescent="0.35">
      <c r="AG97" s="6"/>
    </row>
    <row r="98" spans="33:33" x14ac:dyDescent="0.35">
      <c r="AG98" s="6"/>
    </row>
    <row r="99" spans="33:33" x14ac:dyDescent="0.35">
      <c r="AG99" s="6"/>
    </row>
  </sheetData>
  <pageMargins left="0.7" right="0.7" top="0.75" bottom="0.75" header="0.3" footer="0.3"/>
  <pageSetup scale="34" orientation="portrait" r:id="rId1"/>
  <headerFooter alignWithMargins="0">
    <oddHeader>&amp;RUG-250717 - NWN WUTC Advice No. 25-08A
Exhibit B - Supporting Materials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BD27-B163-4D8A-9ECB-377BF2D399F9}">
  <sheetPr>
    <tabColor theme="0" tint="-0.14999847407452621"/>
    <pageSetUpPr fitToPage="1"/>
  </sheetPr>
  <dimension ref="A1:Q93"/>
  <sheetViews>
    <sheetView tabSelected="1" view="pageLayout" zoomScaleNormal="100" workbookViewId="0">
      <selection activeCell="F46" sqref="F46"/>
    </sheetView>
  </sheetViews>
  <sheetFormatPr defaultColWidth="8.453125" defaultRowHeight="12.5" x14ac:dyDescent="0.25"/>
  <cols>
    <col min="1" max="1" width="7.1796875" style="262" customWidth="1"/>
    <col min="2" max="5" width="13.453125" style="262" customWidth="1"/>
    <col min="6" max="6" width="16.54296875" style="262" customWidth="1"/>
    <col min="7" max="7" width="2.1796875" style="262" customWidth="1"/>
    <col min="8" max="8" width="44.1796875" style="262" hidden="1" customWidth="1"/>
    <col min="9" max="12" width="15.26953125" style="262" hidden="1" customWidth="1"/>
    <col min="13" max="13" width="46.54296875" style="262" hidden="1" customWidth="1"/>
    <col min="14" max="16" width="19.81640625" style="262" hidden="1" customWidth="1"/>
    <col min="17" max="17" width="13.453125" style="262" hidden="1" customWidth="1"/>
    <col min="18" max="23" width="13.453125" style="262" customWidth="1"/>
    <col min="24" max="16384" width="8.453125" style="262"/>
  </cols>
  <sheetData>
    <row r="1" spans="1:17" ht="14" x14ac:dyDescent="0.3">
      <c r="A1" s="261" t="s">
        <v>81</v>
      </c>
    </row>
    <row r="2" spans="1:17" ht="14" x14ac:dyDescent="0.3">
      <c r="A2" s="261" t="s">
        <v>82</v>
      </c>
      <c r="L2" s="263" t="s">
        <v>218</v>
      </c>
      <c r="N2" s="264" t="s">
        <v>219</v>
      </c>
      <c r="O2" s="265" t="s">
        <v>220</v>
      </c>
    </row>
    <row r="3" spans="1:17" ht="14" x14ac:dyDescent="0.3">
      <c r="A3" s="261" t="s">
        <v>221</v>
      </c>
      <c r="N3" s="266" t="s">
        <v>222</v>
      </c>
      <c r="O3" s="266" t="s">
        <v>223</v>
      </c>
      <c r="P3" s="266" t="s">
        <v>224</v>
      </c>
    </row>
    <row r="4" spans="1:17" ht="14" x14ac:dyDescent="0.3">
      <c r="A4" s="261" t="s">
        <v>124</v>
      </c>
      <c r="L4" s="262" t="str">
        <f>'[5]25-02 ECRM'!A4</f>
        <v>Tariff Advice 25-02: Schedule 303 Environmental Cost Recover Mechanism (ECRM)</v>
      </c>
      <c r="N4" s="267">
        <f>'[5]25-02 ECRM'!F12</f>
        <v>-712922</v>
      </c>
      <c r="O4" s="267">
        <f>'[5]25-02 ECRM'!F15</f>
        <v>750232</v>
      </c>
      <c r="P4" s="268">
        <f t="shared" ref="P4:P6" si="0">SUM(N4:O4)</f>
        <v>37310</v>
      </c>
      <c r="Q4" s="262" t="b">
        <f>P4='[5]25-02 ECRM'!F18</f>
        <v>1</v>
      </c>
    </row>
    <row r="5" spans="1:17" x14ac:dyDescent="0.25">
      <c r="L5" s="262" t="str">
        <f>'[5]25-04 R&amp;C Eng. Effic.'!A4</f>
        <v>Tariff Advice 25-04: Schedule 215 Effects on Revenue</v>
      </c>
      <c r="N5" s="267">
        <f>'[5]25-04 R&amp;C Eng. Effic.'!F12</f>
        <v>-5308861</v>
      </c>
      <c r="O5" s="267">
        <f>'[5]25-04 R&amp;C Eng. Effic.'!F15</f>
        <v>5425850</v>
      </c>
      <c r="P5" s="268">
        <f t="shared" si="0"/>
        <v>116989</v>
      </c>
      <c r="Q5" s="262" t="b">
        <f>P5='[5]25-04 R&amp;C Eng. Effic.'!F18</f>
        <v>1</v>
      </c>
    </row>
    <row r="6" spans="1:17" x14ac:dyDescent="0.25">
      <c r="L6" s="262" t="str">
        <f>'[5]25-05 GREAT &amp; WA-LIEE'!A4</f>
        <v>Tariff Advice 25-05: Schedule 230 Effects on Revenue</v>
      </c>
      <c r="N6" s="267">
        <f>'[5]25-05 GREAT &amp; WA-LIEE'!F12</f>
        <v>-982815</v>
      </c>
      <c r="O6" s="267">
        <f>'[5]25-05 GREAT &amp; WA-LIEE'!F15</f>
        <v>903805</v>
      </c>
      <c r="P6" s="268">
        <f t="shared" si="0"/>
        <v>-79010</v>
      </c>
      <c r="Q6" s="269" t="b">
        <f>P6='[5]25-05 GREAT &amp; WA-LIEE'!F18</f>
        <v>1</v>
      </c>
    </row>
    <row r="7" spans="1:17" x14ac:dyDescent="0.25">
      <c r="A7" s="270">
        <v>1</v>
      </c>
      <c r="F7" s="266" t="s">
        <v>125</v>
      </c>
      <c r="H7" s="266" t="s">
        <v>225</v>
      </c>
      <c r="I7" s="266" t="s">
        <v>226</v>
      </c>
      <c r="J7" s="266" t="s">
        <v>224</v>
      </c>
      <c r="L7" s="262" t="str">
        <f>'[5]25-06 Residual'!A4</f>
        <v>Tariff Advice 25-06: Residual</v>
      </c>
      <c r="N7" s="268">
        <f>'[5]25-06 Residual'!F12</f>
        <v>-67591</v>
      </c>
      <c r="O7" s="268">
        <f>'[5]25-06 Residual'!F15</f>
        <v>19184</v>
      </c>
      <c r="P7" s="268">
        <f>SUM(N7:O7)</f>
        <v>-48407</v>
      </c>
      <c r="Q7" s="262" t="b">
        <f>P7='[5]25-06 Residual'!F18</f>
        <v>1</v>
      </c>
    </row>
    <row r="8" spans="1:17" x14ac:dyDescent="0.25">
      <c r="A8" s="270">
        <f>+A7+1</f>
        <v>2</v>
      </c>
      <c r="B8" s="271" t="s">
        <v>126</v>
      </c>
      <c r="L8" s="262" t="str">
        <f>'[5]25-07 Mist Recall'!A4</f>
        <v>Tariff Advice 25-07: Mist Recall</v>
      </c>
      <c r="N8" s="268">
        <f>'[5]25-07 Mist Recall'!F12</f>
        <v>0</v>
      </c>
      <c r="O8" s="268">
        <f>'[5]25-07 Mist Recall'!F15</f>
        <v>9408.9997971102639</v>
      </c>
      <c r="P8" s="268">
        <f t="shared" ref="P8:P9" si="1">SUM(N8:O8)</f>
        <v>9408.9997971102639</v>
      </c>
      <c r="Q8" s="262" t="b">
        <f>P8='[5]25-07 Mist Recall'!F18</f>
        <v>1</v>
      </c>
    </row>
    <row r="9" spans="1:17" x14ac:dyDescent="0.25">
      <c r="A9" s="270">
        <f>+A8+1</f>
        <v>3</v>
      </c>
      <c r="H9" s="272"/>
      <c r="L9" s="262" t="str">
        <f>'[5]25-08 PGA'!A4</f>
        <v>Tariff Advice 25-08: PGA Effects on Revenue</v>
      </c>
      <c r="N9" s="268">
        <f>'[5]25-08 PGA'!F20</f>
        <v>11563573</v>
      </c>
      <c r="O9" s="268">
        <f>'[5]25-08 PGA'!F18</f>
        <v>-15655265</v>
      </c>
      <c r="P9" s="268">
        <f t="shared" si="1"/>
        <v>-4091692</v>
      </c>
      <c r="Q9" s="262" t="b">
        <f>P9='[5]25-08 PGA'!F22</f>
        <v>1</v>
      </c>
    </row>
    <row r="10" spans="1:17" ht="13" thickBot="1" x14ac:dyDescent="0.3">
      <c r="A10" s="270">
        <f t="shared" ref="A10:A26" si="2">+A9+1</f>
        <v>4</v>
      </c>
      <c r="B10" s="262" t="s">
        <v>127</v>
      </c>
      <c r="F10" s="269">
        <f>'[6]Comparison to current WA'!$E$19</f>
        <v>-2424539</v>
      </c>
      <c r="H10" s="272" t="s">
        <v>227</v>
      </c>
      <c r="I10" s="269"/>
      <c r="J10" s="269">
        <f>+F10-I10</f>
        <v>-2424539</v>
      </c>
      <c r="L10" s="263" t="s">
        <v>228</v>
      </c>
      <c r="N10" s="273">
        <f>SUM(N4:N9)</f>
        <v>4491384</v>
      </c>
      <c r="O10" s="273">
        <f>SUM(O4:O9)</f>
        <v>-8546785.0002028905</v>
      </c>
      <c r="P10" s="273">
        <f>SUM(P4:P9)</f>
        <v>-4055401.0002028896</v>
      </c>
    </row>
    <row r="11" spans="1:17" ht="13" thickTop="1" x14ac:dyDescent="0.25">
      <c r="A11" s="270">
        <f t="shared" si="2"/>
        <v>5</v>
      </c>
      <c r="F11" s="274"/>
      <c r="H11" s="272"/>
      <c r="I11" s="274"/>
      <c r="J11" s="274"/>
      <c r="L11" s="262" t="s">
        <v>229</v>
      </c>
      <c r="N11" s="275"/>
      <c r="O11" s="275"/>
      <c r="P11" s="275">
        <f>F14</f>
        <v>-2668053</v>
      </c>
    </row>
    <row r="12" spans="1:17" x14ac:dyDescent="0.25">
      <c r="A12" s="270">
        <f t="shared" si="2"/>
        <v>6</v>
      </c>
      <c r="B12" s="262" t="s">
        <v>128</v>
      </c>
      <c r="F12" s="276">
        <f>'[6]Comparison to current WA'!$E$24</f>
        <v>-243514</v>
      </c>
      <c r="H12" s="272" t="str">
        <f>H10</f>
        <v>NWN 2025-26 PGA gas cost development file September filing_WA.xls</v>
      </c>
      <c r="I12" s="276"/>
      <c r="J12" s="276">
        <f>+F12-I12</f>
        <v>-243514</v>
      </c>
      <c r="L12" s="263"/>
      <c r="N12" s="275"/>
      <c r="O12" s="275"/>
      <c r="P12" s="275">
        <f>P10+P11</f>
        <v>-6723454.0002028896</v>
      </c>
    </row>
    <row r="13" spans="1:17" x14ac:dyDescent="0.25">
      <c r="A13" s="270">
        <f t="shared" si="2"/>
        <v>7</v>
      </c>
      <c r="F13" s="274"/>
      <c r="H13" s="272"/>
      <c r="I13" s="274"/>
      <c r="J13" s="274"/>
      <c r="N13" s="274" t="b">
        <f>N10=(F20+F28)</f>
        <v>1</v>
      </c>
      <c r="O13" s="277" t="b">
        <f>O10=(F18+F26)</f>
        <v>1</v>
      </c>
      <c r="P13" s="262" t="b">
        <f>P12=F32</f>
        <v>1</v>
      </c>
    </row>
    <row r="14" spans="1:17" x14ac:dyDescent="0.25">
      <c r="A14" s="270">
        <f t="shared" si="2"/>
        <v>8</v>
      </c>
      <c r="B14" s="278" t="s">
        <v>129</v>
      </c>
      <c r="F14" s="276">
        <f>SUM(F10:F12)</f>
        <v>-2668053</v>
      </c>
      <c r="H14" s="279"/>
      <c r="I14" s="276">
        <v>-88914</v>
      </c>
      <c r="J14" s="276">
        <f>+F14-I14</f>
        <v>-2579139</v>
      </c>
      <c r="P14" s="269">
        <f>P12-F32</f>
        <v>0</v>
      </c>
    </row>
    <row r="15" spans="1:17" x14ac:dyDescent="0.25">
      <c r="A15" s="270">
        <f t="shared" si="2"/>
        <v>9</v>
      </c>
      <c r="F15" s="274"/>
      <c r="H15" s="272"/>
      <c r="I15" s="274"/>
      <c r="J15" s="274"/>
      <c r="L15" s="263"/>
      <c r="N15" s="280"/>
      <c r="O15" s="280"/>
      <c r="P15" s="280"/>
    </row>
    <row r="16" spans="1:17" x14ac:dyDescent="0.25">
      <c r="A16" s="270">
        <f t="shared" si="2"/>
        <v>10</v>
      </c>
      <c r="B16" s="271" t="s">
        <v>130</v>
      </c>
      <c r="F16" s="274"/>
      <c r="H16" s="272"/>
      <c r="I16" s="274"/>
      <c r="J16" s="274"/>
      <c r="L16" s="263"/>
      <c r="N16" s="267"/>
      <c r="O16" s="267"/>
      <c r="P16" s="267"/>
    </row>
    <row r="17" spans="1:12" x14ac:dyDescent="0.25">
      <c r="A17" s="270">
        <f t="shared" si="2"/>
        <v>11</v>
      </c>
      <c r="F17" s="274"/>
      <c r="H17" s="272"/>
      <c r="I17" s="274"/>
      <c r="J17" s="274"/>
      <c r="L17" s="274"/>
    </row>
    <row r="18" spans="1:12" x14ac:dyDescent="0.25">
      <c r="A18" s="270">
        <f t="shared" si="2"/>
        <v>12</v>
      </c>
      <c r="B18" s="262" t="s">
        <v>131</v>
      </c>
      <c r="F18" s="281">
        <f>'[5]25-02 ECRM'!F15+'[5]25-04 R&amp;C Eng. Effic.'!F15+'[5]25-05 GREAT &amp; WA-LIEE'!F15+'[5]25-06 Residual'!F15+'[5]25-08 PGA'!F18</f>
        <v>-8556194</v>
      </c>
      <c r="H18" s="272" t="s">
        <v>230</v>
      </c>
      <c r="I18" s="274"/>
      <c r="J18" s="274">
        <f>+F18-I18</f>
        <v>-8556194</v>
      </c>
      <c r="K18" s="262" t="b">
        <f>F18=O4+O5+O6+O7+O9</f>
        <v>1</v>
      </c>
      <c r="L18" s="274"/>
    </row>
    <row r="19" spans="1:12" x14ac:dyDescent="0.25">
      <c r="A19" s="270">
        <f t="shared" si="2"/>
        <v>13</v>
      </c>
      <c r="F19" s="274"/>
      <c r="H19" s="272"/>
      <c r="I19" s="274"/>
      <c r="J19" s="274"/>
      <c r="L19" s="274"/>
    </row>
    <row r="20" spans="1:12" x14ac:dyDescent="0.25">
      <c r="A20" s="270">
        <f t="shared" si="2"/>
        <v>14</v>
      </c>
      <c r="B20" s="262" t="s">
        <v>132</v>
      </c>
      <c r="F20" s="276">
        <f>'[5]25-02 ECRM'!F12+'[5]25-04 R&amp;C Eng. Effic.'!F12+'[5]25-05 GREAT &amp; WA-LIEE'!F12+'[5]25-06 Residual'!F12+'[5]25-07 Mist Recall'!F12+'[5]25-08 PGA'!F20</f>
        <v>4491384</v>
      </c>
      <c r="H20" s="272" t="s">
        <v>231</v>
      </c>
      <c r="I20" s="276"/>
      <c r="J20" s="276">
        <f>+F20-I20</f>
        <v>4491384</v>
      </c>
      <c r="K20" s="262" t="b">
        <f>F20=N4+N5+N6+N7+N9</f>
        <v>1</v>
      </c>
    </row>
    <row r="21" spans="1:12" x14ac:dyDescent="0.25">
      <c r="A21" s="270">
        <f t="shared" si="2"/>
        <v>15</v>
      </c>
      <c r="F21" s="274"/>
      <c r="I21" s="274"/>
      <c r="J21" s="274"/>
    </row>
    <row r="22" spans="1:12" x14ac:dyDescent="0.25">
      <c r="A22" s="270">
        <f t="shared" si="2"/>
        <v>16</v>
      </c>
      <c r="B22" s="278" t="s">
        <v>133</v>
      </c>
      <c r="F22" s="276">
        <f>+F18+F20</f>
        <v>-4064810</v>
      </c>
      <c r="H22" s="282"/>
      <c r="I22" s="276">
        <v>-6564812</v>
      </c>
      <c r="J22" s="276">
        <f>+F22-I22</f>
        <v>2500002</v>
      </c>
    </row>
    <row r="23" spans="1:12" x14ac:dyDescent="0.25">
      <c r="A23" s="270">
        <f t="shared" si="2"/>
        <v>17</v>
      </c>
      <c r="B23" s="278"/>
      <c r="F23" s="274"/>
      <c r="H23" s="283"/>
      <c r="I23" s="274"/>
      <c r="J23" s="274"/>
    </row>
    <row r="24" spans="1:12" x14ac:dyDescent="0.25">
      <c r="A24" s="270">
        <f t="shared" si="2"/>
        <v>18</v>
      </c>
      <c r="B24" s="271" t="s">
        <v>134</v>
      </c>
      <c r="F24" s="274"/>
      <c r="H24" s="282"/>
      <c r="I24" s="274"/>
      <c r="J24" s="274"/>
    </row>
    <row r="25" spans="1:12" x14ac:dyDescent="0.25">
      <c r="A25" s="270">
        <f t="shared" si="2"/>
        <v>19</v>
      </c>
      <c r="B25" s="271"/>
      <c r="F25" s="274"/>
      <c r="H25" s="282"/>
      <c r="I25" s="274"/>
      <c r="J25" s="274"/>
    </row>
    <row r="26" spans="1:12" x14ac:dyDescent="0.25">
      <c r="A26" s="270">
        <f t="shared" si="2"/>
        <v>20</v>
      </c>
      <c r="B26" s="262" t="s">
        <v>135</v>
      </c>
      <c r="F26" s="281">
        <f>'[5]25-07 Mist Recall'!F15</f>
        <v>9408.9997971102639</v>
      </c>
      <c r="H26" s="272" t="str">
        <f>H18</f>
        <v>NWN 2025-26 PGA WA Rate Development September Filing.xlsx</v>
      </c>
      <c r="I26" s="274"/>
      <c r="J26" s="274"/>
      <c r="K26" s="262" t="b">
        <f>F26=O8</f>
        <v>1</v>
      </c>
    </row>
    <row r="27" spans="1:12" x14ac:dyDescent="0.25">
      <c r="A27" s="270">
        <f>+A26+1</f>
        <v>21</v>
      </c>
      <c r="F27" s="274"/>
      <c r="H27" s="272"/>
      <c r="I27" s="274"/>
      <c r="J27" s="274"/>
    </row>
    <row r="28" spans="1:12" x14ac:dyDescent="0.25">
      <c r="A28" s="270">
        <f t="shared" ref="A28:A38" si="3">+A27+1</f>
        <v>22</v>
      </c>
      <c r="B28" s="262" t="s">
        <v>136</v>
      </c>
      <c r="F28" s="276">
        <f>'[5]25-07 Mist Recall'!F12</f>
        <v>0</v>
      </c>
      <c r="H28" s="272" t="s">
        <v>43</v>
      </c>
      <c r="I28" s="274"/>
      <c r="J28" s="274"/>
      <c r="K28" s="262" t="b">
        <f>F28=N8</f>
        <v>1</v>
      </c>
    </row>
    <row r="29" spans="1:12" x14ac:dyDescent="0.25">
      <c r="A29" s="270">
        <f t="shared" si="3"/>
        <v>23</v>
      </c>
      <c r="F29" s="274"/>
      <c r="I29" s="274"/>
      <c r="J29" s="274"/>
    </row>
    <row r="30" spans="1:12" x14ac:dyDescent="0.25">
      <c r="A30" s="270">
        <f t="shared" si="3"/>
        <v>24</v>
      </c>
      <c r="B30" s="278" t="s">
        <v>137</v>
      </c>
      <c r="F30" s="276">
        <f>+F26+F28</f>
        <v>9408.9997971102639</v>
      </c>
      <c r="I30" s="274"/>
      <c r="J30" s="274"/>
    </row>
    <row r="31" spans="1:12" x14ac:dyDescent="0.25">
      <c r="A31" s="270">
        <f t="shared" si="3"/>
        <v>25</v>
      </c>
      <c r="F31" s="274"/>
      <c r="I31" s="274"/>
      <c r="J31" s="274"/>
    </row>
    <row r="32" spans="1:12" ht="13" thickBot="1" x14ac:dyDescent="0.3">
      <c r="A32" s="270">
        <f t="shared" si="3"/>
        <v>26</v>
      </c>
      <c r="B32" s="263" t="s">
        <v>138</v>
      </c>
      <c r="F32" s="284">
        <f>+F22+F14+F30</f>
        <v>-6723454.0002028896</v>
      </c>
      <c r="I32" s="284">
        <v>-6653726</v>
      </c>
      <c r="J32" s="284">
        <f>+F32-I32</f>
        <v>-69728.000202889554</v>
      </c>
    </row>
    <row r="33" spans="1:10" ht="13" thickTop="1" x14ac:dyDescent="0.25">
      <c r="A33" s="270">
        <f t="shared" si="3"/>
        <v>27</v>
      </c>
      <c r="F33" s="274"/>
      <c r="I33" s="274"/>
      <c r="J33" s="274"/>
    </row>
    <row r="34" spans="1:10" x14ac:dyDescent="0.25">
      <c r="A34" s="270">
        <f t="shared" si="3"/>
        <v>28</v>
      </c>
      <c r="F34" s="274"/>
      <c r="I34" s="274"/>
      <c r="J34" s="274"/>
    </row>
    <row r="35" spans="1:10" x14ac:dyDescent="0.25">
      <c r="A35" s="270">
        <f t="shared" si="3"/>
        <v>29</v>
      </c>
      <c r="F35" s="274"/>
      <c r="I35" s="274"/>
      <c r="J35" s="274"/>
    </row>
    <row r="36" spans="1:10" x14ac:dyDescent="0.25">
      <c r="A36" s="270">
        <f t="shared" si="3"/>
        <v>30</v>
      </c>
      <c r="B36" s="285" t="s">
        <v>139</v>
      </c>
      <c r="C36" s="286"/>
      <c r="D36" s="286"/>
      <c r="F36" s="287">
        <f>'[7]Page 1'!$E$13</f>
        <v>109949934.64991099</v>
      </c>
      <c r="I36" s="288"/>
      <c r="J36" s="288">
        <f>+F36-I36</f>
        <v>109949934.64991099</v>
      </c>
    </row>
    <row r="37" spans="1:10" x14ac:dyDescent="0.25">
      <c r="A37" s="270">
        <f t="shared" si="3"/>
        <v>31</v>
      </c>
      <c r="B37" s="263"/>
      <c r="F37" s="275"/>
      <c r="I37" s="275"/>
      <c r="J37" s="275"/>
    </row>
    <row r="38" spans="1:10" x14ac:dyDescent="0.25">
      <c r="A38" s="270">
        <f t="shared" si="3"/>
        <v>32</v>
      </c>
      <c r="B38" s="263" t="s">
        <v>140</v>
      </c>
      <c r="F38" s="289">
        <f>ROUND(F32/F36,4)</f>
        <v>-6.1199999999999997E-2</v>
      </c>
      <c r="I38" s="290">
        <v>-6.9699999999999998E-2</v>
      </c>
      <c r="J38" s="290">
        <f>+F38-I38</f>
        <v>8.5000000000000006E-3</v>
      </c>
    </row>
    <row r="39" spans="1:10" x14ac:dyDescent="0.25">
      <c r="A39" s="270"/>
      <c r="F39" s="275"/>
    </row>
    <row r="40" spans="1:10" x14ac:dyDescent="0.25">
      <c r="A40" s="270"/>
      <c r="F40" s="274"/>
    </row>
    <row r="41" spans="1:10" x14ac:dyDescent="0.25">
      <c r="A41" s="270"/>
      <c r="F41" s="274"/>
    </row>
    <row r="42" spans="1:10" x14ac:dyDescent="0.25">
      <c r="A42" s="270"/>
      <c r="F42" s="269"/>
    </row>
    <row r="43" spans="1:10" x14ac:dyDescent="0.25">
      <c r="A43" s="270"/>
    </row>
    <row r="44" spans="1:10" x14ac:dyDescent="0.25">
      <c r="A44" s="270"/>
    </row>
    <row r="45" spans="1:10" x14ac:dyDescent="0.25">
      <c r="A45" s="270"/>
    </row>
    <row r="46" spans="1:10" x14ac:dyDescent="0.25">
      <c r="A46" s="270"/>
    </row>
    <row r="47" spans="1:10" x14ac:dyDescent="0.25">
      <c r="A47" s="270"/>
    </row>
    <row r="48" spans="1:10" x14ac:dyDescent="0.25">
      <c r="A48" s="270"/>
    </row>
    <row r="49" spans="1:5" x14ac:dyDescent="0.25">
      <c r="A49" s="270"/>
    </row>
    <row r="50" spans="1:5" x14ac:dyDescent="0.25">
      <c r="A50" s="270"/>
    </row>
    <row r="51" spans="1:5" x14ac:dyDescent="0.25">
      <c r="A51" s="270"/>
    </row>
    <row r="52" spans="1:5" x14ac:dyDescent="0.25">
      <c r="A52" s="270"/>
    </row>
    <row r="53" spans="1:5" x14ac:dyDescent="0.25">
      <c r="A53" s="270"/>
    </row>
    <row r="54" spans="1:5" x14ac:dyDescent="0.25">
      <c r="A54" s="270"/>
      <c r="E54" s="274"/>
    </row>
    <row r="55" spans="1:5" x14ac:dyDescent="0.25">
      <c r="A55" s="270"/>
      <c r="E55" s="274"/>
    </row>
    <row r="56" spans="1:5" x14ac:dyDescent="0.25">
      <c r="A56" s="270"/>
      <c r="E56" s="274"/>
    </row>
    <row r="57" spans="1:5" x14ac:dyDescent="0.25">
      <c r="A57" s="270"/>
    </row>
    <row r="58" spans="1:5" x14ac:dyDescent="0.25">
      <c r="A58" s="270"/>
    </row>
    <row r="59" spans="1:5" x14ac:dyDescent="0.25">
      <c r="A59" s="270"/>
    </row>
    <row r="60" spans="1:5" x14ac:dyDescent="0.25">
      <c r="A60" s="270"/>
    </row>
    <row r="61" spans="1:5" x14ac:dyDescent="0.25">
      <c r="A61" s="270"/>
    </row>
    <row r="62" spans="1:5" x14ac:dyDescent="0.25">
      <c r="A62" s="270"/>
    </row>
    <row r="63" spans="1:5" x14ac:dyDescent="0.25">
      <c r="A63" s="270"/>
    </row>
    <row r="64" spans="1:5" x14ac:dyDescent="0.25">
      <c r="A64" s="270"/>
    </row>
    <row r="65" spans="1:1" x14ac:dyDescent="0.25">
      <c r="A65" s="270"/>
    </row>
    <row r="66" spans="1:1" x14ac:dyDescent="0.25">
      <c r="A66" s="270"/>
    </row>
    <row r="67" spans="1:1" x14ac:dyDescent="0.25">
      <c r="A67" s="270"/>
    </row>
    <row r="68" spans="1:1" x14ac:dyDescent="0.25">
      <c r="A68" s="270"/>
    </row>
    <row r="69" spans="1:1" x14ac:dyDescent="0.25">
      <c r="A69" s="270"/>
    </row>
    <row r="70" spans="1:1" x14ac:dyDescent="0.25">
      <c r="A70" s="270"/>
    </row>
    <row r="71" spans="1:1" x14ac:dyDescent="0.25">
      <c r="A71" s="270"/>
    </row>
    <row r="72" spans="1:1" x14ac:dyDescent="0.25">
      <c r="A72" s="270"/>
    </row>
    <row r="73" spans="1:1" x14ac:dyDescent="0.25">
      <c r="A73" s="270"/>
    </row>
    <row r="74" spans="1:1" x14ac:dyDescent="0.25">
      <c r="A74" s="270"/>
    </row>
    <row r="75" spans="1:1" x14ac:dyDescent="0.25">
      <c r="A75" s="270"/>
    </row>
    <row r="76" spans="1:1" x14ac:dyDescent="0.25">
      <c r="A76" s="270"/>
    </row>
    <row r="77" spans="1:1" x14ac:dyDescent="0.25">
      <c r="A77" s="270"/>
    </row>
    <row r="78" spans="1:1" x14ac:dyDescent="0.25">
      <c r="A78" s="270"/>
    </row>
    <row r="79" spans="1:1" x14ac:dyDescent="0.25">
      <c r="A79" s="270"/>
    </row>
    <row r="80" spans="1:1" x14ac:dyDescent="0.25">
      <c r="A80" s="270"/>
    </row>
    <row r="81" spans="1:1" x14ac:dyDescent="0.25">
      <c r="A81" s="270"/>
    </row>
    <row r="82" spans="1:1" x14ac:dyDescent="0.25">
      <c r="A82" s="270"/>
    </row>
    <row r="83" spans="1:1" x14ac:dyDescent="0.25">
      <c r="A83" s="270"/>
    </row>
    <row r="84" spans="1:1" x14ac:dyDescent="0.25">
      <c r="A84" s="270"/>
    </row>
    <row r="85" spans="1:1" x14ac:dyDescent="0.25">
      <c r="A85" s="270"/>
    </row>
    <row r="86" spans="1:1" x14ac:dyDescent="0.25">
      <c r="A86" s="270"/>
    </row>
    <row r="87" spans="1:1" x14ac:dyDescent="0.25">
      <c r="A87" s="270"/>
    </row>
    <row r="88" spans="1:1" x14ac:dyDescent="0.25">
      <c r="A88" s="270"/>
    </row>
    <row r="89" spans="1:1" x14ac:dyDescent="0.25">
      <c r="A89" s="270"/>
    </row>
    <row r="90" spans="1:1" x14ac:dyDescent="0.25">
      <c r="A90" s="270"/>
    </row>
    <row r="91" spans="1:1" x14ac:dyDescent="0.25">
      <c r="A91" s="270"/>
    </row>
    <row r="92" spans="1:1" x14ac:dyDescent="0.25">
      <c r="A92" s="270"/>
    </row>
    <row r="93" spans="1:1" x14ac:dyDescent="0.25">
      <c r="A93" s="270"/>
    </row>
  </sheetData>
  <pageMargins left="0.7" right="0.7" top="0.75" bottom="0.75" header="0.3" footer="0.3"/>
  <pageSetup orientation="portrait" r:id="rId1"/>
  <headerFooter alignWithMargins="0">
    <oddHeader>&amp;RUG-250717 - NWN WUTC Advice No. 25-08A
Exhibit B - Supporting Materials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FCEB923708B7B4099D88D1B5B6B758F" ma:contentTypeVersion="19" ma:contentTypeDescription="" ma:contentTypeScope="" ma:versionID="71a5d8e7c144933170a58869533625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2025-10-07T07:00:00+00:00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48BC2256-A7A6-4B4E-907F-3D3822232331}"/>
</file>

<file path=customXml/itemProps2.xml><?xml version="1.0" encoding="utf-8"?>
<ds:datastoreItem xmlns:ds="http://schemas.openxmlformats.org/officeDocument/2006/customXml" ds:itemID="{72414C4C-63D1-4FD9-9B66-8F6FF211845A}"/>
</file>

<file path=customXml/itemProps3.xml><?xml version="1.0" encoding="utf-8"?>
<ds:datastoreItem xmlns:ds="http://schemas.openxmlformats.org/officeDocument/2006/customXml" ds:itemID="{DC0F246D-F00B-4274-87FA-71668A997FC3}"/>
</file>

<file path=customXml/itemProps4.xml><?xml version="1.0" encoding="utf-8"?>
<ds:datastoreItem xmlns:ds="http://schemas.openxmlformats.org/officeDocument/2006/customXml" ds:itemID="{1AF94B37-ED44-4590-B85B-E0245D487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Customer Avg Bill by RS</vt:lpstr>
      <vt:lpstr>Calc of Proposed Rates</vt:lpstr>
      <vt:lpstr>Proposed Rates in detail</vt:lpstr>
      <vt:lpstr> Combined Effects on Revenue</vt:lpstr>
      <vt:lpstr>' Combined Effects on Revenue'!Print_Area</vt:lpstr>
      <vt:lpstr>'Calc of Proposed Rates'!Print_Area</vt:lpstr>
      <vt:lpstr>'Customer Avg Bill by RS'!Print_Area</vt:lpstr>
      <vt:lpstr>'Proposed Rates in detail'!Print_Area</vt:lpstr>
      <vt:lpstr>'Customer Avg Bill by RS'!Print_Titles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Patzkowski, Kurt</dc:creator>
  <cp:lastModifiedBy>Funk, Fay</cp:lastModifiedBy>
  <cp:lastPrinted>2025-09-12T22:26:35Z</cp:lastPrinted>
  <dcterms:created xsi:type="dcterms:W3CDTF">2025-09-12T22:15:14Z</dcterms:created>
  <dcterms:modified xsi:type="dcterms:W3CDTF">2025-10-06T23:17:20Z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0x0101006E56B4D1795A2E4DB2F0B01679ED314A00CFCEB923708B7B4099D88D1B5B6B758F</vt:lpwstr>
  </property>
  <property fmtid="{D5CDD505-2E9C-101B-9397-08002B2CF9AE}" pid="3" name="_docset_NoMedatataSyncRequired">
    <vt:lpwstr>False</vt:lpwstr>
  </property>
</Properties>
</file>