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PS Reporting\2022\A.  Report to WUTC due June 1\Attachment 5 Incremental Cost (REVISED)\"/>
    </mc:Choice>
  </mc:AlternateContent>
  <bookViews>
    <workbookView xWindow="18657" yWindow="0" windowWidth="15840" windowHeight="6424" tabRatio="792"/>
  </bookViews>
  <sheets>
    <sheet name="Redacted Version" sheetId="14" r:id="rId1"/>
    <sheet name="(2)(a)(i) One Time (all)" sheetId="4" r:id="rId2"/>
    <sheet name="(2)(a)(ii)Annual2022est (R)" sheetId="10" r:id="rId3"/>
    <sheet name="(2)(a)(iii)(A) and (B)" sheetId="9" r:id="rId4"/>
    <sheet name="electric conv fctr" sheetId="13" r:id="rId5"/>
  </sheets>
  <externalReferences>
    <externalReference r:id="rId6"/>
  </externalReferences>
  <definedNames>
    <definedName name="Facilities">'[1]Facility Detail'!$B$4:$H$43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0" l="1"/>
  <c r="D49" i="10"/>
  <c r="E30" i="10" l="1"/>
  <c r="E29" i="10"/>
  <c r="E28" i="10"/>
  <c r="E27" i="10"/>
  <c r="E26" i="10"/>
  <c r="E25" i="10"/>
  <c r="E24" i="10"/>
  <c r="E23" i="10"/>
  <c r="E22" i="10"/>
  <c r="E21" i="10"/>
  <c r="D32" i="10" l="1"/>
  <c r="G21" i="4" l="1"/>
  <c r="D18" i="9" l="1"/>
  <c r="B18" i="9"/>
  <c r="F18" i="9" l="1"/>
  <c r="E23" i="9" l="1"/>
  <c r="B31" i="10" l="1"/>
  <c r="E27" i="4"/>
  <c r="B27" i="4"/>
  <c r="B26" i="4"/>
  <c r="G27" i="4" l="1"/>
  <c r="H27" i="4" s="1"/>
  <c r="E26" i="4" l="1"/>
  <c r="B17" i="4"/>
  <c r="B18" i="4"/>
  <c r="B19" i="4"/>
  <c r="B20" i="4"/>
  <c r="B21" i="4"/>
  <c r="B22" i="4"/>
  <c r="B23" i="4"/>
  <c r="B24" i="4"/>
  <c r="B25" i="4"/>
  <c r="E19" i="13" l="1"/>
  <c r="B17" i="9"/>
  <c r="D17" i="9" s="1"/>
  <c r="F17" i="9" s="1"/>
  <c r="F18" i="13"/>
  <c r="B18" i="13"/>
  <c r="E14" i="13"/>
  <c r="B14" i="13" s="1"/>
  <c r="A13" i="13"/>
  <c r="A14" i="13" s="1"/>
  <c r="A15" i="13" s="1"/>
  <c r="A16" i="13" s="1"/>
  <c r="A17" i="13" s="1"/>
  <c r="A18" i="13" s="1"/>
  <c r="E16" i="13" l="1"/>
  <c r="E18" i="13" s="1"/>
  <c r="E20" i="13" s="1"/>
  <c r="B19" i="13"/>
  <c r="A19" i="13"/>
  <c r="A20" i="13" s="1"/>
  <c r="B20" i="13" l="1"/>
  <c r="B30" i="10" l="1"/>
  <c r="G26" i="4"/>
  <c r="H26" i="4"/>
  <c r="G41" i="10" l="1"/>
  <c r="C23" i="9" l="1"/>
  <c r="G45" i="10" l="1"/>
  <c r="A29" i="10" l="1"/>
  <c r="A28" i="10"/>
  <c r="A27" i="10"/>
  <c r="A26" i="10"/>
  <c r="A25" i="10"/>
  <c r="A24" i="10"/>
  <c r="A23" i="10"/>
  <c r="A22" i="10"/>
  <c r="A21" i="10"/>
  <c r="E25" i="4"/>
  <c r="E24" i="4"/>
  <c r="E23" i="4"/>
  <c r="E22" i="4"/>
  <c r="E21" i="4"/>
  <c r="E20" i="4"/>
  <c r="E19" i="4"/>
  <c r="E17" i="4"/>
  <c r="E18" i="4"/>
  <c r="G32" i="10" l="1"/>
  <c r="F41" i="10" l="1"/>
  <c r="C41" i="10"/>
  <c r="E32" i="10"/>
  <c r="B32" i="10"/>
  <c r="E41" i="10"/>
  <c r="D41" i="10"/>
  <c r="B41" i="10"/>
  <c r="F33" i="10"/>
  <c r="F34" i="10" s="1"/>
  <c r="D34" i="10"/>
  <c r="C33" i="10"/>
  <c r="C34" i="10" s="1"/>
  <c r="G34" i="10" l="1"/>
  <c r="G43" i="10" s="1"/>
  <c r="F19" i="9"/>
  <c r="D43" i="10"/>
  <c r="C43" i="10"/>
  <c r="F43" i="10"/>
  <c r="C31" i="4" l="1"/>
  <c r="G30" i="4"/>
  <c r="H30" i="4" s="1"/>
  <c r="F31" i="4"/>
  <c r="G17" i="4" l="1"/>
  <c r="G25" i="4"/>
  <c r="G24" i="4"/>
  <c r="G23" i="4"/>
  <c r="G22" i="4"/>
  <c r="G20" i="4"/>
  <c r="G19" i="4"/>
  <c r="G18" i="4"/>
  <c r="B24" i="10" l="1"/>
  <c r="H20" i="4"/>
  <c r="B11" i="9"/>
  <c r="D11" i="9" s="1"/>
  <c r="F11" i="9" s="1"/>
  <c r="B25" i="10"/>
  <c r="H21" i="4"/>
  <c r="B12" i="9"/>
  <c r="D12" i="9" s="1"/>
  <c r="F12" i="9" s="1"/>
  <c r="B29" i="10"/>
  <c r="H25" i="4"/>
  <c r="B16" i="9"/>
  <c r="D16" i="9" s="1"/>
  <c r="F16" i="9" s="1"/>
  <c r="B22" i="10"/>
  <c r="H18" i="4"/>
  <c r="B9" i="9"/>
  <c r="D9" i="9" s="1"/>
  <c r="F9" i="9" s="1"/>
  <c r="B26" i="10"/>
  <c r="H22" i="4"/>
  <c r="B13" i="9"/>
  <c r="D13" i="9" s="1"/>
  <c r="F13" i="9" s="1"/>
  <c r="B28" i="10"/>
  <c r="H24" i="4"/>
  <c r="B15" i="9"/>
  <c r="D15" i="9" s="1"/>
  <c r="F15" i="9" s="1"/>
  <c r="B23" i="10"/>
  <c r="H19" i="4"/>
  <c r="B10" i="9"/>
  <c r="D10" i="9" s="1"/>
  <c r="F10" i="9" s="1"/>
  <c r="B27" i="10"/>
  <c r="H23" i="4"/>
  <c r="B14" i="9"/>
  <c r="D14" i="9" s="1"/>
  <c r="F14" i="9" s="1"/>
  <c r="B21" i="10"/>
  <c r="H17" i="4"/>
  <c r="B8" i="9"/>
  <c r="G31" i="4"/>
  <c r="D8" i="9" l="1"/>
  <c r="F8" i="9" s="1"/>
  <c r="B23" i="9"/>
  <c r="D23" i="9" s="1"/>
  <c r="H31" i="4"/>
  <c r="G34" i="4" s="1"/>
  <c r="E33" i="10"/>
  <c r="E34" i="10" s="1"/>
  <c r="E43" i="10" s="1"/>
  <c r="B33" i="10"/>
  <c r="B34" i="10" s="1"/>
  <c r="B43" i="10" s="1"/>
  <c r="G46" i="10" l="1"/>
  <c r="E47" i="10" s="1"/>
  <c r="D46" i="10"/>
  <c r="B47" i="10" s="1"/>
  <c r="F23" i="9"/>
  <c r="F24" i="9" s="1"/>
</calcChain>
</file>

<file path=xl/sharedStrings.xml><?xml version="1.0" encoding="utf-8"?>
<sst xmlns="http://schemas.openxmlformats.org/spreadsheetml/2006/main" count="107" uniqueCount="89">
  <si>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</si>
  <si>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</si>
  <si>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</si>
  <si>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</si>
  <si>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</si>
  <si>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</si>
  <si>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</si>
  <si>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</si>
  <si>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</si>
  <si>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</si>
  <si>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</si>
  <si>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</si>
  <si>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</si>
  <si>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</si>
  <si>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</si>
  <si>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</si>
  <si>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</si>
  <si>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</si>
  <si>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</si>
  <si>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</si>
  <si>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</si>
  <si>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</si>
  <si>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</si>
  <si>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</si>
  <si>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</si>
  <si>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</si>
  <si>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</si>
  <si>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</si>
  <si>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WA Only Resources</t>
  </si>
  <si>
    <t>Total WA Share of Costs</t>
  </si>
  <si>
    <t>NOTES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</si>
  <si>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</si>
  <si>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</si>
  <si>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</si>
  <si>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</si>
  <si>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</si>
  <si>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</si>
  <si>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</si>
  <si>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</si>
  <si>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</si>
  <si>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</si>
  <si>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</si>
  <si>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</si>
  <si>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Attachment 5</t>
  </si>
  <si>
    <t>Apprenticeship Credits for Eligible Resources</t>
  </si>
  <si>
    <t>**Note--These facilities qualify for apprenticeship credits therefore requiring less MWh for compliance</t>
  </si>
  <si>
    <t>(Avg cost/MWH for resources used)</t>
  </si>
  <si>
    <t>Total Renewable Portfolio</t>
  </si>
  <si>
    <t xml:space="preserve">  </t>
  </si>
  <si>
    <t xml:space="preserve">Hopkins Ridge - Hopkins Ridge </t>
  </si>
  <si>
    <t xml:space="preserve"> REC Sales</t>
  </si>
  <si>
    <t>SHADED INFORMATION IS DESIGNATED AS CONFIDENTIAL PER WAC 480-07-160</t>
  </si>
  <si>
    <t>Sierra Pacific Industries</t>
  </si>
  <si>
    <t>Revenue from REC sales</t>
  </si>
  <si>
    <t xml:space="preserve">PUGET SOUND ENERGY </t>
  </si>
  <si>
    <t>ELECTRIC RESULTS OF OPERATIONS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</si>
  <si>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</si>
  <si>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</si>
  <si>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</si>
  <si>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</si>
  <si>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</si>
  <si>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</si>
  <si>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</si>
  <si>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>Compliance Filing in UE-190529</t>
  </si>
  <si>
    <t xml:space="preserve">CALCULATION 1 (Note 1): </t>
  </si>
  <si>
    <t>CALCULATION 2 (Note 1):</t>
  </si>
  <si>
    <r>
      <t>Note 1:  To calculate revenue requirements all costs/revenues are multiplied by</t>
    </r>
    <r>
      <rPr>
        <sz val="11"/>
        <rFont val="Calibri"/>
        <family val="2"/>
        <scheme val="minor"/>
      </rPr>
      <t xml:space="preserve"> 1.051398</t>
    </r>
    <r>
      <rPr>
        <sz val="11"/>
        <color theme="1"/>
        <rFont val="Calibri"/>
        <family val="2"/>
        <scheme val="minor"/>
      </rPr>
      <t xml:space="preserve">  to account for Washington's share Excise Tax, Uncollectibles and Commission Fees.</t>
    </r>
  </si>
  <si>
    <t>Annual Revenue Requirement (most recent rate case)  (Note 2)</t>
  </si>
  <si>
    <t>Sierra Pacific Industires</t>
  </si>
  <si>
    <t>PUGET SOUND ENERGY 2021 RPS REPORT</t>
  </si>
  <si>
    <t>Wild Horse - Wild Horse - Phase II **</t>
  </si>
  <si>
    <t>Lower Snake River - Dodge Junction - LSR-Dodge Junction**</t>
  </si>
  <si>
    <t>Lower Snake River - Phalen Gulch - LSR-Phalen Gulch**</t>
  </si>
  <si>
    <t>Without revenue sensitive items</t>
  </si>
  <si>
    <t xml:space="preserve">Golden Hills </t>
  </si>
  <si>
    <t>Golden Hills</t>
  </si>
  <si>
    <t>PUGET SOUND ENERGY 2022 RPS REPORT</t>
  </si>
  <si>
    <t>2022 Estimated Data: Annual Calculation of Revenue Requirement Ratio</t>
  </si>
  <si>
    <t>(iii)(A) &amp; (B) Annual Reporting Summary Data: 2022</t>
  </si>
  <si>
    <t>Total Annual Cost ($)
(2)(a)(i)(A)</t>
  </si>
  <si>
    <t>Note 2:  Figure reflects Revenue Requirement from PSE's 2019 General Rate Case along with amounts in electric rate schedules 95A and 141Z.</t>
  </si>
  <si>
    <t>SHADED INFRORMATION IS DESIGNATED CONFIDENTIAL PER WAC 480-07-160</t>
  </si>
  <si>
    <t>SHADED INFORMATION IS DESIGNATED CONFIDENTIAL PER WAC 480-07-160</t>
  </si>
  <si>
    <t>REDACTED VERSION</t>
  </si>
  <si>
    <t>ALL AVAILABLE RESOURCES ESTIMATED 
(RCW 19.285.070(1))</t>
  </si>
  <si>
    <t>TARGET YEAR: FORCAST SUBJECT TO CHANGE 
(WAC 480-109-210(2)(a)(ii)(B) and (C))</t>
  </si>
  <si>
    <t>Revised 7/7/2022 to 1) remove Golden Hills from the target year calculation; 2) include REC sales in the all resources calculation; and 3) change the incremental cost for the target year calculation to pull from column F of the "(2)(a)(iii)(A) and (B)" tab.</t>
  </si>
  <si>
    <t>Revised July 7, 2022</t>
  </si>
  <si>
    <t>Puget Sound Energy - 2022 RPS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</si>
</sst>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"/>
    <numFmt numFmtId="167" formatCode="0.0000%"/>
    <numFmt numFmtId="168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3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/>
    <xf numFmtId="0" fontId="4" fillId="0" borderId="0" xfId="0" applyFont="1"/>
    <xf numFmtId="0" fontId="0" fillId="0" borderId="13" xfId="0" applyBorder="1"/>
    <xf numFmtId="43" fontId="0" fillId="0" borderId="13" xfId="1" applyFont="1" applyBorder="1" applyAlignment="1">
      <alignment horizontal="right"/>
    </xf>
    <xf numFmtId="0" fontId="3" fillId="0" borderId="15" xfId="0" applyFont="1" applyBorder="1" applyAlignment="1"/>
    <xf numFmtId="0" fontId="0" fillId="0" borderId="15" xfId="0" applyFill="1" applyBorder="1"/>
    <xf numFmtId="0" fontId="0" fillId="0" borderId="18" xfId="0" applyFill="1" applyBorder="1"/>
    <xf numFmtId="164" fontId="5" fillId="0" borderId="12" xfId="1" applyNumberFormat="1" applyFont="1" applyBorder="1"/>
    <xf numFmtId="164" fontId="5" fillId="0" borderId="12" xfId="1" applyNumberFormat="1" applyFont="1" applyFill="1" applyBorder="1"/>
    <xf numFmtId="0" fontId="5" fillId="0" borderId="12" xfId="0" applyFont="1" applyBorder="1" applyAlignment="1">
      <alignment wrapText="1"/>
    </xf>
    <xf numFmtId="16" fontId="5" fillId="0" borderId="12" xfId="0" applyNumberFormat="1" applyFont="1" applyBorder="1"/>
    <xf numFmtId="164" fontId="5" fillId="0" borderId="12" xfId="1" applyNumberFormat="1" applyFont="1" applyBorder="1" applyAlignment="1">
      <alignment wrapText="1"/>
    </xf>
    <xf numFmtId="0" fontId="5" fillId="0" borderId="12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30" xfId="1" applyNumberFormat="1" applyFont="1" applyBorder="1"/>
    <xf numFmtId="43" fontId="0" fillId="0" borderId="28" xfId="1" applyFont="1" applyBorder="1" applyAlignment="1">
      <alignment horizontal="right"/>
    </xf>
    <xf numFmtId="164" fontId="0" fillId="0" borderId="28" xfId="1" applyNumberFormat="1" applyFont="1" applyBorder="1"/>
    <xf numFmtId="0" fontId="0" fillId="0" borderId="0" xfId="0" applyFont="1"/>
    <xf numFmtId="0" fontId="0" fillId="0" borderId="21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/>
    </xf>
    <xf numFmtId="16" fontId="0" fillId="0" borderId="24" xfId="0" applyNumberFormat="1" applyFont="1" applyBorder="1"/>
    <xf numFmtId="164" fontId="0" fillId="0" borderId="25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26" xfId="0" applyFont="1" applyFill="1" applyBorder="1"/>
    <xf numFmtId="0" fontId="0" fillId="0" borderId="13" xfId="0" applyFont="1" applyBorder="1"/>
    <xf numFmtId="164" fontId="0" fillId="0" borderId="23" xfId="0" applyNumberFormat="1" applyFont="1" applyBorder="1" applyAlignment="1">
      <alignment horizontal="right"/>
    </xf>
    <xf numFmtId="0" fontId="0" fillId="0" borderId="17" xfId="0" applyFont="1" applyBorder="1"/>
    <xf numFmtId="0" fontId="0" fillId="0" borderId="17" xfId="0" applyFont="1" applyBorder="1" applyAlignment="1">
      <alignment wrapText="1"/>
    </xf>
    <xf numFmtId="0" fontId="12" fillId="0" borderId="0" xfId="0" applyFont="1"/>
    <xf numFmtId="10" fontId="13" fillId="0" borderId="16" xfId="0" applyNumberFormat="1" applyFont="1" applyFill="1" applyBorder="1"/>
    <xf numFmtId="0" fontId="0" fillId="0" borderId="12" xfId="0" applyFont="1" applyFill="1" applyBorder="1"/>
    <xf numFmtId="0" fontId="3" fillId="0" borderId="15" xfId="0" applyFont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4" fontId="0" fillId="0" borderId="0" xfId="0" applyNumberFormat="1" applyBorder="1"/>
    <xf numFmtId="0" fontId="3" fillId="0" borderId="15" xfId="0" applyFont="1" applyFill="1" applyBorder="1"/>
    <xf numFmtId="16" fontId="0" fillId="0" borderId="14" xfId="0" applyNumberFormat="1" applyBorder="1"/>
    <xf numFmtId="0" fontId="14" fillId="0" borderId="0" xfId="0" applyFont="1"/>
    <xf numFmtId="43" fontId="0" fillId="0" borderId="13" xfId="0" applyNumberFormat="1" applyFont="1" applyBorder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3" fillId="0" borderId="31" xfId="0" applyFont="1" applyFill="1" applyBorder="1"/>
    <xf numFmtId="37" fontId="0" fillId="0" borderId="31" xfId="0" applyNumberFormat="1" applyBorder="1"/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0" fillId="0" borderId="0" xfId="0" applyFill="1"/>
    <xf numFmtId="0" fontId="4" fillId="0" borderId="0" xfId="0" applyFont="1" applyFill="1"/>
    <xf numFmtId="44" fontId="5" fillId="0" borderId="12" xfId="3" applyFont="1" applyBorder="1" applyAlignment="1">
      <alignment wrapText="1"/>
    </xf>
    <xf numFmtId="164" fontId="16" fillId="0" borderId="12" xfId="1" applyNumberFormat="1" applyFont="1" applyBorder="1"/>
    <xf numFmtId="164" fontId="16" fillId="0" borderId="12" xfId="1" applyNumberFormat="1" applyFont="1" applyFill="1" applyBorder="1"/>
    <xf numFmtId="0" fontId="16" fillId="0" borderId="0" xfId="0" applyFont="1"/>
    <xf numFmtId="0" fontId="5" fillId="0" borderId="0" xfId="0" applyFont="1" applyAlignment="1">
      <alignment horizontal="right"/>
    </xf>
    <xf numFmtId="0" fontId="17" fillId="0" borderId="12" xfId="0" applyFont="1" applyFill="1" applyBorder="1"/>
    <xf numFmtId="164" fontId="17" fillId="0" borderId="12" xfId="1" applyNumberFormat="1" applyFont="1" applyBorder="1"/>
    <xf numFmtId="44" fontId="17" fillId="0" borderId="12" xfId="3" applyFont="1" applyBorder="1" applyAlignment="1">
      <alignment wrapText="1"/>
    </xf>
    <xf numFmtId="44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 applyFill="1"/>
    <xf numFmtId="0" fontId="13" fillId="0" borderId="0" xfId="0" applyFont="1" applyFill="1"/>
    <xf numFmtId="164" fontId="17" fillId="0" borderId="12" xfId="1" applyNumberFormat="1" applyFont="1" applyFill="1" applyBorder="1"/>
    <xf numFmtId="164" fontId="0" fillId="0" borderId="0" xfId="0" applyNumberFormat="1"/>
    <xf numFmtId="41" fontId="17" fillId="0" borderId="6" xfId="0" applyNumberFormat="1" applyFont="1" applyBorder="1" applyAlignment="1">
      <alignment horizontal="right" vertical="center"/>
    </xf>
    <xf numFmtId="0" fontId="0" fillId="0" borderId="2" xfId="0" applyFill="1" applyBorder="1"/>
    <xf numFmtId="41" fontId="17" fillId="0" borderId="25" xfId="0" applyNumberFormat="1" applyFont="1" applyBorder="1" applyAlignment="1">
      <alignment horizontal="right" vertical="center"/>
    </xf>
    <xf numFmtId="42" fontId="5" fillId="0" borderId="12" xfId="1" applyNumberFormat="1" applyFont="1" applyBorder="1" applyAlignment="1">
      <alignment wrapText="1"/>
    </xf>
    <xf numFmtId="164" fontId="0" fillId="0" borderId="0" xfId="1" applyNumberFormat="1" applyFont="1"/>
    <xf numFmtId="42" fontId="0" fillId="0" borderId="14" xfId="1" applyNumberFormat="1" applyFont="1" applyBorder="1"/>
    <xf numFmtId="42" fontId="0" fillId="0" borderId="14" xfId="0" applyNumberFormat="1" applyBorder="1"/>
    <xf numFmtId="42" fontId="0" fillId="0" borderId="12" xfId="1" applyNumberFormat="1" applyFont="1" applyBorder="1"/>
    <xf numFmtId="42" fontId="0" fillId="0" borderId="12" xfId="0" applyNumberFormat="1" applyBorder="1"/>
    <xf numFmtId="42" fontId="0" fillId="0" borderId="13" xfId="0" applyNumberFormat="1" applyBorder="1"/>
    <xf numFmtId="42" fontId="0" fillId="0" borderId="12" xfId="0" applyNumberFormat="1" applyFill="1" applyBorder="1"/>
    <xf numFmtId="42" fontId="0" fillId="0" borderId="12" xfId="1" applyNumberFormat="1" applyFont="1" applyBorder="1" applyAlignment="1">
      <alignment horizontal="right"/>
    </xf>
    <xf numFmtId="42" fontId="0" fillId="0" borderId="13" xfId="1" applyNumberFormat="1" applyFont="1" applyBorder="1"/>
    <xf numFmtId="42" fontId="0" fillId="0" borderId="17" xfId="0" applyNumberFormat="1" applyBorder="1"/>
    <xf numFmtId="42" fontId="0" fillId="0" borderId="16" xfId="0" applyNumberFormat="1" applyBorder="1"/>
    <xf numFmtId="42" fontId="3" fillId="0" borderId="17" xfId="0" applyNumberFormat="1" applyFont="1" applyBorder="1"/>
    <xf numFmtId="42" fontId="3" fillId="0" borderId="16" xfId="0" applyNumberFormat="1" applyFont="1" applyBorder="1"/>
    <xf numFmtId="42" fontId="0" fillId="0" borderId="19" xfId="0" applyNumberFormat="1" applyBorder="1"/>
    <xf numFmtId="42" fontId="0" fillId="0" borderId="20" xfId="0" applyNumberFormat="1" applyBorder="1"/>
    <xf numFmtId="42" fontId="0" fillId="0" borderId="11" xfId="1" applyNumberFormat="1" applyFont="1" applyFill="1" applyBorder="1"/>
    <xf numFmtId="42" fontId="0" fillId="0" borderId="0" xfId="0" applyNumberFormat="1" applyFill="1" applyBorder="1" applyAlignment="1"/>
    <xf numFmtId="42" fontId="0" fillId="0" borderId="3" xfId="0" applyNumberFormat="1" applyFill="1" applyBorder="1"/>
    <xf numFmtId="42" fontId="0" fillId="0" borderId="33" xfId="0" applyNumberFormat="1" applyBorder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0" applyFont="1" applyFill="1"/>
    <xf numFmtId="0" fontId="2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11" fillId="0" borderId="31" xfId="0" applyFont="1" applyFill="1" applyBorder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166" fontId="11" fillId="0" borderId="0" xfId="0" applyNumberFormat="1" applyFont="1" applyFill="1" applyAlignment="1"/>
    <xf numFmtId="167" fontId="11" fillId="0" borderId="0" xfId="0" applyNumberFormat="1" applyFont="1" applyFill="1" applyAlignment="1"/>
    <xf numFmtId="166" fontId="11" fillId="0" borderId="31" xfId="0" applyNumberFormat="1" applyFont="1" applyFill="1" applyBorder="1" applyAlignment="1"/>
    <xf numFmtId="166" fontId="11" fillId="0" borderId="0" xfId="0" applyNumberFormat="1" applyFont="1" applyFill="1" applyBorder="1" applyAlignment="1"/>
    <xf numFmtId="9" fontId="11" fillId="0" borderId="0" xfId="0" applyNumberFormat="1" applyFont="1" applyFill="1" applyAlignment="1"/>
    <xf numFmtId="166" fontId="11" fillId="0" borderId="32" xfId="0" applyNumberFormat="1" applyFont="1" applyFill="1" applyBorder="1" applyAlignment="1" applyProtection="1">
      <protection locked="0"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right"/>
    </xf>
    <xf numFmtId="168" fontId="5" fillId="0" borderId="12" xfId="3" applyNumberFormat="1" applyFont="1" applyBorder="1"/>
    <xf numFmtId="168" fontId="17" fillId="0" borderId="12" xfId="3" applyNumberFormat="1" applyFont="1" applyBorder="1"/>
    <xf numFmtId="44" fontId="5" fillId="0" borderId="0" xfId="3" applyFont="1"/>
    <xf numFmtId="44" fontId="0" fillId="0" borderId="12" xfId="3" applyFont="1" applyBorder="1"/>
    <xf numFmtId="168" fontId="0" fillId="0" borderId="12" xfId="3" applyNumberFormat="1" applyFont="1" applyBorder="1"/>
    <xf numFmtId="168" fontId="0" fillId="0" borderId="17" xfId="3" applyNumberFormat="1" applyFont="1" applyBorder="1"/>
    <xf numFmtId="44" fontId="0" fillId="0" borderId="13" xfId="3" applyFont="1" applyBorder="1"/>
    <xf numFmtId="44" fontId="0" fillId="0" borderId="12" xfId="3" applyFont="1" applyFill="1" applyBorder="1"/>
    <xf numFmtId="168" fontId="0" fillId="0" borderId="30" xfId="3" applyNumberFormat="1" applyFont="1" applyBorder="1"/>
    <xf numFmtId="168" fontId="0" fillId="0" borderId="25" xfId="3" applyNumberFormat="1" applyFont="1" applyBorder="1" applyAlignment="1">
      <alignment horizontal="right"/>
    </xf>
    <xf numFmtId="168" fontId="0" fillId="0" borderId="17" xfId="0" applyNumberFormat="1" applyFont="1" applyBorder="1" applyAlignment="1">
      <alignment wrapText="1"/>
    </xf>
    <xf numFmtId="168" fontId="0" fillId="0" borderId="16" xfId="0" applyNumberFormat="1" applyFont="1" applyBorder="1" applyAlignment="1">
      <alignment horizontal="right"/>
    </xf>
    <xf numFmtId="0" fontId="3" fillId="0" borderId="0" xfId="0" applyFont="1" applyAlignment="1"/>
    <xf numFmtId="44" fontId="0" fillId="0" borderId="13" xfId="3" applyFont="1" applyFill="1" applyBorder="1"/>
    <xf numFmtId="165" fontId="0" fillId="0" borderId="0" xfId="2" applyNumberFormat="1" applyFont="1"/>
    <xf numFmtId="0" fontId="0" fillId="0" borderId="0" xfId="0" applyFill="1" applyAlignment="1"/>
    <xf numFmtId="168" fontId="0" fillId="0" borderId="13" xfId="3" applyNumberFormat="1" applyFont="1" applyBorder="1"/>
    <xf numFmtId="168" fontId="0" fillId="0" borderId="28" xfId="3" applyNumberFormat="1" applyFont="1" applyBorder="1"/>
    <xf numFmtId="42" fontId="0" fillId="0" borderId="30" xfId="0" applyNumberFormat="1" applyBorder="1"/>
    <xf numFmtId="168" fontId="0" fillId="3" borderId="34" xfId="3" applyNumberFormat="1" applyFont="1" applyFill="1" applyBorder="1"/>
    <xf numFmtId="168" fontId="0" fillId="0" borderId="4" xfId="0" applyNumberFormat="1" applyFill="1" applyBorder="1"/>
    <xf numFmtId="44" fontId="0" fillId="0" borderId="13" xfId="3" applyFont="1" applyFill="1" applyBorder="1" applyAlignment="1">
      <alignment horizontal="right"/>
    </xf>
    <xf numFmtId="41" fontId="0" fillId="0" borderId="13" xfId="1" applyNumberFormat="1" applyFont="1" applyFill="1" applyBorder="1" applyAlignment="1">
      <alignment horizontal="right"/>
    </xf>
    <xf numFmtId="168" fontId="0" fillId="0" borderId="13" xfId="3" applyNumberFormat="1" applyFont="1" applyFill="1" applyBorder="1" applyAlignment="1">
      <alignment horizontal="right"/>
    </xf>
    <xf numFmtId="168" fontId="0" fillId="0" borderId="28" xfId="3" applyNumberFormat="1" applyFont="1" applyFill="1" applyBorder="1" applyAlignment="1">
      <alignment horizontal="right"/>
    </xf>
    <xf numFmtId="168" fontId="0" fillId="0" borderId="25" xfId="3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0" fillId="0" borderId="0" xfId="0" applyFont="1" applyFill="1"/>
    <xf numFmtId="42" fontId="0" fillId="0" borderId="12" xfId="1" applyNumberFormat="1" applyFont="1" applyFill="1" applyBorder="1" applyAlignment="1">
      <alignment horizontal="right"/>
    </xf>
    <xf numFmtId="42" fontId="0" fillId="0" borderId="13" xfId="0" applyNumberFormat="1" applyFill="1" applyBorder="1"/>
    <xf numFmtId="1" fontId="16" fillId="0" borderId="0" xfId="1" applyNumberFormat="1" applyFont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5" fillId="0" borderId="12" xfId="0" applyFont="1" applyFill="1" applyBorder="1"/>
    <xf numFmtId="44" fontId="5" fillId="0" borderId="14" xfId="3" applyFont="1" applyFill="1" applyBorder="1" applyAlignment="1">
      <alignment wrapText="1"/>
    </xf>
    <xf numFmtId="164" fontId="5" fillId="0" borderId="14" xfId="1" applyNumberFormat="1" applyFont="1" applyFill="1" applyBorder="1" applyAlignment="1">
      <alignment wrapText="1"/>
    </xf>
    <xf numFmtId="164" fontId="5" fillId="0" borderId="0" xfId="1" applyNumberFormat="1" applyFont="1" applyFill="1"/>
    <xf numFmtId="43" fontId="5" fillId="0" borderId="12" xfId="1" applyNumberFormat="1" applyFont="1" applyFill="1" applyBorder="1" applyAlignment="1">
      <alignment wrapText="1"/>
    </xf>
    <xf numFmtId="164" fontId="5" fillId="0" borderId="12" xfId="1" applyNumberFormat="1" applyFont="1" applyFill="1" applyBorder="1" applyAlignment="1">
      <alignment wrapText="1"/>
    </xf>
    <xf numFmtId="0" fontId="0" fillId="2" borderId="0" xfId="0" applyFill="1"/>
    <xf numFmtId="0" fontId="24" fillId="2" borderId="0" xfId="0" applyFont="1" applyFill="1"/>
    <xf numFmtId="0" fontId="25" fillId="2" borderId="0" xfId="0" applyFont="1" applyFill="1" applyAlignment="1">
      <alignment vertical="center"/>
    </xf>
    <xf numFmtId="0" fontId="26" fillId="2" borderId="0" xfId="0" applyFont="1" applyFill="1"/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8" fillId="0" borderId="10" xfId="0" applyFont="1" applyBorder="1" applyAlignment="1">
      <alignment wrapText="1" shrinkToFit="1"/>
    </xf>
    <xf numFmtId="0" fontId="8" fillId="0" borderId="11" xfId="0" applyFont="1" applyBorder="1" applyAlignment="1">
      <alignment wrapText="1" shrinkToFit="1"/>
    </xf>
    <xf numFmtId="168" fontId="0" fillId="0" borderId="6" xfId="3" applyNumberFormat="1" applyFont="1" applyBorder="1" applyAlignment="1">
      <alignment wrapText="1"/>
    </xf>
    <xf numFmtId="168" fontId="0" fillId="0" borderId="9" xfId="3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5" fontId="0" fillId="0" borderId="5" xfId="2" applyNumberFormat="1" applyFont="1" applyFill="1" applyBorder="1" applyAlignment="1">
      <alignment wrapText="1"/>
    </xf>
    <xf numFmtId="165" fontId="0" fillId="0" borderId="0" xfId="2" applyNumberFormat="1" applyFont="1" applyFill="1" applyBorder="1" applyAlignment="1">
      <alignment wrapText="1"/>
    </xf>
    <xf numFmtId="165" fontId="0" fillId="0" borderId="6" xfId="2" applyNumberFormat="1" applyFont="1" applyFill="1" applyBorder="1" applyAlignment="1">
      <alignment wrapText="1"/>
    </xf>
    <xf numFmtId="165" fontId="0" fillId="0" borderId="7" xfId="2" applyNumberFormat="1" applyFont="1" applyFill="1" applyBorder="1" applyAlignment="1">
      <alignment wrapText="1"/>
    </xf>
    <xf numFmtId="165" fontId="0" fillId="0" borderId="8" xfId="2" applyNumberFormat="1" applyFont="1" applyFill="1" applyBorder="1" applyAlignment="1">
      <alignment wrapText="1"/>
    </xf>
    <xf numFmtId="165" fontId="0" fillId="0" borderId="9" xfId="2" applyNumberFormat="1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7" fillId="0" borderId="0" xfId="0" applyFont="1" applyAlignment="1">
      <alignment horizontal="left" wrapText="1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2" borderId="0" xfId="0" applyFont="1" applyFill="1"/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%20Reporting/2020/Attachment%203%20Tool/PSE-Attachment%203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Compliance Summary"/>
      <sheetName val="Facility Detail"/>
      <sheetName val="Generation Rollup"/>
    </sheetNames>
    <sheetDataSet>
      <sheetData sheetId="0"/>
      <sheetData sheetId="1"/>
      <sheetData sheetId="2"/>
      <sheetData sheetId="3">
        <row r="4">
          <cell r="B4" t="str">
            <v>Wild Horse</v>
          </cell>
          <cell r="C4" t="str">
            <v>W183</v>
          </cell>
          <cell r="E4" t="str">
            <v>Wind</v>
          </cell>
          <cell r="F4" t="str">
            <v>Not Eligible</v>
          </cell>
          <cell r="G4" t="str">
            <v>---</v>
          </cell>
        </row>
        <row r="5">
          <cell r="B5" t="str">
            <v>Hopkins Ridge</v>
          </cell>
          <cell r="C5" t="str">
            <v>W184</v>
          </cell>
          <cell r="E5" t="str">
            <v>Wind</v>
          </cell>
          <cell r="F5" t="str">
            <v>Not Eligible</v>
          </cell>
          <cell r="G5" t="str">
            <v>---</v>
          </cell>
        </row>
        <row r="6">
          <cell r="B6" t="str">
            <v>Klondike III</v>
          </cell>
          <cell r="C6" t="str">
            <v>W237</v>
          </cell>
          <cell r="E6" t="str">
            <v>Wind</v>
          </cell>
          <cell r="F6" t="str">
            <v>Not Eligible</v>
          </cell>
          <cell r="G6" t="str">
            <v>---</v>
          </cell>
        </row>
        <row r="7">
          <cell r="B7" t="str">
            <v>Wild Horse Phase II</v>
          </cell>
          <cell r="C7" t="str">
            <v>W1364</v>
          </cell>
          <cell r="E7" t="str">
            <v>Wind</v>
          </cell>
          <cell r="F7" t="str">
            <v>Eligible</v>
          </cell>
          <cell r="G7" t="str">
            <v>---</v>
          </cell>
        </row>
        <row r="8">
          <cell r="B8" t="str">
            <v>Hopkins Ridge Phase II</v>
          </cell>
          <cell r="C8" t="str">
            <v>W1382</v>
          </cell>
          <cell r="E8" t="str">
            <v>Wind</v>
          </cell>
          <cell r="F8" t="str">
            <v>Not Eligible</v>
          </cell>
          <cell r="G8" t="str">
            <v>---</v>
          </cell>
        </row>
        <row r="9">
          <cell r="B9" t="str">
            <v>Lower Snake River - Dodge Junction</v>
          </cell>
          <cell r="C9" t="str">
            <v>W2669</v>
          </cell>
          <cell r="E9" t="str">
            <v>Wind</v>
          </cell>
          <cell r="F9" t="str">
            <v>Eligible</v>
          </cell>
          <cell r="G9" t="str">
            <v>---</v>
          </cell>
        </row>
        <row r="10">
          <cell r="B10" t="str">
            <v>Lower Snake River - Phalen Gulch</v>
          </cell>
          <cell r="C10" t="str">
            <v>W2670</v>
          </cell>
          <cell r="E10" t="str">
            <v>Wind</v>
          </cell>
          <cell r="F10" t="str">
            <v>Eligible</v>
          </cell>
          <cell r="G10" t="str">
            <v>---</v>
          </cell>
        </row>
        <row r="11">
          <cell r="B11" t="str">
            <v>Wanapum Fish Bypass</v>
          </cell>
          <cell r="C11" t="str">
            <v>Not Available</v>
          </cell>
          <cell r="E11" t="str">
            <v>Water (Incremental Hydro)</v>
          </cell>
          <cell r="F11" t="str">
            <v>Not Eligible</v>
          </cell>
          <cell r="G11" t="str">
            <v>---</v>
          </cell>
        </row>
        <row r="12">
          <cell r="B12" t="str">
            <v>Baker River Project</v>
          </cell>
          <cell r="C12" t="str">
            <v>W4865</v>
          </cell>
          <cell r="E12" t="str">
            <v>Water (Incremental Hydro)</v>
          </cell>
          <cell r="F12" t="str">
            <v>Not Eligible</v>
          </cell>
          <cell r="G12" t="str">
            <v>---</v>
          </cell>
        </row>
        <row r="13">
          <cell r="B13" t="str">
            <v>Snoqualmie Falls Project</v>
          </cell>
          <cell r="C13" t="str">
            <v>W4866</v>
          </cell>
          <cell r="E13" t="str">
            <v>Water (Incremental Hydro)</v>
          </cell>
          <cell r="F13" t="str">
            <v>Not Eligible</v>
          </cell>
          <cell r="G13" t="str">
            <v>---</v>
          </cell>
        </row>
        <row r="14">
          <cell r="B14" t="str">
            <v>Klondike 1--REC only**</v>
          </cell>
          <cell r="C14" t="str">
            <v>W238</v>
          </cell>
          <cell r="E14" t="str">
            <v>Wind</v>
          </cell>
          <cell r="F14" t="str">
            <v>Not Eligible</v>
          </cell>
          <cell r="G14" t="str">
            <v>---</v>
          </cell>
        </row>
        <row r="15">
          <cell r="B15" t="str">
            <v>Stateline WA Wind--REC Only **</v>
          </cell>
          <cell r="C15" t="str">
            <v>W248</v>
          </cell>
          <cell r="E15" t="str">
            <v>Wind</v>
          </cell>
          <cell r="F15" t="str">
            <v>Not Eligible</v>
          </cell>
          <cell r="G15" t="str">
            <v>---</v>
          </cell>
        </row>
        <row r="16">
          <cell r="B16" t="str">
            <v>Horse Butte Wind--REC only **</v>
          </cell>
          <cell r="C16" t="str">
            <v>W3260</v>
          </cell>
          <cell r="E16" t="str">
            <v>Wind</v>
          </cell>
          <cell r="F16" t="str">
            <v>Not Eligible</v>
          </cell>
          <cell r="G16" t="str">
            <v>---</v>
          </cell>
        </row>
        <row r="17">
          <cell r="B17" t="str">
            <v>Grand View 5 East--REC Only**</v>
          </cell>
          <cell r="C17" t="str">
            <v>W5069</v>
          </cell>
          <cell r="E17" t="str">
            <v>Solar</v>
          </cell>
          <cell r="F17" t="str">
            <v>Not Eligible</v>
          </cell>
          <cell r="G17" t="str">
            <v>---</v>
          </cell>
        </row>
        <row r="18">
          <cell r="B18" t="str">
            <v>Grand View 2 West--REC Only **</v>
          </cell>
          <cell r="C18" t="str">
            <v>W5070</v>
          </cell>
          <cell r="E18" t="str">
            <v>Solar</v>
          </cell>
          <cell r="F18" t="str">
            <v>Not Eligible</v>
          </cell>
          <cell r="G18" t="str">
            <v>---</v>
          </cell>
        </row>
        <row r="19">
          <cell r="B19" t="str">
            <v>ID Solar 1 -- REC Only **</v>
          </cell>
          <cell r="C19" t="str">
            <v>W5076</v>
          </cell>
          <cell r="E19" t="str">
            <v>Solar</v>
          </cell>
          <cell r="F19" t="str">
            <v>Not Eligible</v>
          </cell>
          <cell r="G19" t="str">
            <v>---</v>
          </cell>
        </row>
        <row r="20">
          <cell r="B20" t="str">
            <v>Condon Wind Power -- REC Only **</v>
          </cell>
          <cell r="C20" t="str">
            <v>W774</v>
          </cell>
          <cell r="E20" t="str">
            <v>Wind</v>
          </cell>
          <cell r="F20" t="str">
            <v>Not Eligible</v>
          </cell>
          <cell r="G20" t="str">
            <v>---</v>
          </cell>
        </row>
        <row r="21">
          <cell r="B21" t="str">
            <v>Condon Wind Power Phase II -- REC Only **</v>
          </cell>
          <cell r="C21" t="str">
            <v>W833</v>
          </cell>
          <cell r="E21" t="str">
            <v>Wind</v>
          </cell>
          <cell r="F21" t="str">
            <v>Not Eligible</v>
          </cell>
          <cell r="G21" t="str">
            <v>---</v>
          </cell>
        </row>
        <row r="22">
          <cell r="B22" t="str">
            <v>Camp Reed Wind Park - Camp Reed Wind Park -- REC Only **</v>
          </cell>
          <cell r="C22" t="str">
            <v>W1875</v>
          </cell>
          <cell r="E22" t="str">
            <v>Wind</v>
          </cell>
          <cell r="F22" t="str">
            <v>Not Eligible</v>
          </cell>
          <cell r="G22" t="str">
            <v>---</v>
          </cell>
        </row>
        <row r="23">
          <cell r="B23" t="str">
            <v>Golden Valley Wind Park - Golden Valley Wind Park -- REC Only **</v>
          </cell>
          <cell r="C23" t="str">
            <v>W1862</v>
          </cell>
          <cell r="E23" t="str">
            <v>Wind</v>
          </cell>
          <cell r="F23" t="str">
            <v>Not Eligible</v>
          </cell>
          <cell r="G23" t="str">
            <v>---</v>
          </cell>
        </row>
        <row r="24">
          <cell r="B24" t="str">
            <v>Klondike III - Klondike Wind Power III LLC -- REC Only **</v>
          </cell>
          <cell r="C24" t="str">
            <v>W237</v>
          </cell>
          <cell r="E24" t="str">
            <v>Wind</v>
          </cell>
          <cell r="F24" t="str">
            <v>Not Eligible</v>
          </cell>
          <cell r="G24" t="str">
            <v>---</v>
          </cell>
        </row>
        <row r="25">
          <cell r="B25" t="str">
            <v>Meadow Creek Wind Farm - Five Pine Project -- REC Only **</v>
          </cell>
          <cell r="C25" t="str">
            <v>W3186</v>
          </cell>
          <cell r="E25" t="str">
            <v>Wind</v>
          </cell>
          <cell r="F25" t="str">
            <v>Not Eligible</v>
          </cell>
          <cell r="G25" t="str">
            <v>---</v>
          </cell>
        </row>
        <row r="26">
          <cell r="B26" t="str">
            <v>Meadow Creek Wind Farm - North Point Wind Farm -- REC Only **</v>
          </cell>
          <cell r="C26" t="str">
            <v>W3185</v>
          </cell>
          <cell r="E26" t="str">
            <v>Wind</v>
          </cell>
          <cell r="F26" t="str">
            <v>Not Eligible</v>
          </cell>
          <cell r="G26" t="str">
            <v>---</v>
          </cell>
        </row>
        <row r="27">
          <cell r="B27" t="str">
            <v>Mountain Air Wind Projects - Mountain Air Wind Projects -- REC Only **</v>
          </cell>
          <cell r="C27" t="str">
            <v>W2869</v>
          </cell>
          <cell r="E27" t="str">
            <v>Wind</v>
          </cell>
          <cell r="F27" t="str">
            <v>Not Eligible</v>
          </cell>
          <cell r="G27" t="str">
            <v>---</v>
          </cell>
        </row>
        <row r="28">
          <cell r="B28" t="str">
            <v>Nine Canyon Wind Project - Nine Canyon Phase 3 -- REC Only **</v>
          </cell>
          <cell r="C28" t="str">
            <v>W697</v>
          </cell>
          <cell r="E28" t="str">
            <v>Wind</v>
          </cell>
          <cell r="F28" t="str">
            <v>Not Eligible</v>
          </cell>
          <cell r="G28" t="str">
            <v>---</v>
          </cell>
        </row>
        <row r="29">
          <cell r="B29" t="str">
            <v>Oregon Trail Wind Park, LLC - Oregon Trail Wind Park -- REC Only **</v>
          </cell>
          <cell r="C29" t="str">
            <v>W1882</v>
          </cell>
          <cell r="E29" t="str">
            <v>Wind</v>
          </cell>
          <cell r="F29" t="str">
            <v>Not Eligible</v>
          </cell>
          <cell r="G29" t="str">
            <v>---</v>
          </cell>
        </row>
        <row r="30">
          <cell r="B30" t="str">
            <v>PaTu Wind Farm - PaTu Wind -- REC Only **</v>
          </cell>
          <cell r="C30" t="str">
            <v>W1844</v>
          </cell>
          <cell r="E30" t="str">
            <v>Wind</v>
          </cell>
          <cell r="F30" t="str">
            <v>Not Eligible</v>
          </cell>
          <cell r="G30" t="str">
            <v>---</v>
          </cell>
        </row>
        <row r="31">
          <cell r="B31" t="str">
            <v>Roseburg LFG - Roseburg LFG Energy -- REC Only **</v>
          </cell>
          <cell r="C31" t="str">
            <v>W2616</v>
          </cell>
          <cell r="E31" t="str">
            <v>Landfill Gas</v>
          </cell>
          <cell r="F31" t="str">
            <v>Not Eligible</v>
          </cell>
          <cell r="G31" t="str">
            <v>---</v>
          </cell>
        </row>
        <row r="32">
          <cell r="B32" t="str">
            <v>Salmon Falls Wind Park, LLC - Salmon Falls Wind Park -- REC Only **</v>
          </cell>
          <cell r="C32" t="str">
            <v>W1885</v>
          </cell>
          <cell r="E32" t="str">
            <v>Wind</v>
          </cell>
          <cell r="F32" t="str">
            <v>Not Eligible</v>
          </cell>
          <cell r="G32" t="str">
            <v>---</v>
          </cell>
        </row>
        <row r="33">
          <cell r="B33" t="str">
            <v>Sawtooth Wind Project - Sawtooth Wind Project -- REC Only **</v>
          </cell>
          <cell r="C33" t="str">
            <v>W2323</v>
          </cell>
          <cell r="E33" t="str">
            <v>Wind</v>
          </cell>
          <cell r="F33" t="str">
            <v>Not Eligible</v>
          </cell>
          <cell r="G33" t="str">
            <v>---</v>
          </cell>
        </row>
        <row r="34">
          <cell r="B34" t="str">
            <v>Thousand Springs Wind Park, LLC - Thousand Springs Wind Park -- REC Only **</v>
          </cell>
          <cell r="C34" t="str">
            <v>W1881</v>
          </cell>
          <cell r="E34" t="str">
            <v>Wind</v>
          </cell>
          <cell r="F34" t="str">
            <v>Not Eligible</v>
          </cell>
          <cell r="G34" t="str">
            <v>---</v>
          </cell>
        </row>
        <row r="35">
          <cell r="B35" t="str">
            <v>Tuana Gulch Wind Park, LLC - Tuana Gulch Wind Park -- REC Only **</v>
          </cell>
          <cell r="C35" t="str">
            <v>W1883</v>
          </cell>
          <cell r="E35" t="str">
            <v>Wind</v>
          </cell>
          <cell r="F35" t="str">
            <v>Not Eligible</v>
          </cell>
          <cell r="G35" t="str">
            <v>---</v>
          </cell>
        </row>
        <row r="36">
          <cell r="B36" t="str">
            <v>Tuana Springs Energy, LLC - Tuana Springs -- REC Only **</v>
          </cell>
          <cell r="C36" t="str">
            <v>W1503</v>
          </cell>
          <cell r="E36" t="str">
            <v>Wind</v>
          </cell>
          <cell r="F36" t="str">
            <v>Not Eligible</v>
          </cell>
          <cell r="G36" t="str">
            <v>---</v>
          </cell>
        </row>
        <row r="37">
          <cell r="B37" t="str">
            <v>White Creek Wind 1 - White Creek -- REC Only **</v>
          </cell>
          <cell r="C37" t="str">
            <v>W360</v>
          </cell>
          <cell r="E37" t="str">
            <v>Wind</v>
          </cell>
          <cell r="F37" t="str">
            <v>Not Eligible</v>
          </cell>
          <cell r="G37" t="str">
            <v>---</v>
          </cell>
        </row>
        <row r="38">
          <cell r="B38" t="str">
            <v>Facility 35</v>
          </cell>
          <cell r="F38" t="str">
            <v>---</v>
          </cell>
          <cell r="G38" t="str">
            <v>---</v>
          </cell>
        </row>
        <row r="39">
          <cell r="B39" t="str">
            <v>Facility 36</v>
          </cell>
          <cell r="F39" t="str">
            <v>---</v>
          </cell>
          <cell r="G39" t="str">
            <v>---</v>
          </cell>
        </row>
        <row r="40">
          <cell r="B40" t="str">
            <v>Facility 37</v>
          </cell>
          <cell r="F40" t="str">
            <v>---</v>
          </cell>
          <cell r="G40" t="str">
            <v>---</v>
          </cell>
        </row>
        <row r="41">
          <cell r="B41" t="str">
            <v>Facility 38</v>
          </cell>
          <cell r="F41" t="str">
            <v>---</v>
          </cell>
          <cell r="G41" t="str">
            <v>---</v>
          </cell>
        </row>
        <row r="42">
          <cell r="B42" t="str">
            <v>Facility 39</v>
          </cell>
          <cell r="F42" t="str">
            <v>---</v>
          </cell>
          <cell r="G42" t="str">
            <v>---</v>
          </cell>
        </row>
        <row r="43">
          <cell r="B43" t="str">
            <v>Facility 40</v>
          </cell>
          <cell r="F43" t="str">
            <v>---</v>
          </cell>
          <cell r="G43" t="str">
            <v>---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topLeftCell="A4" workbookViewId="0">
      <selection activeCell="F14" sqref="F14"/>
    </sheetView>
  </sheetViews>
  <sheetFormatPr defaultColWidth="9.44140625" defaultRowHeight="15.05" x14ac:dyDescent="0.3"/>
  <cols>
    <col min="1" max="16384" width="9.44140625" style="157"/>
  </cols>
  <sheetData>
    <row r="2" spans="1:10" x14ac:dyDescent="0.3">
      <c r="A2" s="158"/>
      <c r="B2" s="158"/>
      <c r="C2" s="158"/>
      <c r="D2" s="158"/>
    </row>
    <row r="3" spans="1:10" ht="20.7" x14ac:dyDescent="0.3">
      <c r="A3" s="159" t="s">
        <v>81</v>
      </c>
      <c r="B3" s="159"/>
      <c r="C3" s="159"/>
      <c r="D3" s="159"/>
      <c r="E3" s="159"/>
      <c r="F3" s="159"/>
      <c r="G3" s="159"/>
      <c r="H3" s="159"/>
      <c r="I3" s="159"/>
      <c r="J3" s="159"/>
    </row>
    <row r="6" spans="1:10" x14ac:dyDescent="0.3">
      <c r="A6" s="158" t="s">
        <v>88</v>
      </c>
      <c r="B6" s="158"/>
      <c r="C6" s="158"/>
      <c r="D6" s="158"/>
    </row>
    <row r="8" spans="1:10" ht="23.8" x14ac:dyDescent="0.45">
      <c r="A8" s="160" t="s">
        <v>83</v>
      </c>
    </row>
    <row r="9" spans="1:10" s="233" customFormat="1" x14ac:dyDescent="0.3">
      <c r="A9" s="233" t="s">
        <v>87</v>
      </c>
    </row>
    <row r="10" spans="1:10" ht="25.05" x14ac:dyDescent="0.4">
      <c r="A10" s="161"/>
      <c r="B10" s="162"/>
      <c r="C10" s="162"/>
      <c r="D10" s="162"/>
      <c r="E10" s="162"/>
      <c r="F10" s="162"/>
      <c r="G10" s="162"/>
      <c r="H10" s="162"/>
      <c r="I10" s="162"/>
      <c r="J10" s="162"/>
    </row>
  </sheetData>
  <mergeCells count="1">
    <mergeCell ref="A10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85" zoomScaleNormal="85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G22" sqref="G22"/>
    </sheetView>
  </sheetViews>
  <sheetFormatPr defaultColWidth="9.33203125" defaultRowHeight="15.05" x14ac:dyDescent="0.3"/>
  <cols>
    <col min="1" max="1" width="33.33203125" style="26" customWidth="1"/>
    <col min="2" max="4" width="18.6640625" style="26" customWidth="1"/>
    <col min="5" max="5" width="19.88671875" style="26" customWidth="1"/>
    <col min="6" max="6" width="22.33203125" style="26" customWidth="1"/>
    <col min="7" max="7" width="19.109375" style="26" bestFit="1" customWidth="1"/>
    <col min="8" max="8" width="18" style="26" customWidth="1"/>
    <col min="9" max="9" width="16.109375" style="26" bestFit="1" customWidth="1"/>
    <col min="10" max="10" width="11.5546875" style="26" bestFit="1" customWidth="1"/>
    <col min="11" max="16384" width="9.33203125" style="26"/>
  </cols>
  <sheetData>
    <row r="1" spans="1:9" x14ac:dyDescent="0.3">
      <c r="A1" s="57" t="s">
        <v>76</v>
      </c>
      <c r="B1" s="57"/>
      <c r="H1" s="131" t="s">
        <v>43</v>
      </c>
      <c r="I1" s="131"/>
    </row>
    <row r="2" spans="1:9" ht="33.049999999999997" customHeight="1" thickBot="1" x14ac:dyDescent="0.55000000000000004">
      <c r="A2" s="41" t="s">
        <v>48</v>
      </c>
    </row>
    <row r="3" spans="1:9" ht="15.05" customHeight="1" x14ac:dyDescent="0.3">
      <c r="A3" s="174" t="s">
        <v>0</v>
      </c>
      <c r="B3" s="175"/>
      <c r="C3" s="175"/>
      <c r="D3" s="175"/>
      <c r="E3" s="175"/>
      <c r="F3" s="175"/>
      <c r="G3" s="175"/>
      <c r="H3" s="176"/>
    </row>
    <row r="4" spans="1:9" ht="15.65" thickBot="1" x14ac:dyDescent="0.35">
      <c r="A4" s="177"/>
      <c r="B4" s="178"/>
      <c r="C4" s="178"/>
      <c r="D4" s="178"/>
      <c r="E4" s="178"/>
      <c r="F4" s="178"/>
      <c r="G4" s="178"/>
      <c r="H4" s="179"/>
    </row>
    <row r="5" spans="1:9" ht="0.8" customHeight="1" thickBot="1" x14ac:dyDescent="0.35">
      <c r="A5" s="177"/>
      <c r="B5" s="178"/>
      <c r="C5" s="178"/>
      <c r="D5" s="178"/>
      <c r="E5" s="178"/>
      <c r="F5" s="178"/>
      <c r="G5" s="178"/>
      <c r="H5" s="179"/>
    </row>
    <row r="6" spans="1:9" ht="16.45" hidden="1" customHeight="1" thickBot="1" x14ac:dyDescent="0.35">
      <c r="A6" s="177"/>
      <c r="B6" s="178"/>
      <c r="C6" s="178"/>
      <c r="D6" s="178"/>
      <c r="E6" s="178"/>
      <c r="F6" s="178"/>
      <c r="G6" s="178"/>
      <c r="H6" s="179"/>
    </row>
    <row r="7" spans="1:9" ht="15.05" customHeight="1" x14ac:dyDescent="0.3">
      <c r="A7" s="180" t="s">
        <v>5</v>
      </c>
      <c r="B7" s="181"/>
      <c r="C7" s="181"/>
      <c r="D7" s="181"/>
      <c r="E7" s="181"/>
      <c r="F7" s="181"/>
      <c r="G7" s="181"/>
      <c r="H7" s="182"/>
    </row>
    <row r="8" spans="1:9" x14ac:dyDescent="0.3">
      <c r="A8" s="183"/>
      <c r="B8" s="184"/>
      <c r="C8" s="184"/>
      <c r="D8" s="184"/>
      <c r="E8" s="184"/>
      <c r="F8" s="184"/>
      <c r="G8" s="184"/>
      <c r="H8" s="185"/>
    </row>
    <row r="9" spans="1:9" x14ac:dyDescent="0.3">
      <c r="A9" s="183"/>
      <c r="B9" s="184"/>
      <c r="C9" s="184"/>
      <c r="D9" s="184"/>
      <c r="E9" s="184"/>
      <c r="F9" s="184"/>
      <c r="G9" s="184"/>
      <c r="H9" s="185"/>
    </row>
    <row r="10" spans="1:9" x14ac:dyDescent="0.3">
      <c r="A10" s="183"/>
      <c r="B10" s="184"/>
      <c r="C10" s="184"/>
      <c r="D10" s="184"/>
      <c r="E10" s="184"/>
      <c r="F10" s="184"/>
      <c r="G10" s="184"/>
      <c r="H10" s="185"/>
    </row>
    <row r="11" spans="1:9" x14ac:dyDescent="0.3">
      <c r="A11" s="183"/>
      <c r="B11" s="184"/>
      <c r="C11" s="184"/>
      <c r="D11" s="184"/>
      <c r="E11" s="184"/>
      <c r="F11" s="184"/>
      <c r="G11" s="184"/>
      <c r="H11" s="185"/>
    </row>
    <row r="12" spans="1:9" ht="86.25" customHeight="1" thickBot="1" x14ac:dyDescent="0.35">
      <c r="A12" s="186"/>
      <c r="B12" s="187"/>
      <c r="C12" s="187"/>
      <c r="D12" s="187"/>
      <c r="E12" s="187"/>
      <c r="F12" s="187"/>
      <c r="G12" s="187"/>
      <c r="H12" s="188"/>
    </row>
    <row r="13" spans="1:9" ht="15.65" thickBot="1" x14ac:dyDescent="0.35"/>
    <row r="14" spans="1:9" x14ac:dyDescent="0.3">
      <c r="A14" s="190" t="s">
        <v>2</v>
      </c>
      <c r="B14" s="27" t="s">
        <v>3</v>
      </c>
      <c r="C14" s="27" t="s">
        <v>25</v>
      </c>
      <c r="D14" s="27" t="s">
        <v>19</v>
      </c>
      <c r="E14" s="27" t="s">
        <v>20</v>
      </c>
      <c r="F14" s="27" t="s">
        <v>20</v>
      </c>
      <c r="G14" s="28" t="s">
        <v>25</v>
      </c>
      <c r="H14" s="29" t="s">
        <v>25</v>
      </c>
    </row>
    <row r="15" spans="1:9" ht="15.05" customHeight="1" x14ac:dyDescent="0.3">
      <c r="A15" s="191"/>
      <c r="B15" s="192" t="s">
        <v>21</v>
      </c>
      <c r="C15" s="192" t="s">
        <v>79</v>
      </c>
      <c r="D15" s="193" t="s">
        <v>17</v>
      </c>
      <c r="E15" s="193" t="s">
        <v>18</v>
      </c>
      <c r="F15" s="193" t="s">
        <v>22</v>
      </c>
      <c r="G15" s="195" t="s">
        <v>23</v>
      </c>
      <c r="H15" s="189" t="s">
        <v>27</v>
      </c>
    </row>
    <row r="16" spans="1:9" ht="32.25" customHeight="1" x14ac:dyDescent="0.3">
      <c r="A16" s="191"/>
      <c r="B16" s="192"/>
      <c r="C16" s="192"/>
      <c r="D16" s="194"/>
      <c r="E16" s="194"/>
      <c r="F16" s="194"/>
      <c r="G16" s="196"/>
      <c r="H16" s="189"/>
    </row>
    <row r="17" spans="1:10" x14ac:dyDescent="0.3">
      <c r="A17" s="30" t="s">
        <v>32</v>
      </c>
      <c r="B17" s="122">
        <f>C17/'(2)(a)(iii)(A) and (B)'!C8</f>
        <v>78.538812785388131</v>
      </c>
      <c r="C17" s="123">
        <v>8600000</v>
      </c>
      <c r="D17" s="126">
        <v>7.92</v>
      </c>
      <c r="E17" s="126">
        <f>1.37/100*(24*365)</f>
        <v>120.012</v>
      </c>
      <c r="F17" s="123">
        <v>9290000</v>
      </c>
      <c r="G17" s="127">
        <f>C17-F17</f>
        <v>-690000</v>
      </c>
      <c r="H17" s="128">
        <f t="shared" ref="H17:H27" si="0">G17*$G$33</f>
        <v>-690000</v>
      </c>
    </row>
    <row r="18" spans="1:10" x14ac:dyDescent="0.3">
      <c r="A18" s="32" t="s">
        <v>33</v>
      </c>
      <c r="B18" s="122">
        <f>C18/'(2)(a)(iii)(A) and (B)'!C9</f>
        <v>112.69172228076337</v>
      </c>
      <c r="C18" s="5">
        <v>3850000</v>
      </c>
      <c r="D18" s="126">
        <v>2.44</v>
      </c>
      <c r="E18" s="126">
        <f>0.74/100*(24*365)</f>
        <v>64.823999999999998</v>
      </c>
      <c r="F18" s="5">
        <v>3180000</v>
      </c>
      <c r="G18" s="23">
        <f t="shared" ref="G18:G27" si="1">C18-F18</f>
        <v>670000</v>
      </c>
      <c r="H18" s="31">
        <f t="shared" si="0"/>
        <v>670000</v>
      </c>
    </row>
    <row r="19" spans="1:10" x14ac:dyDescent="0.3">
      <c r="A19" s="32" t="s">
        <v>34</v>
      </c>
      <c r="B19" s="122">
        <f>C19/'(2)(a)(iii)(A) and (B)'!C10</f>
        <v>54.340387941224044</v>
      </c>
      <c r="C19" s="5">
        <v>34940000</v>
      </c>
      <c r="D19" s="126">
        <v>26.53</v>
      </c>
      <c r="E19" s="126">
        <f>3.21/100*(24*365)</f>
        <v>281.19599999999997</v>
      </c>
      <c r="F19" s="5">
        <v>29740000</v>
      </c>
      <c r="G19" s="23">
        <f t="shared" si="1"/>
        <v>5200000</v>
      </c>
      <c r="H19" s="31">
        <f t="shared" si="0"/>
        <v>5200000</v>
      </c>
    </row>
    <row r="20" spans="1:10" x14ac:dyDescent="0.3">
      <c r="A20" s="32" t="s">
        <v>35</v>
      </c>
      <c r="B20" s="122">
        <f>C20/'(2)(a)(iii)(A) and (B)'!C11</f>
        <v>40.200639098066425</v>
      </c>
      <c r="C20" s="5">
        <v>18770000</v>
      </c>
      <c r="D20" s="126">
        <v>19.260000000000002</v>
      </c>
      <c r="E20" s="126">
        <f>1.71/100*(24*365)</f>
        <v>149.79599999999999</v>
      </c>
      <c r="F20" s="5">
        <v>20970000</v>
      </c>
      <c r="G20" s="23">
        <f t="shared" si="1"/>
        <v>-2200000</v>
      </c>
      <c r="H20" s="31">
        <f t="shared" si="0"/>
        <v>-2200000</v>
      </c>
      <c r="J20" s="81"/>
    </row>
    <row r="21" spans="1:10" x14ac:dyDescent="0.3">
      <c r="A21" s="32" t="s">
        <v>36</v>
      </c>
      <c r="B21" s="122">
        <f>C21/'(2)(a)(iii)(A) and (B)'!C12</f>
        <v>109.04544466188302</v>
      </c>
      <c r="C21" s="5">
        <v>10030000</v>
      </c>
      <c r="D21" s="126">
        <v>5.09</v>
      </c>
      <c r="E21" s="126">
        <f>0.81/100*(24*365)</f>
        <v>70.956000000000017</v>
      </c>
      <c r="F21" s="5">
        <v>5900000</v>
      </c>
      <c r="G21" s="23">
        <f>C21-F21+10000</f>
        <v>4140000</v>
      </c>
      <c r="H21" s="31">
        <f t="shared" si="0"/>
        <v>4140000</v>
      </c>
    </row>
    <row r="22" spans="1:10" x14ac:dyDescent="0.3">
      <c r="A22" s="32" t="s">
        <v>37</v>
      </c>
      <c r="B22" s="122">
        <f>C22/'(2)(a)(iii)(A) and (B)'!C13</f>
        <v>60.882800608828006</v>
      </c>
      <c r="C22" s="5">
        <v>1280000</v>
      </c>
      <c r="D22" s="126">
        <v>1.19</v>
      </c>
      <c r="E22" s="126">
        <f>0.17/100*(24*365)</f>
        <v>14.892000000000001</v>
      </c>
      <c r="F22" s="5">
        <v>1360000</v>
      </c>
      <c r="G22" s="23">
        <f t="shared" si="1"/>
        <v>-80000</v>
      </c>
      <c r="H22" s="31">
        <f t="shared" si="0"/>
        <v>-80000</v>
      </c>
    </row>
    <row r="23" spans="1:10" x14ac:dyDescent="0.3">
      <c r="A23" s="32" t="s">
        <v>38</v>
      </c>
      <c r="B23" s="122">
        <f>C23/'(2)(a)(iii)(A) and (B)'!C14</f>
        <v>78.632950265108803</v>
      </c>
      <c r="C23" s="5">
        <v>39330000</v>
      </c>
      <c r="D23" s="126">
        <v>48.51</v>
      </c>
      <c r="E23" s="126">
        <f>1.69/100*(24*365)</f>
        <v>148.04399999999998</v>
      </c>
      <c r="F23" s="123">
        <v>27960000</v>
      </c>
      <c r="G23" s="127">
        <f t="shared" si="1"/>
        <v>11370000</v>
      </c>
      <c r="H23" s="128">
        <f t="shared" si="0"/>
        <v>11370000</v>
      </c>
    </row>
    <row r="24" spans="1:10" x14ac:dyDescent="0.3">
      <c r="A24" s="32" t="s">
        <v>39</v>
      </c>
      <c r="B24" s="122">
        <f>C24/'(2)(a)(iii)(A) and (B)'!C15</f>
        <v>78.6467133317242</v>
      </c>
      <c r="C24" s="5">
        <v>31280000</v>
      </c>
      <c r="D24" s="126">
        <v>48.51</v>
      </c>
      <c r="E24" s="126">
        <f>1.69/100*(24*365)</f>
        <v>148.04399999999998</v>
      </c>
      <c r="F24" s="123">
        <v>22230000</v>
      </c>
      <c r="G24" s="127">
        <f t="shared" si="1"/>
        <v>9050000</v>
      </c>
      <c r="H24" s="128">
        <f t="shared" si="0"/>
        <v>9050000</v>
      </c>
    </row>
    <row r="25" spans="1:10" x14ac:dyDescent="0.3">
      <c r="A25" s="32" t="s">
        <v>40</v>
      </c>
      <c r="B25" s="125">
        <f>C25/'(2)(a)(iii)(A) and (B)'!C16</f>
        <v>65.13191273465246</v>
      </c>
      <c r="C25" s="5">
        <v>10270000</v>
      </c>
      <c r="D25" s="126">
        <v>8.98</v>
      </c>
      <c r="E25" s="126">
        <f>0.93/100*(24*365)</f>
        <v>81.468000000000004</v>
      </c>
      <c r="F25" s="123">
        <v>9910000</v>
      </c>
      <c r="G25" s="127">
        <f t="shared" si="1"/>
        <v>360000</v>
      </c>
      <c r="H25" s="128">
        <f t="shared" si="0"/>
        <v>360000</v>
      </c>
    </row>
    <row r="26" spans="1:10" x14ac:dyDescent="0.3">
      <c r="A26" s="33" t="s">
        <v>52</v>
      </c>
      <c r="B26" s="132">
        <f>6770000/'(2)(a)(iii)(A) and (B)'!C17</f>
        <v>53.483117662858859</v>
      </c>
      <c r="C26" s="6">
        <v>6770000</v>
      </c>
      <c r="D26" s="132">
        <v>3.37</v>
      </c>
      <c r="E26" s="126">
        <f>1.41/100*(24*365)</f>
        <v>123.51599999999999</v>
      </c>
      <c r="F26" s="135">
        <v>4780000</v>
      </c>
      <c r="G26" s="136">
        <f t="shared" si="1"/>
        <v>1990000</v>
      </c>
      <c r="H26" s="128">
        <f t="shared" si="0"/>
        <v>1990000</v>
      </c>
      <c r="I26" s="81"/>
    </row>
    <row r="27" spans="1:10" s="146" customFormat="1" x14ac:dyDescent="0.3">
      <c r="A27" s="36" t="s">
        <v>75</v>
      </c>
      <c r="B27" s="140">
        <f>C27/'(2)(a)(iii)(A) and (B)'!C18</f>
        <v>47.708190516367559</v>
      </c>
      <c r="C27" s="141">
        <v>32570000</v>
      </c>
      <c r="D27" s="140">
        <v>17.36</v>
      </c>
      <c r="E27" s="140">
        <f>10.52/100*(24*365)</f>
        <v>921.55200000000002</v>
      </c>
      <c r="F27" s="142">
        <v>27880000</v>
      </c>
      <c r="G27" s="143">
        <f t="shared" si="1"/>
        <v>4690000</v>
      </c>
      <c r="H27" s="144">
        <f t="shared" si="0"/>
        <v>4690000</v>
      </c>
      <c r="I27" s="145"/>
    </row>
    <row r="28" spans="1:10" x14ac:dyDescent="0.3">
      <c r="A28" s="33"/>
      <c r="B28" s="10"/>
      <c r="C28" s="10"/>
      <c r="D28" s="10"/>
      <c r="E28" s="10"/>
      <c r="F28" s="10"/>
      <c r="G28" s="24"/>
      <c r="H28" s="31"/>
    </row>
    <row r="29" spans="1:10" x14ac:dyDescent="0.3">
      <c r="A29" s="32"/>
      <c r="B29" s="34"/>
      <c r="C29" s="34"/>
      <c r="D29" s="34"/>
      <c r="E29" s="34"/>
      <c r="F29" s="34"/>
      <c r="G29" s="35"/>
      <c r="H29" s="31"/>
    </row>
    <row r="30" spans="1:10" ht="15.65" thickBot="1" x14ac:dyDescent="0.35">
      <c r="A30" s="36"/>
      <c r="B30" s="51"/>
      <c r="C30" s="6"/>
      <c r="D30" s="6"/>
      <c r="E30" s="37"/>
      <c r="F30" s="37"/>
      <c r="G30" s="25">
        <f t="shared" ref="G30" si="2">C30-F30</f>
        <v>0</v>
      </c>
      <c r="H30" s="38">
        <f>G30</f>
        <v>0</v>
      </c>
    </row>
    <row r="31" spans="1:10" ht="16.45" customHeight="1" thickBot="1" x14ac:dyDescent="0.35">
      <c r="A31" s="167" t="s">
        <v>24</v>
      </c>
      <c r="B31" s="168"/>
      <c r="C31" s="124">
        <f>SUM(C17:C30)</f>
        <v>197690000</v>
      </c>
      <c r="D31" s="39"/>
      <c r="E31" s="40"/>
      <c r="F31" s="129">
        <f>SUM(F17:F30)</f>
        <v>163200000</v>
      </c>
      <c r="G31" s="129">
        <f>SUM(G17:G30)</f>
        <v>34500000</v>
      </c>
      <c r="H31" s="130">
        <f>SUM(H17:H30)</f>
        <v>34500000</v>
      </c>
    </row>
    <row r="32" spans="1:10" ht="15.65" thickBot="1" x14ac:dyDescent="0.35"/>
    <row r="33" spans="1:8" ht="31.5" customHeight="1" thickBot="1" x14ac:dyDescent="0.35">
      <c r="A33" s="173" t="s">
        <v>31</v>
      </c>
      <c r="B33" s="164"/>
      <c r="C33" s="164"/>
      <c r="D33" s="164"/>
      <c r="E33" s="1"/>
      <c r="F33" s="11" t="s">
        <v>41</v>
      </c>
      <c r="G33" s="42">
        <v>1</v>
      </c>
    </row>
    <row r="34" spans="1:8" x14ac:dyDescent="0.3">
      <c r="F34" s="169" t="s">
        <v>4</v>
      </c>
      <c r="G34" s="171">
        <f>H31</f>
        <v>34500000</v>
      </c>
    </row>
    <row r="35" spans="1:8" x14ac:dyDescent="0.3">
      <c r="A35" s="163"/>
      <c r="B35" s="164"/>
      <c r="C35" s="164"/>
      <c r="D35" s="164"/>
      <c r="F35" s="169"/>
      <c r="G35" s="171"/>
    </row>
    <row r="36" spans="1:8" ht="15.65" thickBot="1" x14ac:dyDescent="0.35">
      <c r="F36" s="170"/>
      <c r="G36" s="172"/>
    </row>
    <row r="37" spans="1:8" ht="22.4" customHeight="1" x14ac:dyDescent="0.3">
      <c r="A37" s="165"/>
      <c r="B37" s="166"/>
      <c r="C37" s="166"/>
      <c r="D37" s="166"/>
    </row>
    <row r="38" spans="1:8" ht="15.65" x14ac:dyDescent="0.3">
      <c r="H38" s="100"/>
    </row>
  </sheetData>
  <mergeCells count="16">
    <mergeCell ref="A3:H6"/>
    <mergeCell ref="A7:H12"/>
    <mergeCell ref="H15:H16"/>
    <mergeCell ref="A14:A16"/>
    <mergeCell ref="B15:B16"/>
    <mergeCell ref="C15:C16"/>
    <mergeCell ref="D15:D16"/>
    <mergeCell ref="E15:E16"/>
    <mergeCell ref="F15:F16"/>
    <mergeCell ref="G15:G16"/>
    <mergeCell ref="A35:D35"/>
    <mergeCell ref="A37:D37"/>
    <mergeCell ref="A31:B31"/>
    <mergeCell ref="F34:F36"/>
    <mergeCell ref="G34:G36"/>
    <mergeCell ref="A33:D33"/>
  </mergeCells>
  <pageMargins left="0.25" right="0.25" top="0.75" bottom="0.7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="70" zoomScaleNormal="70" zoomScalePageLayoutView="69" workbookViewId="0">
      <pane xSplit="1" ySplit="20" topLeftCell="B27" activePane="bottomRight" state="frozen"/>
      <selection pane="topRight" activeCell="B1" sqref="B1"/>
      <selection pane="bottomLeft" activeCell="A19" sqref="A19"/>
      <selection pane="bottomRight" activeCell="G49" sqref="G49"/>
    </sheetView>
  </sheetViews>
  <sheetFormatPr defaultColWidth="9.33203125" defaultRowHeight="15.05" x14ac:dyDescent="0.3"/>
  <cols>
    <col min="1" max="1" width="38.33203125" style="7" customWidth="1"/>
    <col min="2" max="2" width="24" style="7" customWidth="1"/>
    <col min="3" max="3" width="23.44140625" style="7" customWidth="1"/>
    <col min="4" max="4" width="22.6640625" style="7" customWidth="1"/>
    <col min="5" max="5" width="24.44140625" style="7" customWidth="1"/>
    <col min="6" max="6" width="14.88671875" style="7" bestFit="1" customWidth="1"/>
    <col min="7" max="7" width="22.5546875" style="7" bestFit="1" customWidth="1"/>
    <col min="8" max="8" width="18" style="7" customWidth="1"/>
    <col min="9" max="16384" width="9.33203125" style="7"/>
  </cols>
  <sheetData>
    <row r="1" spans="1:7" ht="31.5" customHeight="1" thickTop="1" thickBot="1" x14ac:dyDescent="0.5">
      <c r="A1" s="227" t="s">
        <v>83</v>
      </c>
      <c r="B1" s="227"/>
      <c r="C1" s="224" t="s">
        <v>82</v>
      </c>
      <c r="D1" s="225"/>
      <c r="E1" s="225"/>
      <c r="F1" s="225"/>
      <c r="G1" s="226"/>
    </row>
    <row r="2" spans="1:7" ht="15.65" thickTop="1" x14ac:dyDescent="0.3"/>
    <row r="3" spans="1:7" ht="30.05" customHeight="1" x14ac:dyDescent="0.3">
      <c r="A3" s="223" t="s">
        <v>86</v>
      </c>
      <c r="B3" s="223"/>
      <c r="C3" s="223"/>
      <c r="D3" s="223"/>
      <c r="E3" s="223"/>
      <c r="F3" s="223"/>
      <c r="G3" s="223"/>
    </row>
    <row r="4" spans="1:7" ht="15.65" x14ac:dyDescent="0.3">
      <c r="G4" s="100"/>
    </row>
    <row r="5" spans="1:7" x14ac:dyDescent="0.3">
      <c r="A5" s="57" t="s">
        <v>76</v>
      </c>
      <c r="G5" s="57" t="s">
        <v>43</v>
      </c>
    </row>
    <row r="6" spans="1:7" ht="32.25" customHeight="1" thickBot="1" x14ac:dyDescent="0.45">
      <c r="A6" s="206" t="s">
        <v>77</v>
      </c>
      <c r="B6" s="207"/>
      <c r="C6" s="207"/>
      <c r="D6" s="207"/>
      <c r="E6" s="207"/>
      <c r="F6" s="207"/>
      <c r="G6" s="207"/>
    </row>
    <row r="7" spans="1:7" x14ac:dyDescent="0.3">
      <c r="A7" s="208" t="s">
        <v>6</v>
      </c>
      <c r="B7" s="175"/>
      <c r="C7" s="175"/>
      <c r="D7" s="175"/>
      <c r="E7" s="175"/>
      <c r="F7" s="175"/>
      <c r="G7" s="176"/>
    </row>
    <row r="8" spans="1:7" ht="15.65" thickBot="1" x14ac:dyDescent="0.35">
      <c r="A8" s="177"/>
      <c r="B8" s="178"/>
      <c r="C8" s="178"/>
      <c r="D8" s="178"/>
      <c r="E8" s="178"/>
      <c r="F8" s="178"/>
      <c r="G8" s="179"/>
    </row>
    <row r="9" spans="1:7" ht="0.8" customHeight="1" thickBot="1" x14ac:dyDescent="0.35">
      <c r="A9" s="177"/>
      <c r="B9" s="178"/>
      <c r="C9" s="178"/>
      <c r="D9" s="178"/>
      <c r="E9" s="178"/>
      <c r="F9" s="178"/>
      <c r="G9" s="179"/>
    </row>
    <row r="10" spans="1:7" ht="15.65" hidden="1" thickBot="1" x14ac:dyDescent="0.35">
      <c r="A10" s="209"/>
      <c r="B10" s="210"/>
      <c r="C10" s="210"/>
      <c r="D10" s="210"/>
      <c r="E10" s="210"/>
      <c r="F10" s="210"/>
      <c r="G10" s="211"/>
    </row>
    <row r="11" spans="1:7" x14ac:dyDescent="0.3">
      <c r="A11" s="212" t="s">
        <v>7</v>
      </c>
      <c r="B11" s="213"/>
      <c r="C11" s="213"/>
      <c r="D11" s="213"/>
      <c r="E11" s="213"/>
      <c r="F11" s="213"/>
      <c r="G11" s="214"/>
    </row>
    <row r="12" spans="1:7" x14ac:dyDescent="0.3">
      <c r="A12" s="215"/>
      <c r="B12" s="216"/>
      <c r="C12" s="216"/>
      <c r="D12" s="216"/>
      <c r="E12" s="216"/>
      <c r="F12" s="216"/>
      <c r="G12" s="217"/>
    </row>
    <row r="13" spans="1:7" x14ac:dyDescent="0.3">
      <c r="A13" s="215"/>
      <c r="B13" s="216"/>
      <c r="C13" s="216"/>
      <c r="D13" s="216"/>
      <c r="E13" s="216"/>
      <c r="F13" s="216"/>
      <c r="G13" s="217"/>
    </row>
    <row r="14" spans="1:7" x14ac:dyDescent="0.3">
      <c r="A14" s="215"/>
      <c r="B14" s="216"/>
      <c r="C14" s="216"/>
      <c r="D14" s="216"/>
      <c r="E14" s="216"/>
      <c r="F14" s="216"/>
      <c r="G14" s="217"/>
    </row>
    <row r="15" spans="1:7" x14ac:dyDescent="0.3">
      <c r="A15" s="215"/>
      <c r="B15" s="216"/>
      <c r="C15" s="216"/>
      <c r="D15" s="216"/>
      <c r="E15" s="216"/>
      <c r="F15" s="216"/>
      <c r="G15" s="217"/>
    </row>
    <row r="16" spans="1:7" ht="86.25" customHeight="1" thickBot="1" x14ac:dyDescent="0.35">
      <c r="A16" s="218"/>
      <c r="B16" s="207"/>
      <c r="C16" s="207"/>
      <c r="D16" s="207"/>
      <c r="E16" s="207"/>
      <c r="F16" s="207"/>
      <c r="G16" s="219"/>
    </row>
    <row r="17" spans="1:7" ht="15.65" thickBot="1" x14ac:dyDescent="0.35"/>
    <row r="18" spans="1:7" ht="28.5" customHeight="1" thickBot="1" x14ac:dyDescent="0.35">
      <c r="A18" s="220" t="s">
        <v>42</v>
      </c>
      <c r="B18" s="221" t="s">
        <v>84</v>
      </c>
      <c r="C18" s="221"/>
      <c r="D18" s="221"/>
      <c r="E18" s="221" t="s">
        <v>85</v>
      </c>
      <c r="F18" s="221"/>
      <c r="G18" s="221"/>
    </row>
    <row r="19" spans="1:7" ht="15.05" customHeight="1" thickBot="1" x14ac:dyDescent="0.35">
      <c r="A19" s="220"/>
      <c r="B19" s="222" t="s">
        <v>8</v>
      </c>
      <c r="C19" s="222" t="s">
        <v>15</v>
      </c>
      <c r="D19" s="222" t="s">
        <v>53</v>
      </c>
      <c r="E19" s="222" t="s">
        <v>8</v>
      </c>
      <c r="F19" s="222" t="s">
        <v>15</v>
      </c>
      <c r="G19" s="222" t="s">
        <v>53</v>
      </c>
    </row>
    <row r="20" spans="1:7" ht="15.65" thickBot="1" x14ac:dyDescent="0.35">
      <c r="A20" s="220"/>
      <c r="B20" s="222"/>
      <c r="C20" s="222"/>
      <c r="D20" s="222"/>
      <c r="E20" s="222"/>
      <c r="F20" s="222"/>
      <c r="G20" s="222"/>
    </row>
    <row r="21" spans="1:7" x14ac:dyDescent="0.3">
      <c r="A21" s="49" t="str">
        <f>+'(2)(a)(i) One Time (all)'!A17</f>
        <v>Baker River Project - Lower Baker Unit 3</v>
      </c>
      <c r="B21" s="82">
        <f>'(2)(a)(i) One Time (all)'!G17</f>
        <v>-690000</v>
      </c>
      <c r="C21" s="83"/>
      <c r="D21" s="83"/>
      <c r="E21" s="82">
        <f>'(2)(a)(iii)(A) and (B)'!F8</f>
        <v>-625398.35616438359</v>
      </c>
      <c r="F21" s="83"/>
      <c r="G21" s="83"/>
    </row>
    <row r="22" spans="1:7" x14ac:dyDescent="0.3">
      <c r="A22" s="49" t="str">
        <f>+'(2)(a)(i) One Time (all)'!A18</f>
        <v>Snoqualmie Falls - Snoqualmie Falls Units 1-4</v>
      </c>
      <c r="B22" s="84">
        <f>'(2)(a)(i) One Time (all)'!G18</f>
        <v>670000</v>
      </c>
      <c r="C22" s="85"/>
      <c r="D22" s="85"/>
      <c r="E22" s="82">
        <f>'(2)(a)(iii)(A) and (B)'!F9</f>
        <v>371575.04975998128</v>
      </c>
      <c r="F22" s="85"/>
      <c r="G22" s="86"/>
    </row>
    <row r="23" spans="1:7" x14ac:dyDescent="0.3">
      <c r="A23" s="49" t="str">
        <f>+'(2)(a)(i) One Time (all)'!A19</f>
        <v>Wild Horse - Wild Horse</v>
      </c>
      <c r="B23" s="84">
        <f>'(2)(a)(i) One Time (all)'!G19</f>
        <v>5200000</v>
      </c>
      <c r="C23" s="85"/>
      <c r="D23" s="85"/>
      <c r="E23" s="82">
        <f>'(2)(a)(iii)(A) and (B)'!F10</f>
        <v>4365043.6091722343</v>
      </c>
      <c r="F23" s="85"/>
      <c r="G23" s="86"/>
    </row>
    <row r="24" spans="1:7" x14ac:dyDescent="0.3">
      <c r="A24" s="49" t="str">
        <f>+'(2)(a)(i) One Time (all)'!A20</f>
        <v>Hopkins Ridge - Hopkins Ridge</v>
      </c>
      <c r="B24" s="84">
        <f>'(2)(a)(i) One Time (all)'!G20</f>
        <v>-2200000</v>
      </c>
      <c r="C24" s="85"/>
      <c r="D24" s="85"/>
      <c r="E24" s="82">
        <f>'(2)(a)(iii)(A) and (B)'!F11</f>
        <v>-1781319.2320542803</v>
      </c>
      <c r="F24" s="85"/>
      <c r="G24" s="86"/>
    </row>
    <row r="25" spans="1:7" x14ac:dyDescent="0.3">
      <c r="A25" s="49" t="str">
        <f>+'(2)(a)(i) One Time (all)'!A21</f>
        <v>Wild Horse - Wild Horse - Phase II</v>
      </c>
      <c r="B25" s="84">
        <f>'(2)(a)(i) One Time (all)'!G21</f>
        <v>4140000</v>
      </c>
      <c r="C25" s="85"/>
      <c r="D25" s="85"/>
      <c r="E25" s="82">
        <f>'(2)(a)(iii)(A) and (B)'!F12</f>
        <v>4847651.3372472282</v>
      </c>
      <c r="F25" s="85"/>
      <c r="G25" s="86"/>
    </row>
    <row r="26" spans="1:7" ht="15.65" thickBot="1" x14ac:dyDescent="0.35">
      <c r="A26" s="49" t="str">
        <f>+'(2)(a)(i) One Time (all)'!A22</f>
        <v>Hopkins Ridge - Hopkins Ridge Phase II</v>
      </c>
      <c r="B26" s="84">
        <f>'(2)(a)(i) One Time (all)'!G22</f>
        <v>-80000</v>
      </c>
      <c r="C26" s="85"/>
      <c r="D26" s="85"/>
      <c r="E26" s="82">
        <f>'(2)(a)(iii)(A) and (B)'!F13</f>
        <v>-72850.07610350076</v>
      </c>
      <c r="F26" s="85"/>
      <c r="G26" s="86"/>
    </row>
    <row r="27" spans="1:7" ht="15.65" thickBot="1" x14ac:dyDescent="0.35">
      <c r="A27" s="49" t="str">
        <f>+'(2)(a)(i) One Time (all)'!A23</f>
        <v>Lower Snake River - Dodge Junction - LSR-Dodge Junction</v>
      </c>
      <c r="B27" s="84">
        <f>'(2)(a)(i) One Time (all)'!G23</f>
        <v>11370000</v>
      </c>
      <c r="C27" s="85"/>
      <c r="D27" s="138"/>
      <c r="E27" s="82">
        <f>'(2)(a)(iii)(A) and (B)'!F14</f>
        <v>22418339.651160002</v>
      </c>
      <c r="F27" s="137"/>
      <c r="G27" s="138"/>
    </row>
    <row r="28" spans="1:7" ht="15.65" thickBot="1" x14ac:dyDescent="0.35">
      <c r="A28" s="49" t="str">
        <f>+'(2)(a)(i) One Time (all)'!A24</f>
        <v>Lower Snake River - Phalen Gulch - LSR-Phalen Gulch</v>
      </c>
      <c r="B28" s="84">
        <f>'(2)(a)(i) One Time (all)'!G24</f>
        <v>9050000</v>
      </c>
      <c r="C28" s="85"/>
      <c r="D28" s="138"/>
      <c r="E28" s="82">
        <f>'(2)(a)(iii)(A) and (B)'!F15</f>
        <v>9267462.044573307</v>
      </c>
      <c r="F28" s="85"/>
      <c r="G28" s="138"/>
    </row>
    <row r="29" spans="1:7" x14ac:dyDescent="0.3">
      <c r="A29" s="49" t="str">
        <f>+'(2)(a)(i) One Time (all)'!A25</f>
        <v>Klondike III - Klondike Wind Power III LLC</v>
      </c>
      <c r="B29" s="84">
        <f>'(2)(a)(i) One Time (all)'!G25</f>
        <v>360000</v>
      </c>
      <c r="C29" s="87"/>
      <c r="D29" s="86"/>
      <c r="E29" s="82">
        <f>'(2)(a)(iii)(A) and (B)'!F16</f>
        <v>245187.21461187216</v>
      </c>
      <c r="F29" s="85"/>
      <c r="G29" s="86"/>
    </row>
    <row r="30" spans="1:7" x14ac:dyDescent="0.3">
      <c r="A30" s="33" t="s">
        <v>52</v>
      </c>
      <c r="B30" s="84">
        <f>'(2)(a)(i) One Time (all)'!G26</f>
        <v>1990000</v>
      </c>
      <c r="C30" s="86"/>
      <c r="D30" s="86"/>
      <c r="E30" s="82">
        <f>'(2)(a)(iii)(A) and (B)'!F17</f>
        <v>1893142.705913953</v>
      </c>
      <c r="F30" s="99"/>
      <c r="G30" s="86"/>
    </row>
    <row r="31" spans="1:7" s="60" customFormat="1" x14ac:dyDescent="0.3">
      <c r="A31" s="36" t="s">
        <v>75</v>
      </c>
      <c r="B31" s="147">
        <f>'(2)(a)(i) One Time (all)'!G27</f>
        <v>4690000</v>
      </c>
      <c r="C31" s="148"/>
      <c r="D31" s="148"/>
      <c r="E31" s="147">
        <v>0</v>
      </c>
      <c r="F31" s="148"/>
      <c r="G31" s="148"/>
    </row>
    <row r="32" spans="1:7" ht="15.65" thickBot="1" x14ac:dyDescent="0.35">
      <c r="A32" s="9"/>
      <c r="B32" s="84">
        <f>'(2)(a)(i) One Time (all)'!G29</f>
        <v>0</v>
      </c>
      <c r="C32" s="86"/>
      <c r="D32" s="86">
        <f>A32</f>
        <v>0</v>
      </c>
      <c r="E32" s="88">
        <f>'(2)(a)(i) One Time (all)'!G29</f>
        <v>0</v>
      </c>
      <c r="F32" s="86"/>
      <c r="G32" s="86">
        <f>D32</f>
        <v>0</v>
      </c>
    </row>
    <row r="33" spans="1:8" ht="15.65" thickBot="1" x14ac:dyDescent="0.35">
      <c r="A33" s="12" t="s">
        <v>26</v>
      </c>
      <c r="B33" s="90">
        <f t="shared" ref="B33:F33" si="0">SUM(B21:B32)</f>
        <v>34500000</v>
      </c>
      <c r="C33" s="90">
        <f t="shared" si="0"/>
        <v>0</v>
      </c>
      <c r="D33" s="91">
        <v>-131750</v>
      </c>
      <c r="E33" s="90">
        <f t="shared" si="0"/>
        <v>40928833.948116414</v>
      </c>
      <c r="F33" s="90">
        <f t="shared" si="0"/>
        <v>0</v>
      </c>
      <c r="G33" s="91">
        <v>-131750</v>
      </c>
    </row>
    <row r="34" spans="1:8" ht="15.65" thickBot="1" x14ac:dyDescent="0.35">
      <c r="A34" s="44" t="s">
        <v>28</v>
      </c>
      <c r="B34" s="92">
        <f>B33*'(2)(a)(i) One Time (all)'!$G$33</f>
        <v>34500000</v>
      </c>
      <c r="C34" s="92">
        <f>C33*'(2)(a)(i) One Time (all)'!$G$33</f>
        <v>0</v>
      </c>
      <c r="D34" s="92">
        <f>D33*'(2)(a)(i) One Time (all)'!$G$33</f>
        <v>-131750</v>
      </c>
      <c r="E34" s="92">
        <f>E33*'(2)(a)(i) One Time (all)'!$G$33</f>
        <v>40928833.948116414</v>
      </c>
      <c r="F34" s="92">
        <f>F33*'(2)(a)(i) One Time (all)'!$G$33</f>
        <v>0</v>
      </c>
      <c r="G34" s="93">
        <f>G33*'(2)(a)(i) One Time (all)'!$G$33</f>
        <v>-131750</v>
      </c>
    </row>
    <row r="35" spans="1:8" x14ac:dyDescent="0.3">
      <c r="A35" s="53"/>
      <c r="B35" s="54"/>
      <c r="C35" s="54"/>
      <c r="D35" s="54"/>
      <c r="E35" s="54"/>
      <c r="F35" s="54"/>
      <c r="G35" s="52"/>
    </row>
    <row r="36" spans="1:8" x14ac:dyDescent="0.3">
      <c r="A36" s="55"/>
      <c r="B36" s="56"/>
      <c r="C36" s="56"/>
      <c r="D36" s="56"/>
      <c r="E36" s="56"/>
      <c r="F36" s="56"/>
      <c r="G36" s="52"/>
    </row>
    <row r="37" spans="1:8" x14ac:dyDescent="0.3">
      <c r="A37" s="43"/>
      <c r="B37" s="84"/>
      <c r="C37" s="84"/>
      <c r="D37" s="84"/>
      <c r="E37" s="85"/>
      <c r="F37" s="85">
        <v>0</v>
      </c>
      <c r="G37" s="85"/>
    </row>
    <row r="38" spans="1:8" x14ac:dyDescent="0.3">
      <c r="A38" s="22"/>
      <c r="B38" s="89"/>
      <c r="C38" s="89"/>
      <c r="D38" s="89"/>
      <c r="E38" s="86"/>
      <c r="F38" s="86"/>
      <c r="G38" s="86"/>
    </row>
    <row r="39" spans="1:8" x14ac:dyDescent="0.3">
      <c r="A39" s="22"/>
      <c r="B39" s="89"/>
      <c r="C39" s="89"/>
      <c r="D39" s="89"/>
      <c r="E39" s="86"/>
      <c r="F39" s="86"/>
      <c r="G39" s="86"/>
    </row>
    <row r="40" spans="1:8" ht="15.65" thickBot="1" x14ac:dyDescent="0.35">
      <c r="A40" s="22"/>
      <c r="B40" s="86"/>
      <c r="C40" s="89"/>
      <c r="D40" s="86"/>
      <c r="E40" s="89"/>
      <c r="F40" s="86"/>
      <c r="G40" s="86"/>
    </row>
    <row r="41" spans="1:8" ht="15.65" thickBot="1" x14ac:dyDescent="0.35">
      <c r="A41" s="44"/>
      <c r="B41" s="92">
        <f>SUM(B37:B40)</f>
        <v>0</v>
      </c>
      <c r="C41" s="92">
        <f>SUM(C37:C40)</f>
        <v>0</v>
      </c>
      <c r="D41" s="92">
        <f t="shared" ref="D41:E41" si="1">SUM(D37:D40)</f>
        <v>0</v>
      </c>
      <c r="E41" s="92">
        <f t="shared" si="1"/>
        <v>0</v>
      </c>
      <c r="F41" s="92">
        <f>SUM(F37:F40)</f>
        <v>0</v>
      </c>
      <c r="G41" s="92">
        <f>SUM(G37:G40)</f>
        <v>0</v>
      </c>
    </row>
    <row r="42" spans="1:8" ht="15.65" thickBot="1" x14ac:dyDescent="0.35">
      <c r="A42" s="13"/>
      <c r="B42" s="94"/>
      <c r="C42" s="94"/>
      <c r="D42" s="94"/>
      <c r="E42" s="94"/>
      <c r="F42" s="94"/>
      <c r="G42" s="95"/>
    </row>
    <row r="43" spans="1:8" ht="15.65" thickBot="1" x14ac:dyDescent="0.35">
      <c r="A43" s="48" t="s">
        <v>29</v>
      </c>
      <c r="B43" s="92">
        <f t="shared" ref="B43:G43" si="2">B34+B41</f>
        <v>34500000</v>
      </c>
      <c r="C43" s="92">
        <f t="shared" si="2"/>
        <v>0</v>
      </c>
      <c r="D43" s="92">
        <f t="shared" si="2"/>
        <v>-131750</v>
      </c>
      <c r="E43" s="92">
        <f t="shared" si="2"/>
        <v>40928833.948116414</v>
      </c>
      <c r="F43" s="92">
        <f t="shared" si="2"/>
        <v>0</v>
      </c>
      <c r="G43" s="92">
        <f t="shared" si="2"/>
        <v>-131750</v>
      </c>
    </row>
    <row r="44" spans="1:8" ht="15.65" thickBot="1" x14ac:dyDescent="0.35">
      <c r="A44" s="45"/>
      <c r="B44" s="46"/>
      <c r="C44" s="46"/>
      <c r="D44" s="46"/>
      <c r="E44" s="47"/>
      <c r="F44" s="47"/>
      <c r="G44" s="46"/>
    </row>
    <row r="45" spans="1:8" ht="15.65" thickBot="1" x14ac:dyDescent="0.35">
      <c r="A45" s="197" t="s">
        <v>67</v>
      </c>
      <c r="B45" s="198"/>
      <c r="C45" s="199"/>
      <c r="D45" s="96">
        <v>2133242800</v>
      </c>
      <c r="E45" s="97"/>
      <c r="F45" s="97"/>
      <c r="G45" s="96">
        <f>+D45</f>
        <v>2133242800</v>
      </c>
    </row>
    <row r="46" spans="1:8" x14ac:dyDescent="0.3">
      <c r="A46" s="60"/>
      <c r="B46" s="78" t="s">
        <v>64</v>
      </c>
      <c r="C46" s="53"/>
      <c r="D46" s="139">
        <f>SUM(B43:D43)*'electric conv fctr'!F18</f>
        <v>36134709.313500002</v>
      </c>
      <c r="E46" s="78" t="s">
        <v>65</v>
      </c>
      <c r="F46" s="98"/>
      <c r="G46" s="139">
        <f>SUM(E43:G43)*'electric conv fctr'!F18</f>
        <v>42893972.468881704</v>
      </c>
      <c r="H46" s="76"/>
    </row>
    <row r="47" spans="1:8" ht="15.05" customHeight="1" x14ac:dyDescent="0.3">
      <c r="A47" s="60"/>
      <c r="B47" s="200">
        <f>D46/D45</f>
        <v>1.6938863833737071E-2</v>
      </c>
      <c r="C47" s="201"/>
      <c r="D47" s="202"/>
      <c r="E47" s="200">
        <f>G46/G45</f>
        <v>2.0107402902698981E-2</v>
      </c>
      <c r="F47" s="201"/>
      <c r="G47" s="202"/>
    </row>
    <row r="48" spans="1:8" ht="15.65" thickBot="1" x14ac:dyDescent="0.35">
      <c r="A48" s="60"/>
      <c r="B48" s="203"/>
      <c r="C48" s="204"/>
      <c r="D48" s="205"/>
      <c r="E48" s="203"/>
      <c r="F48" s="204"/>
      <c r="G48" s="205"/>
    </row>
    <row r="49" spans="1:7" x14ac:dyDescent="0.3">
      <c r="B49" s="7" t="s">
        <v>73</v>
      </c>
      <c r="D49" s="133">
        <f>SUM(B43:D43)/D45</f>
        <v>1.6110800889612753E-2</v>
      </c>
      <c r="F49" s="2"/>
      <c r="G49" s="133">
        <f>SUM(E43:G43)/G45</f>
        <v>1.9124444694301284E-2</v>
      </c>
    </row>
    <row r="50" spans="1:7" x14ac:dyDescent="0.3">
      <c r="F50" s="2"/>
      <c r="G50" s="3"/>
    </row>
    <row r="51" spans="1:7" x14ac:dyDescent="0.3">
      <c r="A51" s="50" t="s">
        <v>30</v>
      </c>
      <c r="F51" s="2"/>
      <c r="G51" s="3"/>
    </row>
    <row r="52" spans="1:7" s="60" customFormat="1" x14ac:dyDescent="0.3">
      <c r="A52" s="134" t="s">
        <v>66</v>
      </c>
      <c r="B52" s="134"/>
      <c r="C52" s="134"/>
      <c r="D52" s="134"/>
      <c r="E52" s="134"/>
      <c r="F52" s="134"/>
    </row>
    <row r="53" spans="1:7" s="60" customFormat="1" x14ac:dyDescent="0.3">
      <c r="A53" s="60" t="s">
        <v>80</v>
      </c>
    </row>
    <row r="54" spans="1:7" s="60" customFormat="1" x14ac:dyDescent="0.3">
      <c r="B54" s="73"/>
      <c r="C54" s="73"/>
      <c r="D54" s="73"/>
      <c r="E54" s="73"/>
      <c r="F54" s="73"/>
    </row>
    <row r="55" spans="1:7" s="60" customFormat="1" x14ac:dyDescent="0.3">
      <c r="A55" s="74"/>
      <c r="B55" s="73"/>
      <c r="C55" s="73"/>
      <c r="D55" s="73"/>
      <c r="E55" s="73"/>
      <c r="F55" s="73"/>
    </row>
    <row r="56" spans="1:7" s="60" customFormat="1" x14ac:dyDescent="0.3">
      <c r="A56" s="74"/>
    </row>
  </sheetData>
  <mergeCells count="18">
    <mergeCell ref="A3:G3"/>
    <mergeCell ref="C1:G1"/>
    <mergeCell ref="G19:G20"/>
    <mergeCell ref="A1:B1"/>
    <mergeCell ref="A45:C45"/>
    <mergeCell ref="B47:D48"/>
    <mergeCell ref="E47:G48"/>
    <mergeCell ref="A6:G6"/>
    <mergeCell ref="A7:G10"/>
    <mergeCell ref="A11:G16"/>
    <mergeCell ref="A18:A20"/>
    <mergeCell ref="B18:D18"/>
    <mergeCell ref="E18:G18"/>
    <mergeCell ref="B19:B20"/>
    <mergeCell ref="C19:C20"/>
    <mergeCell ref="D19:D20"/>
    <mergeCell ref="E19:E20"/>
    <mergeCell ref="F19:F20"/>
  </mergeCells>
  <pageMargins left="0.25" right="0.25" top="0.75" bottom="0.75" header="0.3" footer="0.3"/>
  <pageSetup scale="45" orientation="landscape" r:id="rId1"/>
  <headerFooter>
    <oddHeader xml:space="preserve">&amp;C                                                                                                                                                &amp;"-,Bold"SHADED INFORMATION IS DSIGNATED CONFIDENTIAL PER WAC 480-07-160&amp;"-,Regular"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85" zoomScaleNormal="85" workbookViewId="0">
      <selection activeCell="E23" sqref="E23"/>
    </sheetView>
  </sheetViews>
  <sheetFormatPr defaultColWidth="9.33203125" defaultRowHeight="14.4" x14ac:dyDescent="0.25"/>
  <cols>
    <col min="1" max="1" width="69.33203125" style="4" customWidth="1"/>
    <col min="2" max="2" width="20" style="4" customWidth="1"/>
    <col min="3" max="3" width="14.33203125" style="4" customWidth="1"/>
    <col min="4" max="4" width="20.44140625" style="4" customWidth="1"/>
    <col min="5" max="5" width="15.6640625" style="4" customWidth="1"/>
    <col min="6" max="6" width="23.44140625" style="4" customWidth="1"/>
    <col min="7" max="7" width="4.44140625" style="4" customWidth="1"/>
    <col min="8" max="8" width="14.6640625" style="4" customWidth="1"/>
    <col min="9" max="9" width="13.44140625" style="4" bestFit="1" customWidth="1"/>
    <col min="10" max="10" width="12.33203125" style="4" bestFit="1" customWidth="1"/>
    <col min="11" max="16384" width="9.33203125" style="4"/>
  </cols>
  <sheetData>
    <row r="1" spans="1:9" ht="15.05" x14ac:dyDescent="0.25">
      <c r="F1" s="101" t="s">
        <v>51</v>
      </c>
    </row>
    <row r="3" spans="1:9" s="58" customFormat="1" ht="15.05" x14ac:dyDescent="0.3">
      <c r="A3" s="57" t="s">
        <v>69</v>
      </c>
      <c r="B3" s="57"/>
      <c r="C3" s="57"/>
      <c r="F3" s="59" t="s">
        <v>43</v>
      </c>
    </row>
    <row r="4" spans="1:9" ht="31.5" customHeight="1" thickBot="1" x14ac:dyDescent="0.45">
      <c r="A4" s="206" t="s">
        <v>78</v>
      </c>
      <c r="B4" s="228"/>
      <c r="C4" s="228"/>
      <c r="D4" s="228"/>
      <c r="E4" s="228"/>
      <c r="F4" s="228"/>
    </row>
    <row r="5" spans="1:9" ht="52.45" customHeight="1" thickBot="1" x14ac:dyDescent="0.45">
      <c r="A5" s="61">
        <v>2022</v>
      </c>
      <c r="B5" s="228" t="s">
        <v>14</v>
      </c>
      <c r="C5" s="232"/>
      <c r="D5" s="232"/>
      <c r="E5" s="232"/>
      <c r="F5" s="232"/>
    </row>
    <row r="6" spans="1:9" ht="18" customHeight="1" x14ac:dyDescent="0.4">
      <c r="A6" s="8"/>
      <c r="B6" s="229" t="s">
        <v>1</v>
      </c>
      <c r="C6" s="230"/>
      <c r="D6" s="231"/>
      <c r="E6" s="229" t="s">
        <v>12</v>
      </c>
      <c r="F6" s="231"/>
    </row>
    <row r="7" spans="1:9" ht="72" x14ac:dyDescent="0.25">
      <c r="A7" s="16" t="s">
        <v>2</v>
      </c>
      <c r="B7" s="150" t="s">
        <v>9</v>
      </c>
      <c r="C7" s="150" t="s">
        <v>10</v>
      </c>
      <c r="D7" s="150" t="s">
        <v>13</v>
      </c>
      <c r="E7" s="150" t="s">
        <v>11</v>
      </c>
      <c r="F7" s="150" t="s">
        <v>16</v>
      </c>
    </row>
    <row r="8" spans="1:9" x14ac:dyDescent="0.25">
      <c r="A8" s="17" t="s">
        <v>32</v>
      </c>
      <c r="B8" s="119">
        <f>'(2)(a)(i) One Time (all)'!G17</f>
        <v>-690000</v>
      </c>
      <c r="C8" s="15">
        <v>109500</v>
      </c>
      <c r="D8" s="62">
        <f t="shared" ref="D8:D18" si="0">B8/C8</f>
        <v>-6.3013698630136989</v>
      </c>
      <c r="E8" s="79">
        <v>99248</v>
      </c>
      <c r="F8" s="80">
        <f>E8*D8</f>
        <v>-625398.35616438359</v>
      </c>
      <c r="I8" s="71"/>
    </row>
    <row r="9" spans="1:9" x14ac:dyDescent="0.25">
      <c r="A9" s="19" t="s">
        <v>33</v>
      </c>
      <c r="B9" s="14">
        <f>'(2)(a)(i) One Time (all)'!G18</f>
        <v>670000</v>
      </c>
      <c r="C9" s="15">
        <v>34164</v>
      </c>
      <c r="D9" s="62">
        <f t="shared" si="0"/>
        <v>19.611286734574406</v>
      </c>
      <c r="E9" s="77">
        <v>18947</v>
      </c>
      <c r="F9" s="80">
        <f t="shared" ref="F9:F18" si="1">E9*D9</f>
        <v>371575.04975998128</v>
      </c>
      <c r="I9" s="71"/>
    </row>
    <row r="10" spans="1:9" x14ac:dyDescent="0.25">
      <c r="A10" s="19" t="s">
        <v>34</v>
      </c>
      <c r="B10" s="14">
        <f>'(2)(a)(i) One Time (all)'!G19</f>
        <v>5200000</v>
      </c>
      <c r="C10" s="15">
        <v>642984</v>
      </c>
      <c r="D10" s="62">
        <f t="shared" si="0"/>
        <v>8.0872929964042655</v>
      </c>
      <c r="E10" s="75">
        <v>539741</v>
      </c>
      <c r="F10" s="80">
        <f t="shared" si="1"/>
        <v>4365043.6091722343</v>
      </c>
      <c r="I10" s="71"/>
    </row>
    <row r="11" spans="1:9" x14ac:dyDescent="0.25">
      <c r="A11" s="19" t="s">
        <v>49</v>
      </c>
      <c r="B11" s="14">
        <f>'(2)(a)(i) One Time (all)'!G20</f>
        <v>-2200000</v>
      </c>
      <c r="C11" s="15">
        <v>466908</v>
      </c>
      <c r="D11" s="62">
        <f t="shared" si="0"/>
        <v>-4.7118490152235557</v>
      </c>
      <c r="E11" s="15">
        <v>378051</v>
      </c>
      <c r="F11" s="80">
        <f t="shared" si="1"/>
        <v>-1781319.2320542803</v>
      </c>
      <c r="I11" s="71"/>
    </row>
    <row r="12" spans="1:9" x14ac:dyDescent="0.25">
      <c r="A12" s="19" t="s">
        <v>70</v>
      </c>
      <c r="B12" s="14">
        <f>'(2)(a)(i) One Time (all)'!G21</f>
        <v>4140000</v>
      </c>
      <c r="C12" s="15">
        <v>91980</v>
      </c>
      <c r="D12" s="62">
        <f t="shared" si="0"/>
        <v>45.009784735812133</v>
      </c>
      <c r="E12" s="15">
        <v>107702.16666666667</v>
      </c>
      <c r="F12" s="80">
        <f t="shared" si="1"/>
        <v>4847651.3372472282</v>
      </c>
      <c r="I12" s="71"/>
    </row>
    <row r="13" spans="1:9" x14ac:dyDescent="0.25">
      <c r="A13" s="19" t="s">
        <v>37</v>
      </c>
      <c r="B13" s="14">
        <f>'(2)(a)(i) One Time (all)'!G22</f>
        <v>-80000</v>
      </c>
      <c r="C13" s="15">
        <v>21024</v>
      </c>
      <c r="D13" s="62">
        <f t="shared" si="0"/>
        <v>-3.8051750380517504</v>
      </c>
      <c r="E13" s="15">
        <v>19145</v>
      </c>
      <c r="F13" s="80">
        <f t="shared" si="1"/>
        <v>-72850.07610350076</v>
      </c>
      <c r="I13" s="71"/>
    </row>
    <row r="14" spans="1:9" x14ac:dyDescent="0.25">
      <c r="A14" s="19" t="s">
        <v>71</v>
      </c>
      <c r="B14" s="14">
        <f>'(2)(a)(i) One Time (all)'!G23</f>
        <v>11370000</v>
      </c>
      <c r="C14" s="15">
        <v>500172</v>
      </c>
      <c r="D14" s="62">
        <f t="shared" si="0"/>
        <v>22.732180130035267</v>
      </c>
      <c r="E14" s="15">
        <v>986194</v>
      </c>
      <c r="F14" s="80">
        <f t="shared" si="1"/>
        <v>22418339.651160002</v>
      </c>
      <c r="I14" s="71"/>
    </row>
    <row r="15" spans="1:9" x14ac:dyDescent="0.25">
      <c r="A15" s="19" t="s">
        <v>72</v>
      </c>
      <c r="B15" s="14">
        <f>'(2)(a)(i) One Time (all)'!G24</f>
        <v>9050000</v>
      </c>
      <c r="C15" s="15">
        <v>397728</v>
      </c>
      <c r="D15" s="62">
        <f t="shared" si="0"/>
        <v>22.754244106525061</v>
      </c>
      <c r="E15" s="15">
        <v>407284.98829437047</v>
      </c>
      <c r="F15" s="80">
        <f t="shared" si="1"/>
        <v>9267462.044573307</v>
      </c>
      <c r="I15" s="71"/>
    </row>
    <row r="16" spans="1:9" x14ac:dyDescent="0.25">
      <c r="A16" s="19" t="s">
        <v>40</v>
      </c>
      <c r="B16" s="14">
        <f>'(2)(a)(i) One Time (all)'!G25</f>
        <v>360000</v>
      </c>
      <c r="C16" s="15">
        <v>157680</v>
      </c>
      <c r="D16" s="62">
        <f t="shared" si="0"/>
        <v>2.2831050228310503</v>
      </c>
      <c r="E16" s="75">
        <v>107392</v>
      </c>
      <c r="F16" s="80">
        <f t="shared" si="1"/>
        <v>245187.21461187216</v>
      </c>
      <c r="I16" s="71"/>
    </row>
    <row r="17" spans="1:9" ht="15.05" x14ac:dyDescent="0.3">
      <c r="A17" s="19" t="s">
        <v>68</v>
      </c>
      <c r="B17" s="14">
        <f>'(2)(a)(i) One Time (all)'!G26</f>
        <v>1990000</v>
      </c>
      <c r="C17" s="81">
        <v>126582</v>
      </c>
      <c r="D17" s="62">
        <f t="shared" si="0"/>
        <v>15.72103458627609</v>
      </c>
      <c r="E17" s="75">
        <v>120421</v>
      </c>
      <c r="F17" s="80">
        <f t="shared" si="1"/>
        <v>1893142.705913953</v>
      </c>
      <c r="I17" s="71"/>
    </row>
    <row r="18" spans="1:9" s="73" customFormat="1" x14ac:dyDescent="0.25">
      <c r="A18" s="151" t="s">
        <v>74</v>
      </c>
      <c r="B18" s="15">
        <f>'(2)(a)(i) One Time (all)'!G27</f>
        <v>4690000</v>
      </c>
      <c r="C18" s="15">
        <v>682692</v>
      </c>
      <c r="D18" s="152">
        <f t="shared" si="0"/>
        <v>6.8698622512055216</v>
      </c>
      <c r="E18" s="75">
        <v>0</v>
      </c>
      <c r="F18" s="153">
        <f t="shared" si="1"/>
        <v>0</v>
      </c>
      <c r="I18" s="154"/>
    </row>
    <row r="19" spans="1:9" s="73" customFormat="1" x14ac:dyDescent="0.25">
      <c r="A19" s="151" t="s">
        <v>50</v>
      </c>
      <c r="B19" s="15"/>
      <c r="C19" s="15"/>
      <c r="D19" s="155"/>
      <c r="E19" s="64"/>
      <c r="F19" s="156">
        <f>+'(2)(a)(ii)Annual2022est (R)'!G33</f>
        <v>-131750</v>
      </c>
      <c r="I19" s="154"/>
    </row>
    <row r="20" spans="1:9" x14ac:dyDescent="0.25">
      <c r="A20" s="19" t="s">
        <v>44</v>
      </c>
      <c r="B20" s="20"/>
      <c r="C20" s="15"/>
      <c r="D20" s="20"/>
      <c r="E20" s="14">
        <v>300236.64503896289</v>
      </c>
      <c r="F20" s="21">
        <v>0</v>
      </c>
    </row>
    <row r="21" spans="1:9" x14ac:dyDescent="0.25">
      <c r="A21" s="19"/>
      <c r="B21" s="20"/>
      <c r="C21" s="14"/>
      <c r="D21" s="20"/>
      <c r="E21" s="63"/>
      <c r="F21" s="21"/>
    </row>
    <row r="22" spans="1:9" x14ac:dyDescent="0.25">
      <c r="A22" s="19"/>
      <c r="B22" s="14"/>
      <c r="C22" s="14"/>
      <c r="D22" s="18"/>
      <c r="E22" s="64"/>
      <c r="F22" s="18"/>
    </row>
    <row r="23" spans="1:9" s="65" customFormat="1" x14ac:dyDescent="0.25">
      <c r="A23" s="67" t="s">
        <v>47</v>
      </c>
      <c r="B23" s="120">
        <f>SUM(B8:B22)</f>
        <v>34500000</v>
      </c>
      <c r="C23" s="68">
        <f>SUM(C8:C22)</f>
        <v>3231414</v>
      </c>
      <c r="D23" s="69">
        <f>B23/C23</f>
        <v>10.676440716045668</v>
      </c>
      <c r="E23" s="15">
        <f>SUM(E8:E22)</f>
        <v>3084362.8000000003</v>
      </c>
      <c r="F23" s="119">
        <f>SUM(F7:F22)</f>
        <v>40797083.948116414</v>
      </c>
    </row>
    <row r="24" spans="1:9" x14ac:dyDescent="0.25">
      <c r="E24" s="149">
        <v>0</v>
      </c>
      <c r="F24" s="121">
        <f>+F23/E23</f>
        <v>13.227070417305127</v>
      </c>
    </row>
    <row r="25" spans="1:9" ht="15.05" x14ac:dyDescent="0.3">
      <c r="A25" s="26" t="s">
        <v>45</v>
      </c>
      <c r="E25" s="70"/>
      <c r="F25" s="66" t="s">
        <v>46</v>
      </c>
    </row>
    <row r="26" spans="1:9" x14ac:dyDescent="0.25">
      <c r="E26" s="72"/>
    </row>
  </sheetData>
  <mergeCells count="4">
    <mergeCell ref="A4:F4"/>
    <mergeCell ref="B6:D6"/>
    <mergeCell ref="E6:F6"/>
    <mergeCell ref="B5:F5"/>
  </mergeCells>
  <pageMargins left="0.25" right="0.25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9" sqref="D19"/>
    </sheetView>
  </sheetViews>
  <sheetFormatPr defaultRowHeight="15.05" x14ac:dyDescent="0.3"/>
  <cols>
    <col min="1" max="1" width="5" bestFit="1" customWidth="1"/>
    <col min="2" max="2" width="60.6640625" bestFit="1" customWidth="1"/>
    <col min="4" max="4" width="7.33203125" bestFit="1" customWidth="1"/>
    <col min="5" max="5" width="7.44140625" bestFit="1" customWidth="1"/>
  </cols>
  <sheetData>
    <row r="1" spans="1:5" x14ac:dyDescent="0.3">
      <c r="A1" s="102"/>
      <c r="B1" s="102"/>
      <c r="C1" s="117"/>
      <c r="D1" s="117"/>
      <c r="E1" s="118" t="s">
        <v>63</v>
      </c>
    </row>
    <row r="2" spans="1:5" x14ac:dyDescent="0.3">
      <c r="A2" s="103"/>
      <c r="B2" s="103" t="s">
        <v>54</v>
      </c>
      <c r="C2" s="104"/>
      <c r="D2" s="104"/>
      <c r="E2" s="104"/>
    </row>
    <row r="3" spans="1:5" x14ac:dyDescent="0.3">
      <c r="A3" s="103"/>
      <c r="B3" s="103" t="s">
        <v>55</v>
      </c>
      <c r="C3" s="104"/>
      <c r="D3" s="104"/>
      <c r="E3" s="104"/>
    </row>
    <row r="4" spans="1:5" x14ac:dyDescent="0.3">
      <c r="A4" s="103"/>
      <c r="B4" s="103"/>
      <c r="C4" s="104"/>
      <c r="D4" s="104"/>
      <c r="E4" s="104"/>
    </row>
    <row r="5" spans="1:5" x14ac:dyDescent="0.3">
      <c r="A5" s="103"/>
      <c r="B5" s="103"/>
      <c r="C5" s="104"/>
      <c r="D5" s="104"/>
      <c r="E5" s="104"/>
    </row>
    <row r="6" spans="1:5" x14ac:dyDescent="0.3">
      <c r="A6" s="103"/>
      <c r="B6" s="103" t="s">
        <v>56</v>
      </c>
      <c r="C6" s="103"/>
      <c r="D6" s="103"/>
      <c r="E6" s="103"/>
    </row>
    <row r="7" spans="1:5" x14ac:dyDescent="0.3">
      <c r="A7" s="104"/>
      <c r="B7" s="104"/>
      <c r="C7" s="104"/>
      <c r="D7" s="104"/>
      <c r="E7" s="104"/>
    </row>
    <row r="8" spans="1:5" x14ac:dyDescent="0.3">
      <c r="A8" s="104"/>
      <c r="B8" s="104"/>
      <c r="C8" s="104"/>
      <c r="D8" s="104"/>
      <c r="E8" s="102"/>
    </row>
    <row r="9" spans="1:5" x14ac:dyDescent="0.3">
      <c r="A9" s="105" t="s">
        <v>57</v>
      </c>
      <c r="B9" s="105"/>
      <c r="C9" s="105"/>
      <c r="D9" s="102"/>
      <c r="E9" s="102"/>
    </row>
    <row r="10" spans="1:5" x14ac:dyDescent="0.3">
      <c r="A10" s="106" t="s">
        <v>58</v>
      </c>
      <c r="B10" s="106" t="s">
        <v>59</v>
      </c>
      <c r="C10" s="106"/>
      <c r="D10" s="107"/>
      <c r="E10" s="107"/>
    </row>
    <row r="11" spans="1:5" x14ac:dyDescent="0.3">
      <c r="A11" s="102"/>
      <c r="B11" s="102"/>
      <c r="C11" s="102"/>
      <c r="D11" s="102"/>
      <c r="E11" s="102"/>
    </row>
    <row r="12" spans="1:5" x14ac:dyDescent="0.3">
      <c r="A12" s="108">
        <v>1</v>
      </c>
      <c r="B12" s="109" t="s">
        <v>60</v>
      </c>
      <c r="C12" s="110"/>
      <c r="D12" s="110"/>
      <c r="E12" s="111">
        <v>8.4790000000000004E-3</v>
      </c>
    </row>
    <row r="13" spans="1:5" x14ac:dyDescent="0.3">
      <c r="A13" s="108">
        <f t="shared" ref="A13:A20" si="0">A12+1</f>
        <v>2</v>
      </c>
      <c r="B13" s="109" t="s">
        <v>61</v>
      </c>
      <c r="C13" s="110"/>
      <c r="D13" s="110"/>
      <c r="E13" s="111">
        <v>2E-3</v>
      </c>
    </row>
    <row r="14" spans="1:5" x14ac:dyDescent="0.3">
      <c r="A14" s="108">
        <f t="shared" si="0"/>
        <v>3</v>
      </c>
      <c r="B14" s="109" t="str">
        <f>"STATE UTILITY TAX ( "&amp;E14*100&amp;"% - ( LINE 1 * "&amp;E14*100&amp;"% )  )"</f>
        <v>STATE UTILITY TAX ( 3.8406% - ( LINE 1 * 3.8406% )  )</v>
      </c>
      <c r="C14" s="102"/>
      <c r="D14" s="112">
        <v>3.8733999999999998E-2</v>
      </c>
      <c r="E14" s="113">
        <f>ROUND(D14-(D14*E12),6)</f>
        <v>3.8406000000000003E-2</v>
      </c>
    </row>
    <row r="15" spans="1:5" x14ac:dyDescent="0.3">
      <c r="A15" s="108">
        <f t="shared" si="0"/>
        <v>4</v>
      </c>
      <c r="B15" s="109"/>
      <c r="C15" s="110"/>
      <c r="D15" s="110"/>
      <c r="E15" s="114"/>
    </row>
    <row r="16" spans="1:5" x14ac:dyDescent="0.3">
      <c r="A16" s="108">
        <f t="shared" si="0"/>
        <v>5</v>
      </c>
      <c r="B16" s="109" t="s">
        <v>62</v>
      </c>
      <c r="C16" s="110"/>
      <c r="D16" s="110"/>
      <c r="E16" s="111">
        <f>ROUND(SUM(E12:E14),6)</f>
        <v>4.8884999999999998E-2</v>
      </c>
    </row>
    <row r="17" spans="1:6" x14ac:dyDescent="0.3">
      <c r="A17" s="108">
        <f t="shared" si="0"/>
        <v>6</v>
      </c>
      <c r="B17" s="110"/>
      <c r="C17" s="110"/>
      <c r="D17" s="110"/>
      <c r="E17" s="111"/>
    </row>
    <row r="18" spans="1:6" x14ac:dyDescent="0.3">
      <c r="A18" s="108">
        <f t="shared" si="0"/>
        <v>7</v>
      </c>
      <c r="B18" s="110" t="str">
        <f>"CONVERSION FACTOR EXCLUDING FEDERAL INCOME TAX ( 1 - LINE "&amp;$I$17&amp;" )"</f>
        <v>CONVERSION FACTOR EXCLUDING FEDERAL INCOME TAX ( 1 - LINE  )</v>
      </c>
      <c r="C18" s="110"/>
      <c r="D18" s="110"/>
      <c r="E18" s="111">
        <f>ROUND(1-E16,6)</f>
        <v>0.95111500000000004</v>
      </c>
      <c r="F18">
        <f>ROUND(1/E18,6)</f>
        <v>1.0513980000000001</v>
      </c>
    </row>
    <row r="19" spans="1:6" x14ac:dyDescent="0.3">
      <c r="A19" s="108">
        <f t="shared" si="0"/>
        <v>8</v>
      </c>
      <c r="B19" s="109" t="e">
        <f>"FEDERAL INCOME TAX ( LINE "&amp;A18&amp;"  * "&amp;FIT_E*100&amp;"% )"</f>
        <v>#NAME?</v>
      </c>
      <c r="C19" s="110"/>
      <c r="D19" s="115">
        <v>0.21</v>
      </c>
      <c r="E19" s="111">
        <f>ROUND((E18)*D19,6)</f>
        <v>0.19973399999999999</v>
      </c>
    </row>
    <row r="20" spans="1:6" ht="15.65" thickBot="1" x14ac:dyDescent="0.35">
      <c r="A20" s="108">
        <f t="shared" si="0"/>
        <v>9</v>
      </c>
      <c r="B20" s="109" t="str">
        <f>"CONVERSION FACTOR INCL FEDERAL INCOME TAX ( LINE "&amp;A18&amp;" - LINE "&amp;A19&amp;" ) "</f>
        <v xml:space="preserve">CONVERSION FACTOR INCL FEDERAL INCOME TAX ( LINE 7 - LINE 8 ) </v>
      </c>
      <c r="C20" s="110"/>
      <c r="D20" s="110"/>
      <c r="E20" s="116">
        <f>ROUND(1-E19-E16,6)</f>
        <v>0.75138099999999997</v>
      </c>
    </row>
    <row r="21" spans="1:6" ht="15.65" thickTop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EEC48729FCC940AE34103384135F45" ma:contentTypeVersion="20" ma:contentTypeDescription="" ma:contentTypeScope="" ma:versionID="8bfde1044cfe6bca97d7e7fd34f84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Date1 xmlns="dc463f71-b30c-4ab2-9473-d307f9d35888">2022-07-07T07:00:00+00:00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220405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40BBE75-D073-4C38-B798-C9A511367292}"/>
</file>

<file path=customXml/itemProps2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52347-C971-4FC1-8E45-FB0E16866E1B}">
  <ds:schemaRefs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8676D20-7D20-488D-9D22-B0FD8D09D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(2)(a)(i) One Time (all)</vt:lpstr>
      <vt:lpstr>(2)(a)(ii)Annual2022est (R)</vt:lpstr>
      <vt:lpstr>(2)(a)(iii)(A) and (B)</vt:lpstr>
      <vt:lpstr>electric conv fctr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Chris Schaefer</cp:lastModifiedBy>
  <cp:lastPrinted>2021-05-26T00:10:20Z</cp:lastPrinted>
  <dcterms:created xsi:type="dcterms:W3CDTF">2016-07-07T17:22:29Z</dcterms:created>
  <dcterms:modified xsi:type="dcterms:W3CDTF">2022-07-07T19:05:35Z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0x0101006E56B4D1795A2E4DB2F0B01679ED314A00D9EEC48729FCC940AE34103384135F45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