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8" windowWidth="14520" windowHeight="12816" tabRatio="829"/>
  </bookViews>
  <sheets>
    <sheet name="Lead E" sheetId="19" r:id="rId1"/>
    <sheet name="Lead G" sheetId="20" r:id="rId2"/>
    <sheet name="Ave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Fill" hidden="1">#REF!</definedName>
    <definedName name="_Order1" hidden="1">255</definedName>
    <definedName name="_Order2" hidden="1">255</definedName>
    <definedName name="a" localSheetId="4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3" hidden="1">{#N/A,#N/A,FALSE,"Coversheet";#N/A,#N/A,FALSE,"QA"}</definedName>
    <definedName name="CBWorkbookPriority" hidden="1">-2060790043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6" localSheetId="4" hidden="1">{#N/A,#N/A,FALSE,"Coversheet";#N/A,#N/A,FALSE,"QA"}</definedName>
    <definedName name="Delete06" localSheetId="3" hidden="1">{#N/A,#N/A,FALSE,"Coversheet";#N/A,#N/A,FALSE,"QA"}</definedName>
    <definedName name="Delete09" localSheetId="4" hidden="1">{#N/A,#N/A,FALSE,"Coversheet";#N/A,#N/A,FALSE,"QA"}</definedName>
    <definedName name="Delete09" localSheetId="3" hidden="1">{#N/A,#N/A,FALSE,"Coversheet";#N/A,#N/A,FALSE,"QA"}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0" localSheetId="4" hidden="1">{#N/A,#N/A,FALSE,"Schedule F";#N/A,#N/A,FALSE,"Schedule G"}</definedName>
    <definedName name="Delete10" localSheetId="3" hidden="1">{#N/A,#N/A,FALSE,"Schedule F";#N/A,#N/A,FALSE,"Schedule G"}</definedName>
    <definedName name="Delete21" localSheetId="4" hidden="1">{#N/A,#N/A,FALSE,"Coversheet";#N/A,#N/A,FALSE,"QA"}</definedName>
    <definedName name="Delete21" localSheetId="3" hidden="1">{#N/A,#N/A,FALSE,"Coversheet";#N/A,#N/A,FALSE,"QA"}</definedName>
    <definedName name="DFIT" localSheetId="4" hidden="1">{#N/A,#N/A,FALSE,"Coversheet";#N/A,#N/A,FALSE,"QA"}</definedName>
    <definedName name="DFIT" localSheetId="3" hidden="1">{#N/A,#N/A,FALSE,"Coversheet";#N/A,#N/A,FALSE,"QA"}</definedName>
    <definedName name="_xlnm.Print_Area" localSheetId="0">'Lead E'!$A$1:$E$32</definedName>
    <definedName name="_xlnm.Print_Area" localSheetId="5">'Summary PCORCs'!$A$1:$F$60</definedName>
    <definedName name="_xlnm.Print_Area" localSheetId="3">TY!$A$1:$D$18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3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11" i="38" l="1"/>
  <c r="C11" i="38"/>
  <c r="D15" i="44" l="1"/>
  <c r="B17" i="44"/>
  <c r="C14" i="44" l="1"/>
  <c r="B23" i="38" l="1"/>
  <c r="B9" i="38"/>
  <c r="D23" i="23" l="1"/>
  <c r="B20" i="38" l="1"/>
  <c r="D14" i="38"/>
  <c r="C14" i="38"/>
  <c r="C13" i="38"/>
  <c r="B6" i="38"/>
  <c r="B10" i="26"/>
  <c r="B6" i="26"/>
  <c r="B14" i="26" l="1"/>
  <c r="B21" i="38"/>
  <c r="B22" i="38"/>
  <c r="B8" i="38"/>
  <c r="B7" i="38"/>
  <c r="D21" i="23" l="1"/>
  <c r="D19" i="23"/>
  <c r="B9" i="44" l="1"/>
  <c r="D26" i="19" s="1"/>
  <c r="C15" i="38" l="1"/>
  <c r="D25" i="23" l="1"/>
  <c r="C7" i="44" l="1"/>
  <c r="C9" i="44" s="1"/>
  <c r="A8" i="20" l="1"/>
  <c r="A7" i="20"/>
  <c r="D13" i="38"/>
  <c r="C25" i="38" l="1"/>
  <c r="C28" i="38" s="1"/>
  <c r="D25" i="38"/>
  <c r="D28" i="38" s="1"/>
  <c r="D27" i="38" l="1"/>
  <c r="D29" i="38" s="1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D23" i="19" l="1"/>
  <c r="D25" i="19" s="1"/>
  <c r="D27" i="19" s="1"/>
  <c r="D6" i="23"/>
  <c r="C27" i="38"/>
  <c r="C29" i="38" s="1"/>
  <c r="C32" i="38" s="1"/>
  <c r="D15" i="38"/>
  <c r="D4" i="23"/>
  <c r="D32" i="38" l="1"/>
  <c r="C16" i="38"/>
  <c r="E27" i="19"/>
  <c r="D9" i="23"/>
  <c r="D11" i="23" s="1"/>
  <c r="D13" i="23" s="1"/>
  <c r="D15" i="20" l="1"/>
  <c r="D17" i="20" s="1"/>
  <c r="D16" i="19"/>
  <c r="D18" i="19" l="1"/>
  <c r="D6" i="44" l="1"/>
  <c r="D16" i="44" s="1"/>
  <c r="D17" i="44" s="1"/>
  <c r="D18" i="20" s="1"/>
  <c r="D19" i="20" s="1"/>
  <c r="E19" i="20" s="1"/>
  <c r="E22" i="20" s="1"/>
  <c r="E24" i="20" s="1"/>
  <c r="E25" i="20" s="1"/>
  <c r="C6" i="44"/>
  <c r="C16" i="44" s="1"/>
  <c r="C17" i="44" s="1"/>
  <c r="D19" i="19" s="1"/>
  <c r="D20" i="19" l="1"/>
  <c r="E20" i="19" s="1"/>
  <c r="E29" i="19" s="1"/>
  <c r="E31" i="19" l="1"/>
  <c r="E32" i="19" s="1"/>
</calcChain>
</file>

<file path=xl/sharedStrings.xml><?xml version="1.0" encoding="utf-8"?>
<sst xmlns="http://schemas.openxmlformats.org/spreadsheetml/2006/main" count="131" uniqueCount="100">
  <si>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</si>
  <si>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</si>
  <si>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</si>
  <si>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</si>
  <si>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</si>
  <si>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</si>
  <si>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</si>
  <si>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</si>
  <si>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</si>
  <si>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</si>
  <si>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Electric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</si>
  <si>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</si>
  <si>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</si>
  <si>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</si>
  <si>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</si>
  <si>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</si>
  <si>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</si>
  <si>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</si>
  <si>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</si>
  <si>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</si>
  <si>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Split between Electric and Gas - Rounded</t>
  </si>
  <si>
    <t>ANNUAL NORMALIZATION (LINE 3 / 2)</t>
  </si>
  <si>
    <t>PUGET SOUND ENERGY-GAS</t>
  </si>
  <si>
    <t>Act. Costs</t>
  </si>
  <si>
    <t>2011 GRC</t>
  </si>
  <si>
    <t>order 92800018 (Elec)</t>
  </si>
  <si>
    <t>order 92800319 (Gas)</t>
  </si>
  <si>
    <t>order 92800605 (Common)</t>
  </si>
  <si>
    <t>2009 GRC</t>
  </si>
  <si>
    <t>order 92800017</t>
  </si>
  <si>
    <t>order 92800318</t>
  </si>
  <si>
    <t>order 92800604</t>
  </si>
  <si>
    <t>Total 2009 GRC Cost</t>
  </si>
  <si>
    <t>Total 2011 GRC Cost</t>
  </si>
  <si>
    <t>2011 GRC cost</t>
  </si>
  <si>
    <t>2009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</si>
  <si>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</si>
  <si>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</si>
  <si>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</si>
  <si>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</si>
  <si>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</si>
  <si>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</si>
  <si>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Direct</t>
  </si>
  <si>
    <t>Common</t>
  </si>
  <si>
    <t>Summary 11GRC by E &amp; G</t>
  </si>
  <si>
    <t>Summary 09GRC by E &amp; G</t>
  </si>
  <si>
    <t>Grand Total Both Rate Cases</t>
  </si>
  <si>
    <t>&lt;== Current Allocation Method #1:  12 Month Average Number of Customers</t>
  </si>
  <si>
    <t>&lt;==  Current Allocation Method #4:  4-Factor Allocator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</si>
  <si>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</si>
  <si>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</si>
  <si>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</si>
  <si>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</si>
  <si>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</si>
  <si>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</si>
  <si>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</si>
  <si>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</si>
  <si>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</si>
  <si>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</si>
  <si>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 (2009 AND 2011) TO BE NORMALIZED</t>
  </si>
  <si>
    <t>EXPENSES OF LAST 2 COMPLETED GRCS</t>
  </si>
  <si>
    <t xml:space="preserve">      2011 AND 2009 GRC EXPENSES TO BE NORMALIZED</t>
  </si>
  <si>
    <t xml:space="preserve">EXPENSES OF LAST 2 COMPLETED PCORCS </t>
  </si>
  <si>
    <t xml:space="preserve">     2014 AND 2013 PCORC EXPENSES TO BE NORMALIZED</t>
  </si>
  <si>
    <t>ANNUAL NORMALIZATION (LINE 11 / 4)</t>
  </si>
  <si>
    <t>ANNUAL NORMALIZATION (LINE 4 / 2)</t>
  </si>
  <si>
    <t>Cumulative Expenditures through 9/30/2016</t>
  </si>
  <si>
    <t>9ME Sept 2016</t>
  </si>
  <si>
    <t>FOR THE TWELVE MONTHS ENDED SEPTEMBER 30, 2016</t>
  </si>
  <si>
    <t>2017 GENERAL RATE CASE</t>
  </si>
  <si>
    <t>12ME Sept 30, 2016</t>
  </si>
  <si>
    <t>92800115  1900 - 2016 General Rate Case - Elec</t>
  </si>
  <si>
    <t>--</t>
  </si>
  <si>
    <t>92800308  1900 - 2016 General Rate Case - Gas</t>
  </si>
  <si>
    <t>92800610  1900 - 2016 General Rate Case - Cmn</t>
  </si>
  <si>
    <t>GRC Costs</t>
  </si>
  <si>
    <t>SAP 928 orders GRC Expenses</t>
  </si>
  <si>
    <t>CLSD 1320 -2007 General Rate Case - E</t>
  </si>
  <si>
    <t>CLSD 1320 -2009 General Rate Case - E</t>
  </si>
  <si>
    <t>CLSD 1320 -2011 General Rate Case - E</t>
  </si>
  <si>
    <t>CLSD 1320 - 2012 General Rate Case - E</t>
  </si>
  <si>
    <t>1900 - Regulatory Exp State - 2014 GRC</t>
  </si>
  <si>
    <t>1900 - 2016 General Rate Case - Elec</t>
  </si>
  <si>
    <t>1900 -2016 General Rate Case - Gas</t>
  </si>
  <si>
    <t>CLSD 1320 -2004 GRC, Rate Case Costs-G</t>
  </si>
  <si>
    <t>CLSD 1320 -2001 Gen Rate Case Costs-G</t>
  </si>
  <si>
    <t>CLSD 1320 -2006 GRC, Rate Case Costs-G</t>
  </si>
  <si>
    <t>CLSD 1320 -2007 General Rate Case - G</t>
  </si>
  <si>
    <t>CLSD 1320 -2009 General Rate Case - G</t>
  </si>
  <si>
    <t>CLSD 1320 -2011 General Rate Case - G</t>
  </si>
  <si>
    <t>CLSD 1320 - 2012 General Rate Case - G</t>
  </si>
  <si>
    <t>CLSD 1320 -2006 GRC, Rate Case Costs-C</t>
  </si>
  <si>
    <t>CLSD 1320 - 2007 PCORC Costs-Common</t>
  </si>
  <si>
    <t>CLSD 1320 -2007 General Rate Case - C</t>
  </si>
  <si>
    <t>CLSD 1320 -2009 General Rate Case - C</t>
  </si>
  <si>
    <t>1320 -2011 General Rate Case - Common</t>
  </si>
  <si>
    <t>CLSD 1320 - 2012 General Rate Case - C</t>
  </si>
  <si>
    <t>1900 - 2016 General Rate Case - Common</t>
  </si>
  <si>
    <t>Clsd-1320 -2006 GRC, Rate Case Costs-Com</t>
  </si>
  <si>
    <t>Total Expenses in 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</si>
</sst>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\-yy"/>
    <numFmt numFmtId="169" formatCode="0.000000"/>
    <numFmt numFmtId="170" formatCode="_(* #,##0.00000_);_(* \(#,##0.00000\);_(* &quot;-&quot;??_);_(@_)"/>
    <numFmt numFmtId="171" formatCode="0.0000000"/>
    <numFmt numFmtId="172" formatCode="d\.mmm\.yy"/>
    <numFmt numFmtId="173" formatCode="_(* ###0_);_(* \(###0\);_(* &quot;-&quot;_);_(@_)"/>
    <numFmt numFmtId="174" formatCode="0000000"/>
    <numFmt numFmtId="175" formatCode="0.0%"/>
    <numFmt numFmtId="176" formatCode="_(* #,##0.0_);_(* \(#,##0.0\);_(* &quot;-&quot;_);_(@_)"/>
    <numFmt numFmtId="177" formatCode="mmmm\ d\,\ yyyy"/>
    <numFmt numFmtId="178" formatCode="#."/>
    <numFmt numFmtId="179" formatCode="_(&quot;$&quot;* #,##0.0000_);_(&quot;$&quot;* \(#,##0.0000\);_(&quot;$&quot;* &quot;-&quot;????_);_(@_)"/>
    <numFmt numFmtId="180" formatCode="#,##0.00_-;#,##0.00\-;&quot; &quot;"/>
    <numFmt numFmtId="181" formatCode="0000"/>
    <numFmt numFmtId="182" formatCode="000000"/>
  </numFmts>
  <fonts count="74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b/>
      <sz val="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Geneva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06">
    <xf numFmtId="0" fontId="0" fillId="0" borderId="0"/>
    <xf numFmtId="169" fontId="8" fillId="0" borderId="0">
      <alignment horizontal="left" wrapText="1"/>
    </xf>
    <xf numFmtId="170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2" fillId="0" borderId="0"/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2" fillId="0" borderId="0"/>
    <xf numFmtId="181" fontId="39" fillId="0" borderId="0">
      <alignment horizontal="left"/>
    </xf>
    <xf numFmtId="182" fontId="40" fillId="0" borderId="0">
      <alignment horizontal="left"/>
    </xf>
    <xf numFmtId="0" fontId="50" fillId="36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50" fillId="37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50" fillId="38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50" fillId="39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50" fillId="40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50" fillId="4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50" fillId="42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50" fillId="43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50" fillId="4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50" fillId="4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50" fillId="46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50" fillId="47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5" borderId="0" applyNumberFormat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2" fillId="60" borderId="0" applyNumberFormat="0" applyBorder="0" applyAlignment="0" applyProtection="0"/>
    <xf numFmtId="0" fontId="40" fillId="0" borderId="0" applyFont="0" applyFill="0" applyBorder="0" applyAlignment="0" applyProtection="0">
      <alignment horizontal="right"/>
    </xf>
    <xf numFmtId="172" fontId="13" fillId="0" borderId="0" applyFill="0" applyBorder="0" applyAlignment="0"/>
    <xf numFmtId="0" fontId="53" fillId="61" borderId="25" applyNumberFormat="0" applyAlignment="0" applyProtection="0"/>
    <xf numFmtId="0" fontId="54" fillId="62" borderId="26" applyNumberFormat="0" applyAlignment="0" applyProtection="0"/>
    <xf numFmtId="41" fontId="8" fillId="16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29" fillId="0" borderId="0"/>
    <xf numFmtId="178" fontId="30" fillId="0" borderId="0">
      <protection locked="0"/>
    </xf>
    <xf numFmtId="0" fontId="29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5" fillId="0" borderId="0"/>
    <xf numFmtId="0" fontId="29" fillId="0" borderId="0"/>
    <xf numFmtId="0" fontId="15" fillId="0" borderId="0"/>
    <xf numFmtId="0" fontId="29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69" fontId="8" fillId="0" borderId="0"/>
    <xf numFmtId="0" fontId="55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56" fillId="63" borderId="0" applyNumberFormat="0" applyBorder="0" applyAlignment="0" applyProtection="0"/>
    <xf numFmtId="38" fontId="6" fillId="16" borderId="0" applyNumberFormat="0" applyBorder="0" applyAlignment="0" applyProtection="0"/>
    <xf numFmtId="167" fontId="38" fillId="0" borderId="0" applyNumberFormat="0" applyFill="0" applyBorder="0" applyProtection="0">
      <alignment horizontal="right"/>
    </xf>
    <xf numFmtId="0" fontId="4" fillId="0" borderId="1" applyNumberFormat="0" applyAlignment="0" applyProtection="0">
      <alignment horizontal="left"/>
    </xf>
    <xf numFmtId="0" fontId="4" fillId="0" borderId="2">
      <alignment horizontal="left"/>
    </xf>
    <xf numFmtId="14" fontId="5" fillId="17" borderId="3">
      <alignment horizontal="center" vertical="center" wrapText="1"/>
    </xf>
    <xf numFmtId="0" fontId="57" fillId="0" borderId="27" applyNumberFormat="0" applyFill="0" applyAlignment="0" applyProtection="0"/>
    <xf numFmtId="0" fontId="58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0" applyNumberFormat="0" applyFill="0" applyBorder="0" applyAlignment="0" applyProtection="0"/>
    <xf numFmtId="38" fontId="18" fillId="0" borderId="0"/>
    <xf numFmtId="40" fontId="18" fillId="0" borderId="0"/>
    <xf numFmtId="0" fontId="60" fillId="64" borderId="25" applyNumberFormat="0" applyAlignment="0" applyProtection="0"/>
    <xf numFmtId="10" fontId="6" fillId="18" borderId="4" applyNumberFormat="0" applyBorder="0" applyAlignment="0" applyProtection="0"/>
    <xf numFmtId="41" fontId="19" fillId="19" borderId="5">
      <alignment horizontal="left"/>
      <protection locked="0"/>
    </xf>
    <xf numFmtId="10" fontId="19" fillId="19" borderId="5">
      <alignment horizontal="right"/>
      <protection locked="0"/>
    </xf>
    <xf numFmtId="41" fontId="19" fillId="19" borderId="5">
      <alignment horizontal="left"/>
      <protection locked="0"/>
    </xf>
    <xf numFmtId="0" fontId="6" fillId="16" borderId="0"/>
    <xf numFmtId="3" fontId="31" fillId="0" borderId="0" applyFill="0" applyBorder="0" applyAlignment="0" applyProtection="0"/>
    <xf numFmtId="0" fontId="61" fillId="0" borderId="30" applyNumberFormat="0" applyFill="0" applyAlignment="0" applyProtection="0"/>
    <xf numFmtId="44" fontId="5" fillId="0" borderId="6" applyNumberFormat="0" applyFont="0" applyAlignment="0">
      <alignment horizontal="center"/>
    </xf>
    <xf numFmtId="44" fontId="5" fillId="0" borderId="7" applyNumberFormat="0" applyFont="0" applyAlignment="0">
      <alignment horizontal="center"/>
    </xf>
    <xf numFmtId="0" fontId="62" fillId="65" borderId="0" applyNumberFormat="0" applyBorder="0" applyAlignment="0" applyProtection="0"/>
    <xf numFmtId="37" fontId="20" fillId="0" borderId="0"/>
    <xf numFmtId="174" fontId="21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8" fillId="0" borderId="0"/>
    <xf numFmtId="177" fontId="8" fillId="0" borderId="0">
      <alignment horizontal="left" wrapText="1"/>
    </xf>
    <xf numFmtId="0" fontId="27" fillId="0" borderId="0"/>
    <xf numFmtId="0" fontId="27" fillId="0" borderId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50" fillId="66" borderId="31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63" fillId="61" borderId="32" applyNumberFormat="0" applyAlignment="0" applyProtection="0"/>
    <xf numFmtId="0" fontId="15" fillId="0" borderId="0"/>
    <xf numFmtId="0" fontId="15" fillId="0" borderId="0"/>
    <xf numFmtId="0" fontId="29" fillId="0" borderId="0"/>
    <xf numFmtId="17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9" fillId="0" borderId="0" applyFont="0" applyFill="0" applyBorder="0" applyAlignment="0" applyProtection="0"/>
    <xf numFmtId="41" fontId="8" fillId="22" borderId="5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22" fillId="0" borderId="3">
      <alignment horizontal="center"/>
    </xf>
    <xf numFmtId="3" fontId="11" fillId="0" borderId="0" applyFont="0" applyFill="0" applyBorder="0" applyAlignment="0" applyProtection="0"/>
    <xf numFmtId="0" fontId="11" fillId="23" borderId="0" applyNumberFormat="0" applyFont="0" applyBorder="0" applyAlignment="0" applyProtection="0"/>
    <xf numFmtId="0" fontId="29" fillId="0" borderId="0"/>
    <xf numFmtId="3" fontId="32" fillId="0" borderId="0" applyFill="0" applyBorder="0" applyAlignment="0" applyProtection="0"/>
    <xf numFmtId="0" fontId="33" fillId="0" borderId="0"/>
    <xf numFmtId="42" fontId="8" fillId="18" borderId="0"/>
    <xf numFmtId="42" fontId="8" fillId="18" borderId="9">
      <alignment vertical="center"/>
    </xf>
    <xf numFmtId="0" fontId="5" fillId="18" borderId="10" applyNumberFormat="0">
      <alignment horizontal="center" vertical="center" wrapText="1"/>
    </xf>
    <xf numFmtId="10" fontId="8" fillId="18" borderId="0"/>
    <xf numFmtId="179" fontId="8" fillId="18" borderId="0"/>
    <xf numFmtId="166" fontId="18" fillId="0" borderId="0" applyBorder="0" applyAlignment="0"/>
    <xf numFmtId="42" fontId="8" fillId="18" borderId="11">
      <alignment horizontal="left"/>
    </xf>
    <xf numFmtId="179" fontId="34" fillId="18" borderId="11">
      <alignment horizontal="left"/>
    </xf>
    <xf numFmtId="14" fontId="23" fillId="0" borderId="0" applyNumberFormat="0" applyFill="0" applyBorder="0" applyAlignment="0" applyProtection="0">
      <alignment horizontal="left"/>
    </xf>
    <xf numFmtId="176" fontId="8" fillId="0" borderId="0" applyFont="0" applyFill="0" applyAlignment="0">
      <alignment horizontal="right"/>
    </xf>
    <xf numFmtId="4" fontId="42" fillId="20" borderId="12" applyNumberFormat="0" applyProtection="0">
      <alignment vertical="center"/>
    </xf>
    <xf numFmtId="4" fontId="43" fillId="19" borderId="12" applyNumberFormat="0" applyProtection="0">
      <alignment vertical="center"/>
    </xf>
    <xf numFmtId="4" fontId="42" fillId="19" borderId="12" applyNumberFormat="0" applyProtection="0">
      <alignment horizontal="left" vertical="center" indent="1"/>
    </xf>
    <xf numFmtId="0" fontId="42" fillId="19" borderId="12" applyNumberFormat="0" applyProtection="0">
      <alignment horizontal="left" vertical="top" indent="1"/>
    </xf>
    <xf numFmtId="4" fontId="42" fillId="24" borderId="0" applyNumberFormat="0" applyProtection="0">
      <alignment horizontal="left" vertical="center" indent="1"/>
    </xf>
    <xf numFmtId="0" fontId="8" fillId="25" borderId="0" applyNumberFormat="0" applyProtection="0">
      <alignment horizontal="left" vertical="center" indent="1"/>
    </xf>
    <xf numFmtId="4" fontId="41" fillId="3" borderId="12" applyNumberFormat="0" applyProtection="0">
      <alignment horizontal="right" vertical="center"/>
    </xf>
    <xf numFmtId="4" fontId="41" fillId="9" borderId="12" applyNumberFormat="0" applyProtection="0">
      <alignment horizontal="right" vertical="center"/>
    </xf>
    <xf numFmtId="4" fontId="41" fillId="13" borderId="12" applyNumberFormat="0" applyProtection="0">
      <alignment horizontal="right" vertical="center"/>
    </xf>
    <xf numFmtId="4" fontId="41" fillId="11" borderId="12" applyNumberFormat="0" applyProtection="0">
      <alignment horizontal="right" vertical="center"/>
    </xf>
    <xf numFmtId="4" fontId="41" fillId="12" borderId="12" applyNumberFormat="0" applyProtection="0">
      <alignment horizontal="right" vertical="center"/>
    </xf>
    <xf numFmtId="4" fontId="41" fillId="15" borderId="12" applyNumberFormat="0" applyProtection="0">
      <alignment horizontal="right" vertical="center"/>
    </xf>
    <xf numFmtId="4" fontId="41" fillId="14" borderId="12" applyNumberFormat="0" applyProtection="0">
      <alignment horizontal="right" vertical="center"/>
    </xf>
    <xf numFmtId="4" fontId="41" fillId="26" borderId="12" applyNumberFormat="0" applyProtection="0">
      <alignment horizontal="right" vertical="center"/>
    </xf>
    <xf numFmtId="4" fontId="41" fillId="10" borderId="12" applyNumberFormat="0" applyProtection="0">
      <alignment horizontal="right" vertical="center"/>
    </xf>
    <xf numFmtId="4" fontId="42" fillId="27" borderId="13" applyNumberFormat="0" applyProtection="0">
      <alignment horizontal="left" vertical="center" indent="1"/>
    </xf>
    <xf numFmtId="4" fontId="41" fillId="28" borderId="0" applyNumberFormat="0" applyProtection="0">
      <alignment horizontal="left" vertical="center" indent="1"/>
    </xf>
    <xf numFmtId="4" fontId="44" fillId="29" borderId="0" applyNumberFormat="0" applyProtection="0">
      <alignment horizontal="left" vertical="center" indent="1"/>
    </xf>
    <xf numFmtId="4" fontId="41" fillId="30" borderId="12" applyNumberFormat="0" applyProtection="0">
      <alignment horizontal="right" vertical="center"/>
    </xf>
    <xf numFmtId="4" fontId="41" fillId="28" borderId="0" applyNumberFormat="0" applyProtection="0">
      <alignment horizontal="left" vertical="center" indent="1"/>
    </xf>
    <xf numFmtId="4" fontId="41" fillId="24" borderId="0" applyNumberFormat="0" applyProtection="0">
      <alignment horizontal="left" vertical="center" indent="1"/>
    </xf>
    <xf numFmtId="0" fontId="8" fillId="29" borderId="12" applyNumberFormat="0" applyProtection="0">
      <alignment horizontal="left" vertical="center" indent="1"/>
    </xf>
    <xf numFmtId="0" fontId="8" fillId="29" borderId="12" applyNumberFormat="0" applyProtection="0">
      <alignment horizontal="left" vertical="top" indent="1"/>
    </xf>
    <xf numFmtId="0" fontId="8" fillId="24" borderId="12" applyNumberFormat="0" applyProtection="0">
      <alignment horizontal="left" vertical="center" indent="1"/>
    </xf>
    <xf numFmtId="0" fontId="8" fillId="24" borderId="12" applyNumberFormat="0" applyProtection="0">
      <alignment horizontal="left" vertical="top" indent="1"/>
    </xf>
    <xf numFmtId="0" fontId="8" fillId="31" borderId="12" applyNumberFormat="0" applyProtection="0">
      <alignment horizontal="left" vertical="center" indent="1"/>
    </xf>
    <xf numFmtId="0" fontId="8" fillId="31" borderId="12" applyNumberFormat="0" applyProtection="0">
      <alignment horizontal="left" vertical="top" indent="1"/>
    </xf>
    <xf numFmtId="0" fontId="8" fillId="22" borderId="12" applyNumberFormat="0" applyProtection="0">
      <alignment horizontal="left" vertical="center" indent="1"/>
    </xf>
    <xf numFmtId="0" fontId="8" fillId="22" borderId="12" applyNumberFormat="0" applyProtection="0">
      <alignment horizontal="left" vertical="top" indent="1"/>
    </xf>
    <xf numFmtId="4" fontId="41" fillId="32" borderId="12" applyNumberFormat="0" applyProtection="0">
      <alignment vertical="center"/>
    </xf>
    <xf numFmtId="4" fontId="45" fillId="32" borderId="12" applyNumberFormat="0" applyProtection="0">
      <alignment vertical="center"/>
    </xf>
    <xf numFmtId="4" fontId="41" fillId="32" borderId="12" applyNumberFormat="0" applyProtection="0">
      <alignment horizontal="left" vertical="center" indent="1"/>
    </xf>
    <xf numFmtId="0" fontId="41" fillId="32" borderId="12" applyNumberFormat="0" applyProtection="0">
      <alignment horizontal="left" vertical="top" indent="1"/>
    </xf>
    <xf numFmtId="4" fontId="41" fillId="28" borderId="12" applyNumberFormat="0" applyProtection="0">
      <alignment horizontal="right" vertical="center"/>
    </xf>
    <xf numFmtId="4" fontId="45" fillId="28" borderId="12" applyNumberFormat="0" applyProtection="0">
      <alignment horizontal="right" vertical="center"/>
    </xf>
    <xf numFmtId="4" fontId="41" fillId="30" borderId="12" applyNumberFormat="0" applyProtection="0">
      <alignment horizontal="left" vertical="center" indent="1"/>
    </xf>
    <xf numFmtId="0" fontId="41" fillId="24" borderId="12" applyNumberFormat="0" applyProtection="0">
      <alignment horizontal="left" vertical="top" indent="1"/>
    </xf>
    <xf numFmtId="4" fontId="46" fillId="33" borderId="0" applyNumberFormat="0" applyProtection="0">
      <alignment horizontal="left" vertical="center" indent="1"/>
    </xf>
    <xf numFmtId="4" fontId="7" fillId="28" borderId="12" applyNumberFormat="0" applyProtection="0">
      <alignment horizontal="right" vertical="center"/>
    </xf>
    <xf numFmtId="39" fontId="8" fillId="34" borderId="0"/>
    <xf numFmtId="38" fontId="6" fillId="0" borderId="14"/>
    <xf numFmtId="38" fontId="18" fillId="0" borderId="11"/>
    <xf numFmtId="39" fontId="23" fillId="35" borderId="0"/>
    <xf numFmtId="169" fontId="8" fillId="0" borderId="0">
      <alignment horizontal="left" wrapText="1"/>
    </xf>
    <xf numFmtId="170" fontId="8" fillId="0" borderId="0">
      <alignment horizontal="left" wrapText="1"/>
    </xf>
    <xf numFmtId="40" fontId="24" fillId="0" borderId="0" applyBorder="0">
      <alignment horizontal="right"/>
    </xf>
    <xf numFmtId="41" fontId="35" fillId="18" borderId="0">
      <alignment horizontal="left"/>
    </xf>
    <xf numFmtId="0" fontId="47" fillId="0" borderId="0"/>
    <xf numFmtId="0" fontId="48" fillId="0" borderId="0" applyFill="0" applyBorder="0" applyProtection="0">
      <alignment horizontal="left" vertical="top"/>
    </xf>
    <xf numFmtId="0" fontId="64" fillId="0" borderId="0" applyNumberFormat="0" applyFill="0" applyBorder="0" applyAlignment="0" applyProtection="0"/>
    <xf numFmtId="164" fontId="36" fillId="18" borderId="0">
      <alignment horizontal="left" vertical="center"/>
    </xf>
    <xf numFmtId="0" fontId="5" fillId="18" borderId="0">
      <alignment horizontal="left" wrapText="1"/>
    </xf>
    <xf numFmtId="0" fontId="25" fillId="0" borderId="0">
      <alignment horizontal="left" vertical="center"/>
    </xf>
    <xf numFmtId="0" fontId="65" fillId="0" borderId="33" applyNumberFormat="0" applyFill="0" applyAlignment="0" applyProtection="0"/>
    <xf numFmtId="0" fontId="29" fillId="0" borderId="15"/>
    <xf numFmtId="0" fontId="66" fillId="0" borderId="0" applyNumberFormat="0" applyFill="0" applyBorder="0" applyAlignment="0" applyProtection="0"/>
    <xf numFmtId="169" fontId="23" fillId="0" borderId="0">
      <alignment horizontal="left" wrapText="1"/>
    </xf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6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67" fillId="72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67" fillId="75" borderId="0" applyNumberFormat="0" applyBorder="0" applyAlignment="0" applyProtection="0"/>
    <xf numFmtId="0" fontId="27" fillId="74" borderId="0" applyNumberFormat="0" applyBorder="0" applyAlignment="0" applyProtection="0"/>
    <xf numFmtId="0" fontId="27" fillId="75" borderId="0" applyNumberFormat="0" applyBorder="0" applyAlignment="0" applyProtection="0"/>
    <xf numFmtId="0" fontId="67" fillId="75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67" fillId="68" borderId="0" applyNumberFormat="0" applyBorder="0" applyAlignment="0" applyProtection="0"/>
    <xf numFmtId="0" fontId="27" fillId="76" borderId="0" applyNumberFormat="0" applyBorder="0" applyAlignment="0" applyProtection="0"/>
    <xf numFmtId="0" fontId="27" fillId="71" borderId="0" applyNumberFormat="0" applyBorder="0" applyAlignment="0" applyProtection="0"/>
    <xf numFmtId="0" fontId="67" fillId="77" borderId="0" applyNumberFormat="0" applyBorder="0" applyAlignment="0" applyProtection="0"/>
    <xf numFmtId="44" fontId="8" fillId="0" borderId="0" applyFont="0" applyFill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80" borderId="0" applyNumberFormat="0" applyBorder="0" applyAlignment="0" applyProtection="0"/>
    <xf numFmtId="0" fontId="8" fillId="81" borderId="4" applyNumberFormat="0">
      <protection locked="0"/>
    </xf>
    <xf numFmtId="0" fontId="6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6" fillId="0" borderId="0" xfId="0" applyFont="1"/>
    <xf numFmtId="0" fontId="0" fillId="0" borderId="20" xfId="0" applyBorder="1"/>
    <xf numFmtId="0" fontId="7" fillId="0" borderId="18" xfId="0" applyFont="1" applyBorder="1"/>
    <xf numFmtId="0" fontId="2" fillId="0" borderId="21" xfId="0" quotePrefix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10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83" applyNumberFormat="1" applyFont="1" applyFill="1" applyBorder="1"/>
    <xf numFmtId="165" fontId="3" fillId="0" borderId="11" xfId="108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5" fontId="3" fillId="0" borderId="0" xfId="108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7" fillId="0" borderId="10" xfId="0" applyFont="1" applyBorder="1"/>
    <xf numFmtId="0" fontId="7" fillId="0" borderId="0" xfId="0" applyFont="1" applyBorder="1"/>
    <xf numFmtId="0" fontId="8" fillId="0" borderId="0" xfId="0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108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43" fontId="1" fillId="0" borderId="0" xfId="83" applyFill="1" applyBorder="1"/>
    <xf numFmtId="43" fontId="1" fillId="0" borderId="0" xfId="83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1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8" fillId="0" borderId="10" xfId="0" applyFont="1" applyFill="1" applyBorder="1"/>
    <xf numFmtId="43" fontId="1" fillId="0" borderId="10" xfId="83" applyFill="1" applyBorder="1"/>
    <xf numFmtId="0" fontId="6" fillId="0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11" xfId="0" applyFill="1" applyBorder="1"/>
    <xf numFmtId="43" fontId="0" fillId="0" borderId="0" xfId="83" applyFont="1" applyFill="1"/>
    <xf numFmtId="43" fontId="5" fillId="0" borderId="0" xfId="90" applyFont="1" applyFill="1" applyBorder="1" applyAlignment="1">
      <alignment horizontal="center"/>
    </xf>
    <xf numFmtId="43" fontId="37" fillId="0" borderId="0" xfId="90" applyFill="1"/>
    <xf numFmtId="43" fontId="37" fillId="0" borderId="0" xfId="90" applyFill="1" applyBorder="1"/>
    <xf numFmtId="166" fontId="0" fillId="0" borderId="0" xfId="83" applyNumberFormat="1" applyFont="1" applyFill="1" applyBorder="1"/>
    <xf numFmtId="168" fontId="5" fillId="0" borderId="0" xfId="0" applyNumberFormat="1" applyFont="1" applyFill="1" applyAlignment="1">
      <alignment horizontal="left" indent="2"/>
    </xf>
    <xf numFmtId="166" fontId="0" fillId="0" borderId="0" xfId="83" applyNumberFormat="1" applyFont="1"/>
    <xf numFmtId="41" fontId="0" fillId="0" borderId="0" xfId="0" applyNumberFormat="1" applyFill="1"/>
    <xf numFmtId="166" fontId="1" fillId="0" borderId="0" xfId="83" applyNumberFormat="1" applyFill="1" applyBorder="1"/>
    <xf numFmtId="166" fontId="0" fillId="0" borderId="0" xfId="83" applyNumberFormat="1" applyFont="1" applyFill="1"/>
    <xf numFmtId="49" fontId="38" fillId="0" borderId="4" xfId="0" applyNumberFormat="1" applyFont="1" applyFill="1" applyBorder="1" applyAlignment="1">
      <alignment horizontal="left"/>
    </xf>
    <xf numFmtId="49" fontId="38" fillId="0" borderId="4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80" fontId="5" fillId="0" borderId="0" xfId="0" applyNumberFormat="1" applyFont="1" applyFill="1" applyBorder="1"/>
    <xf numFmtId="180" fontId="5" fillId="0" borderId="23" xfId="0" applyNumberFormat="1" applyFont="1" applyFill="1" applyBorder="1" applyAlignment="1">
      <alignment horizontal="center"/>
    </xf>
    <xf numFmtId="180" fontId="5" fillId="0" borderId="4" xfId="0" applyNumberFormat="1" applyFont="1" applyFill="1" applyBorder="1" applyAlignment="1">
      <alignment horizontal="center"/>
    </xf>
    <xf numFmtId="41" fontId="3" fillId="0" borderId="10" xfId="0" applyNumberFormat="1" applyFont="1" applyFill="1" applyBorder="1" applyProtection="1">
      <protection locked="0"/>
    </xf>
    <xf numFmtId="166" fontId="5" fillId="0" borderId="9" xfId="0" applyNumberFormat="1" applyFont="1" applyFill="1" applyBorder="1"/>
    <xf numFmtId="166" fontId="5" fillId="0" borderId="0" xfId="90" applyNumberFormat="1" applyFont="1" applyFill="1" applyBorder="1"/>
    <xf numFmtId="3" fontId="0" fillId="0" borderId="4" xfId="0" applyNumberFormat="1" applyFill="1" applyBorder="1"/>
    <xf numFmtId="0" fontId="0" fillId="0" borderId="24" xfId="0" applyFill="1" applyBorder="1"/>
    <xf numFmtId="168" fontId="5" fillId="0" borderId="0" xfId="0" applyNumberFormat="1" applyFont="1" applyFill="1"/>
    <xf numFmtId="168" fontId="8" fillId="0" borderId="0" xfId="0" applyNumberFormat="1" applyFont="1" applyFill="1" applyAlignment="1">
      <alignment horizontal="left" indent="2"/>
    </xf>
    <xf numFmtId="166" fontId="0" fillId="0" borderId="0" xfId="83" applyNumberFormat="1" applyFont="1" applyFill="1" applyBorder="1" applyAlignment="1">
      <alignment horizontal="center"/>
    </xf>
    <xf numFmtId="166" fontId="0" fillId="0" borderId="9" xfId="83" applyNumberFormat="1" applyFont="1" applyFill="1" applyBorder="1"/>
    <xf numFmtId="166" fontId="0" fillId="0" borderId="0" xfId="0" applyNumberFormat="1" applyFill="1"/>
    <xf numFmtId="3" fontId="0" fillId="0" borderId="0" xfId="0" applyNumberFormat="1" applyFill="1" applyBorder="1"/>
    <xf numFmtId="3" fontId="5" fillId="0" borderId="4" xfId="0" applyNumberFormat="1" applyFont="1" applyFill="1" applyBorder="1"/>
    <xf numFmtId="0" fontId="5" fillId="0" borderId="24" xfId="0" applyFont="1" applyFill="1" applyBorder="1"/>
    <xf numFmtId="0" fontId="72" fillId="0" borderId="0" xfId="0" applyFont="1" applyFill="1" applyBorder="1"/>
    <xf numFmtId="166" fontId="72" fillId="0" borderId="0" xfId="83" applyNumberFormat="1" applyFont="1" applyFill="1" applyBorder="1"/>
    <xf numFmtId="180" fontId="72" fillId="0" borderId="0" xfId="0" applyNumberFormat="1" applyFont="1" applyFill="1" applyBorder="1"/>
    <xf numFmtId="43" fontId="5" fillId="0" borderId="0" xfId="83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3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10" fontId="70" fillId="0" borderId="4" xfId="201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166" fontId="1" fillId="0" borderId="9" xfId="83" applyNumberFormat="1" applyFill="1" applyBorder="1"/>
    <xf numFmtId="166" fontId="1" fillId="0" borderId="0" xfId="83" applyNumberFormat="1" applyFill="1"/>
    <xf numFmtId="43" fontId="1" fillId="0" borderId="0" xfId="83" applyFont="1" applyFill="1" applyBorder="1" applyAlignment="1">
      <alignment horizontal="center"/>
    </xf>
    <xf numFmtId="168" fontId="8" fillId="0" borderId="0" xfId="0" applyNumberFormat="1" applyFont="1" applyFill="1"/>
    <xf numFmtId="166" fontId="1" fillId="0" borderId="35" xfId="83" applyNumberFormat="1" applyFill="1" applyBorder="1"/>
    <xf numFmtId="166" fontId="5" fillId="0" borderId="34" xfId="83" applyNumberFormat="1" applyFont="1" applyFill="1" applyBorder="1"/>
    <xf numFmtId="10" fontId="1" fillId="0" borderId="0" xfId="305" applyNumberFormat="1" applyFont="1" applyFill="1" applyBorder="1" applyAlignment="1">
      <alignment horizontal="center"/>
    </xf>
    <xf numFmtId="43" fontId="5" fillId="0" borderId="10" xfId="90" applyFont="1" applyFill="1" applyBorder="1" applyAlignment="1">
      <alignment horizontal="center"/>
    </xf>
    <xf numFmtId="166" fontId="37" fillId="0" borderId="0" xfId="90" applyNumberFormat="1" applyFill="1"/>
    <xf numFmtId="166" fontId="37" fillId="0" borderId="0" xfId="90" applyNumberFormat="1" applyFill="1" applyBorder="1"/>
    <xf numFmtId="166" fontId="37" fillId="0" borderId="10" xfId="90" applyNumberFormat="1" applyFill="1" applyBorder="1"/>
    <xf numFmtId="166" fontId="5" fillId="0" borderId="9" xfId="90" applyNumberFormat="1" applyFont="1" applyFill="1" applyBorder="1"/>
    <xf numFmtId="0" fontId="71" fillId="0" borderId="0" xfId="0" applyFont="1" applyFill="1"/>
    <xf numFmtId="0" fontId="0" fillId="0" borderId="23" xfId="0" applyFill="1" applyBorder="1"/>
    <xf numFmtId="0" fontId="5" fillId="0" borderId="4" xfId="0" applyFont="1" applyFill="1" applyBorder="1"/>
    <xf numFmtId="0" fontId="5" fillId="0" borderId="23" xfId="0" applyFont="1" applyFill="1" applyBorder="1"/>
    <xf numFmtId="10" fontId="71" fillId="0" borderId="0" xfId="305" applyNumberFormat="1" applyFont="1" applyFill="1" applyBorder="1" applyAlignment="1">
      <alignment horizontal="center"/>
    </xf>
    <xf numFmtId="3" fontId="0" fillId="0" borderId="4" xfId="0" quotePrefix="1" applyNumberFormat="1" applyFill="1" applyBorder="1" applyAlignment="1">
      <alignment horizontal="right"/>
    </xf>
    <xf numFmtId="3" fontId="0" fillId="0" borderId="24" xfId="0" applyNumberFormat="1" applyFill="1" applyBorder="1"/>
    <xf numFmtId="0" fontId="0" fillId="0" borderId="10" xfId="0" applyBorder="1"/>
    <xf numFmtId="43" fontId="0" fillId="0" borderId="0" xfId="83" applyFont="1"/>
    <xf numFmtId="0" fontId="0" fillId="0" borderId="4" xfId="0" applyBorder="1"/>
    <xf numFmtId="0" fontId="0" fillId="0" borderId="10" xfId="0" applyFill="1" applyBorder="1" applyAlignment="1">
      <alignment horizontal="center" wrapText="1"/>
    </xf>
    <xf numFmtId="0" fontId="1" fillId="0" borderId="0" xfId="0" applyFont="1"/>
    <xf numFmtId="165" fontId="1" fillId="0" borderId="0" xfId="0" applyNumberFormat="1" applyFont="1"/>
    <xf numFmtId="9" fontId="3" fillId="0" borderId="0" xfId="0" applyNumberFormat="1" applyFont="1" applyFill="1" applyBorder="1"/>
    <xf numFmtId="0" fontId="1" fillId="0" borderId="0" xfId="0" applyFont="1" applyFill="1"/>
    <xf numFmtId="37" fontId="3" fillId="0" borderId="10" xfId="0" applyNumberFormat="1" applyFont="1" applyFill="1" applyBorder="1"/>
    <xf numFmtId="165" fontId="3" fillId="0" borderId="9" xfId="108" applyNumberFormat="1" applyFont="1" applyFill="1" applyBorder="1" applyProtection="1">
      <protection locked="0"/>
    </xf>
    <xf numFmtId="0" fontId="18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71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3" fontId="71" fillId="0" borderId="0" xfId="83" applyFont="1" applyFill="1" applyBorder="1" applyAlignment="1">
      <alignment horizontal="center"/>
    </xf>
  </cellXfs>
  <cellStyles count="306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Recon to Darrin's 5.11.05 proforma" xfId="20"/>
    <cellStyle name="_Tenaska Comparison" xfId="21"/>
    <cellStyle name="_Value Copy 11 30 05 gas 12 09 05 AURORA at 12 14 05" xfId="22"/>
    <cellStyle name="_VC 6.15.06 update on 06GRC power costs.xls Chart 1" xfId="23"/>
    <cellStyle name="_VC 6.15.06 update on 06GRC power costs.xls Chart 2" xfId="24"/>
    <cellStyle name="_VC 6.15.06 update on 06GRC power costs.xls Chart 3" xfId="25"/>
    <cellStyle name="0,0_x000d__x000a_NA_x000d__x000a_" xfId="26"/>
    <cellStyle name="0000" xfId="27"/>
    <cellStyle name="000000" xfId="28"/>
    <cellStyle name="20% - Accent1" xfId="29" builtinId="30" customBuiltin="1"/>
    <cellStyle name="20% - Accent1 2" xfId="30"/>
    <cellStyle name="20% - Accent1 3" xfId="31"/>
    <cellStyle name="20% - Accent2" xfId="32" builtinId="34" customBuiltin="1"/>
    <cellStyle name="20% - Accent2 2" xfId="33"/>
    <cellStyle name="20% - Accent2 3" xfId="34"/>
    <cellStyle name="20% - Accent3" xfId="35" builtinId="38" customBuiltin="1"/>
    <cellStyle name="20% - Accent3 2" xfId="36"/>
    <cellStyle name="20% - Accent3 3" xfId="37"/>
    <cellStyle name="20% - Accent4" xfId="38" builtinId="42" customBuiltin="1"/>
    <cellStyle name="20% - Accent4 2" xfId="39"/>
    <cellStyle name="20% - Accent4 3" xfId="40"/>
    <cellStyle name="20% - Accent5" xfId="41" builtinId="46" customBuiltin="1"/>
    <cellStyle name="20% - Accent5 2" xfId="42"/>
    <cellStyle name="20% - Accent5 3" xfId="43"/>
    <cellStyle name="20% - Accent6" xfId="44" builtinId="50" customBuiltin="1"/>
    <cellStyle name="20% - Accent6 2" xfId="45"/>
    <cellStyle name="20% - Accent6 3" xfId="46"/>
    <cellStyle name="40% - Accent1" xfId="47" builtinId="31" customBuiltin="1"/>
    <cellStyle name="40% - Accent1 2" xfId="48"/>
    <cellStyle name="40% - Accent1 3" xfId="49"/>
    <cellStyle name="40% - Accent2" xfId="50" builtinId="35" customBuiltin="1"/>
    <cellStyle name="40% - Accent2 2" xfId="51"/>
    <cellStyle name="40% - Accent2 3" xfId="52"/>
    <cellStyle name="40% - Accent3" xfId="53" builtinId="39" customBuiltin="1"/>
    <cellStyle name="40% - Accent3 2" xfId="54"/>
    <cellStyle name="40% - Accent3 3" xfId="55"/>
    <cellStyle name="40% - Accent4" xfId="56" builtinId="43" customBuiltin="1"/>
    <cellStyle name="40% - Accent4 2" xfId="57"/>
    <cellStyle name="40% - Accent4 3" xfId="58"/>
    <cellStyle name="40% - Accent5" xfId="59" builtinId="47" customBuiltin="1"/>
    <cellStyle name="40% - Accent5 2" xfId="60"/>
    <cellStyle name="40% - Accent5 3" xfId="61"/>
    <cellStyle name="40% - Accent6" xfId="62" builtinId="51" customBuiltin="1"/>
    <cellStyle name="40% - Accent6 2" xfId="63"/>
    <cellStyle name="40% - Accent6 3" xfId="64"/>
    <cellStyle name="60% - Accent1" xfId="65" builtinId="32" customBuiltin="1"/>
    <cellStyle name="60% - Accent2" xfId="66" builtinId="36" customBuiltin="1"/>
    <cellStyle name="60% - Accent3" xfId="67" builtinId="40" customBuiltin="1"/>
    <cellStyle name="60% - Accent4" xfId="68" builtinId="44" customBuiltin="1"/>
    <cellStyle name="60% - Accent5" xfId="69" builtinId="48" customBuiltin="1"/>
    <cellStyle name="60% - Accent6" xfId="70" builtinId="52" customBuiltin="1"/>
    <cellStyle name="Accent1" xfId="71" builtinId="29" customBuiltin="1"/>
    <cellStyle name="Accent1 - 20%" xfId="281"/>
    <cellStyle name="Accent1 - 40%" xfId="282"/>
    <cellStyle name="Accent1 - 60%" xfId="283"/>
    <cellStyle name="Accent2" xfId="72" builtinId="33" customBuiltin="1"/>
    <cellStyle name="Accent2 - 20%" xfId="284"/>
    <cellStyle name="Accent2 - 40%" xfId="285"/>
    <cellStyle name="Accent2 - 60%" xfId="286"/>
    <cellStyle name="Accent3" xfId="73" builtinId="37" customBuiltin="1"/>
    <cellStyle name="Accent3 - 20%" xfId="287"/>
    <cellStyle name="Accent3 - 40%" xfId="288"/>
    <cellStyle name="Accent3 - 60%" xfId="289"/>
    <cellStyle name="Accent4" xfId="74" builtinId="41" customBuiltin="1"/>
    <cellStyle name="Accent4 - 20%" xfId="290"/>
    <cellStyle name="Accent4 - 40%" xfId="291"/>
    <cellStyle name="Accent4 - 60%" xfId="292"/>
    <cellStyle name="Accent5" xfId="75" builtinId="45" customBuiltin="1"/>
    <cellStyle name="Accent5 - 20%" xfId="293"/>
    <cellStyle name="Accent5 - 40%" xfId="294"/>
    <cellStyle name="Accent5 - 60%" xfId="295"/>
    <cellStyle name="Accent6" xfId="76" builtinId="49" customBuiltin="1"/>
    <cellStyle name="Accent6 - 20%" xfId="296"/>
    <cellStyle name="Accent6 - 40%" xfId="297"/>
    <cellStyle name="Accent6 - 60%" xfId="298"/>
    <cellStyle name="Bad" xfId="77" builtinId="27" customBuiltin="1"/>
    <cellStyle name="blank" xfId="78"/>
    <cellStyle name="Calc Currency (0)" xfId="79"/>
    <cellStyle name="Calculation" xfId="80" builtinId="22" customBuiltin="1"/>
    <cellStyle name="Check Cell" xfId="81" builtinId="23" customBuiltin="1"/>
    <cellStyle name="CheckCell" xfId="82"/>
    <cellStyle name="Comma" xfId="83" builtinId="3"/>
    <cellStyle name="Comma 10" xfId="84"/>
    <cellStyle name="Comma 11" xfId="85"/>
    <cellStyle name="Comma 12" xfId="280"/>
    <cellStyle name="Comma 2" xfId="86"/>
    <cellStyle name="Comma 2 2" xfId="87"/>
    <cellStyle name="Comma 3" xfId="88"/>
    <cellStyle name="Comma 3 2" xfId="89"/>
    <cellStyle name="Comma 4" xfId="90"/>
    <cellStyle name="Comma 5" xfId="91"/>
    <cellStyle name="Comma 6" xfId="92"/>
    <cellStyle name="Comma 7" xfId="93"/>
    <cellStyle name="Comma 8" xfId="94"/>
    <cellStyle name="Comma 9" xfId="95"/>
    <cellStyle name="Comma0" xfId="96"/>
    <cellStyle name="Comma0 - Style2" xfId="97"/>
    <cellStyle name="Comma0 - Style4" xfId="98"/>
    <cellStyle name="Comma0 - Style5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108" builtinId="4"/>
    <cellStyle name="Currency 10" xfId="299"/>
    <cellStyle name="Currency 2" xfId="109"/>
    <cellStyle name="Currency 3" xfId="110"/>
    <cellStyle name="Currency 4" xfId="111"/>
    <cellStyle name="Currency 5" xfId="112"/>
    <cellStyle name="Currency 6" xfId="113"/>
    <cellStyle name="Currency 7" xfId="114"/>
    <cellStyle name="Currency 8" xfId="115"/>
    <cellStyle name="Currency 9" xfId="116"/>
    <cellStyle name="Currency0" xfId="117"/>
    <cellStyle name="Date" xfId="118"/>
    <cellStyle name="Emphasis 1" xfId="300"/>
    <cellStyle name="Emphasis 2" xfId="301"/>
    <cellStyle name="Emphasis 3" xfId="302"/>
    <cellStyle name="Entered" xfId="119"/>
    <cellStyle name="Explanatory Text" xfId="120" builtinId="53" customBuiltin="1"/>
    <cellStyle name="Fixed" xfId="121"/>
    <cellStyle name="Fixed3 - Style3" xfId="122"/>
    <cellStyle name="Good" xfId="123" builtinId="26" customBuiltin="1"/>
    <cellStyle name="Grey" xfId="124"/>
    <cellStyle name="Header" xfId="125"/>
    <cellStyle name="Header1" xfId="126"/>
    <cellStyle name="Header2" xfId="127"/>
    <cellStyle name="Heading" xfId="128"/>
    <cellStyle name="Heading 1" xfId="129" builtinId="16" customBuiltin="1"/>
    <cellStyle name="Heading 2" xfId="130" builtinId="17" customBuiltin="1"/>
    <cellStyle name="Heading 3" xfId="131" builtinId="18" customBuiltin="1"/>
    <cellStyle name="Heading 4" xfId="132" builtinId="19" customBuiltin="1"/>
    <cellStyle name="Heading1" xfId="133"/>
    <cellStyle name="Heading2" xfId="134"/>
    <cellStyle name="Input" xfId="135" builtinId="20" customBuiltin="1"/>
    <cellStyle name="Input [yellow]" xfId="136"/>
    <cellStyle name="Input Cells" xfId="137"/>
    <cellStyle name="Input Cells Percent" xfId="138"/>
    <cellStyle name="Input Cells_3.05 Allocation Method 2010 GRC" xfId="139"/>
    <cellStyle name="Lines" xfId="140"/>
    <cellStyle name="LINKED" xfId="141"/>
    <cellStyle name="Linked Cell" xfId="142" builtinId="24" customBuiltin="1"/>
    <cellStyle name="modified border" xfId="143"/>
    <cellStyle name="modified border1" xfId="144"/>
    <cellStyle name="Neutral" xfId="145" builtinId="28" customBuiltin="1"/>
    <cellStyle name="no dec" xfId="146"/>
    <cellStyle name="Normal" xfId="0" builtinId="0"/>
    <cellStyle name="Normal - Style1" xfId="147"/>
    <cellStyle name="Normal 10" xfId="148"/>
    <cellStyle name="Normal 11" xfId="149"/>
    <cellStyle name="Normal 12" xfId="150"/>
    <cellStyle name="Normal 13" xfId="151"/>
    <cellStyle name="Normal 14" xfId="278"/>
    <cellStyle name="Normal 2" xfId="152"/>
    <cellStyle name="Normal 2 2" xfId="153"/>
    <cellStyle name="Normal 2 2 2" xfId="154"/>
    <cellStyle name="Normal 2 2 3" xfId="155"/>
    <cellStyle name="Normal 2 3" xfId="156"/>
    <cellStyle name="Normal 2 4" xfId="157"/>
    <cellStyle name="Normal 2 5" xfId="158"/>
    <cellStyle name="Normal 2 6" xfId="159"/>
    <cellStyle name="Normal 2 7" xfId="160"/>
    <cellStyle name="Normal 2_3.05 Allocation Method 2010 GRC" xfId="161"/>
    <cellStyle name="Normal 3" xfId="162"/>
    <cellStyle name="Normal 3 2" xfId="163"/>
    <cellStyle name="Normal 3 3" xfId="164"/>
    <cellStyle name="Normal 3 4" xfId="165"/>
    <cellStyle name="Normal 3 5" xfId="166"/>
    <cellStyle name="Normal 3_Net Classified Plant" xfId="167"/>
    <cellStyle name="Normal 4" xfId="168"/>
    <cellStyle name="Normal 4 2" xfId="169"/>
    <cellStyle name="Normal 5" xfId="170"/>
    <cellStyle name="Normal 6" xfId="171"/>
    <cellStyle name="Normal 7" xfId="172"/>
    <cellStyle name="Normal 8" xfId="173"/>
    <cellStyle name="Normal 9" xfId="174"/>
    <cellStyle name="Note 10" xfId="175"/>
    <cellStyle name="Note 11" xfId="176"/>
    <cellStyle name="Note 12" xfId="177"/>
    <cellStyle name="Note 13" xfId="178"/>
    <cellStyle name="Note 2" xfId="179"/>
    <cellStyle name="Note 3" xfId="180"/>
    <cellStyle name="Note 4" xfId="181"/>
    <cellStyle name="Note 5" xfId="182"/>
    <cellStyle name="Note 6" xfId="183"/>
    <cellStyle name="Note 7" xfId="184"/>
    <cellStyle name="Note 8" xfId="185"/>
    <cellStyle name="Note 9" xfId="186"/>
    <cellStyle name="Output" xfId="187" builtinId="21" customBuiltin="1"/>
    <cellStyle name="Percen - Style1" xfId="188"/>
    <cellStyle name="Percen - Style2" xfId="189"/>
    <cellStyle name="Percen - Style3" xfId="190"/>
    <cellStyle name="Percent" xfId="305" builtinId="5"/>
    <cellStyle name="Percent (0)" xfId="191"/>
    <cellStyle name="Percent [2]" xfId="192"/>
    <cellStyle name="Percent 10" xfId="279"/>
    <cellStyle name="Percent 2" xfId="193"/>
    <cellStyle name="Percent 3" xfId="194"/>
    <cellStyle name="Percent 3 2" xfId="195"/>
    <cellStyle name="Percent 4" xfId="196"/>
    <cellStyle name="Percent 5" xfId="197"/>
    <cellStyle name="Percent 6" xfId="198"/>
    <cellStyle name="Percent 7" xfId="199"/>
    <cellStyle name="Percent 8" xfId="200"/>
    <cellStyle name="Percent 9" xfId="201"/>
    <cellStyle name="Processing" xfId="202"/>
    <cellStyle name="PSChar" xfId="203"/>
    <cellStyle name="PSDate" xfId="204"/>
    <cellStyle name="PSDec" xfId="205"/>
    <cellStyle name="PSHeading" xfId="206"/>
    <cellStyle name="PSInt" xfId="207"/>
    <cellStyle name="PSSpacer" xfId="208"/>
    <cellStyle name="purple - Style8" xfId="209"/>
    <cellStyle name="RED" xfId="210"/>
    <cellStyle name="Red - Style7" xfId="211"/>
    <cellStyle name="Report" xfId="212"/>
    <cellStyle name="Report Bar" xfId="213"/>
    <cellStyle name="Report Heading" xfId="214"/>
    <cellStyle name="Report Percent" xfId="215"/>
    <cellStyle name="Report Unit Cost" xfId="216"/>
    <cellStyle name="Reports" xfId="217"/>
    <cellStyle name="Reports Total" xfId="218"/>
    <cellStyle name="Reports Unit Cost Total" xfId="219"/>
    <cellStyle name="RevList" xfId="220"/>
    <cellStyle name="round100" xfId="221"/>
    <cellStyle name="SAPBEXaggData" xfId="222"/>
    <cellStyle name="SAPBEXaggDataEmph" xfId="223"/>
    <cellStyle name="SAPBEXaggItem" xfId="224"/>
    <cellStyle name="SAPBEXaggItemX" xfId="225"/>
    <cellStyle name="SAPBEXchaText" xfId="226"/>
    <cellStyle name="SAPBEXchaText 2" xfId="227"/>
    <cellStyle name="SAPBEXexcBad7" xfId="228"/>
    <cellStyle name="SAPBEXexcBad8" xfId="229"/>
    <cellStyle name="SAPBEXexcBad9" xfId="230"/>
    <cellStyle name="SAPBEXexcCritical4" xfId="231"/>
    <cellStyle name="SAPBEXexcCritical5" xfId="232"/>
    <cellStyle name="SAPBEXexcCritical6" xfId="233"/>
    <cellStyle name="SAPBEXexcGood1" xfId="234"/>
    <cellStyle name="SAPBEXexcGood2" xfId="235"/>
    <cellStyle name="SAPBEXexcGood3" xfId="236"/>
    <cellStyle name="SAPBEXfilterDrill" xfId="237"/>
    <cellStyle name="SAPBEXfilterItem" xfId="238"/>
    <cellStyle name="SAPBEXfilterText" xfId="239"/>
    <cellStyle name="SAPBEXformats" xfId="240"/>
    <cellStyle name="SAPBEXheaderItem" xfId="241"/>
    <cellStyle name="SAPBEXheaderText" xfId="242"/>
    <cellStyle name="SAPBEXHLevel0" xfId="243"/>
    <cellStyle name="SAPBEXHLevel0X" xfId="244"/>
    <cellStyle name="SAPBEXHLevel1" xfId="245"/>
    <cellStyle name="SAPBEXHLevel1X" xfId="246"/>
    <cellStyle name="SAPBEXHLevel2" xfId="247"/>
    <cellStyle name="SAPBEXHLevel2X" xfId="248"/>
    <cellStyle name="SAPBEXHLevel3" xfId="249"/>
    <cellStyle name="SAPBEXHLevel3X" xfId="250"/>
    <cellStyle name="SAPBEXinputData" xfId="303"/>
    <cellStyle name="SAPBEXresData" xfId="251"/>
    <cellStyle name="SAPBEXresDataEmph" xfId="252"/>
    <cellStyle name="SAPBEXresItem" xfId="253"/>
    <cellStyle name="SAPBEXresItemX" xfId="254"/>
    <cellStyle name="SAPBEXstdData" xfId="255"/>
    <cellStyle name="SAPBEXstdDataEmph" xfId="256"/>
    <cellStyle name="SAPBEXstdItem" xfId="257"/>
    <cellStyle name="SAPBEXstdItemX" xfId="258"/>
    <cellStyle name="SAPBEXtitle" xfId="259"/>
    <cellStyle name="SAPBEXundefined" xfId="260"/>
    <cellStyle name="shade" xfId="261"/>
    <cellStyle name="Sheet Title" xfId="304"/>
    <cellStyle name="StmtTtl1" xfId="262"/>
    <cellStyle name="StmtTtl2" xfId="263"/>
    <cellStyle name="STYL1 - Style1" xfId="264"/>
    <cellStyle name="Style 1" xfId="265"/>
    <cellStyle name="Style 1 2" xfId="266"/>
    <cellStyle name="Subtotal" xfId="267"/>
    <cellStyle name="Sub-total" xfId="268"/>
    <cellStyle name="taples Plaza" xfId="269"/>
    <cellStyle name="Tickmark" xfId="270"/>
    <cellStyle name="Title" xfId="271" builtinId="15" customBuiltin="1"/>
    <cellStyle name="Title: Major" xfId="272"/>
    <cellStyle name="Title: Minor" xfId="273"/>
    <cellStyle name="Title: Worksheet" xfId="274"/>
    <cellStyle name="Total" xfId="275" builtinId="25" customBuiltin="1"/>
    <cellStyle name="Total4 - Style4" xfId="276"/>
    <cellStyle name="Warning Text" xfId="277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18328</xdr:colOff>
      <xdr:row>33</xdr:row>
      <xdr:rowOff>123526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05150"/>
          <a:ext cx="5780953" cy="23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9">
          <cell r="E9">
            <v>0.58109999999999995</v>
          </cell>
          <cell r="F9">
            <v>0.41889999999999999</v>
          </cell>
        </row>
        <row r="35">
          <cell r="E35">
            <v>0.67179999999999995</v>
          </cell>
          <cell r="F35">
            <v>0.32819999999999999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>
      <selection activeCell="E20" sqref="E20"/>
    </sheetView>
  </sheetViews>
  <sheetFormatPr defaultRowHeight="13.2"/>
  <cols>
    <col min="1" max="1" width="5.6640625" style="43" customWidth="1"/>
    <col min="2" max="2" width="67.33203125" style="43" customWidth="1"/>
    <col min="3" max="3" width="4.5546875" style="43" customWidth="1"/>
    <col min="4" max="4" width="13.109375" style="43" customWidth="1"/>
    <col min="5" max="5" width="13.33203125" style="43" customWidth="1"/>
    <col min="6" max="6" width="11.44140625" customWidth="1"/>
    <col min="7" max="7" width="1.6640625" customWidth="1"/>
    <col min="8" max="8" width="11.33203125" bestFit="1" customWidth="1"/>
    <col min="9" max="9" width="10.44140625" bestFit="1" customWidth="1"/>
  </cols>
  <sheetData>
    <row r="1" spans="1:5">
      <c r="A1" s="55"/>
      <c r="E1" s="16"/>
    </row>
    <row r="2" spans="1:5" ht="13.8" thickBot="1">
      <c r="E2" s="16"/>
    </row>
    <row r="3" spans="1:5" ht="14.4" thickTop="1" thickBot="1">
      <c r="A3" s="5"/>
      <c r="B3" s="18"/>
      <c r="E3" s="14"/>
    </row>
    <row r="4" spans="1:5" ht="13.8" thickTop="1">
      <c r="A4" s="19"/>
      <c r="B4" s="1"/>
      <c r="C4" s="1"/>
      <c r="D4" s="1"/>
    </row>
    <row r="5" spans="1:5">
      <c r="A5" s="56" t="s">
        <v>8</v>
      </c>
      <c r="B5" s="57"/>
      <c r="C5" s="57"/>
      <c r="D5" s="57"/>
      <c r="E5" s="58"/>
    </row>
    <row r="6" spans="1:5">
      <c r="A6" s="59" t="s">
        <v>0</v>
      </c>
      <c r="B6" s="57"/>
      <c r="C6" s="57"/>
      <c r="D6" s="57"/>
      <c r="E6" s="58"/>
    </row>
    <row r="7" spans="1:5">
      <c r="A7" s="60" t="s">
        <v>68</v>
      </c>
      <c r="B7" s="57"/>
      <c r="C7" s="57"/>
      <c r="D7" s="57"/>
      <c r="E7" s="58"/>
    </row>
    <row r="8" spans="1:5">
      <c r="A8" s="60" t="s">
        <v>69</v>
      </c>
      <c r="B8" s="57"/>
      <c r="C8" s="57"/>
      <c r="D8" s="57"/>
      <c r="E8" s="58"/>
    </row>
    <row r="9" spans="1:5">
      <c r="A9" s="1"/>
      <c r="B9" s="1"/>
      <c r="C9" s="1"/>
      <c r="D9" s="1"/>
    </row>
    <row r="10" spans="1:5">
      <c r="A10" s="15" t="s">
        <v>1</v>
      </c>
      <c r="B10" s="1"/>
      <c r="C10" s="1"/>
      <c r="D10" s="132"/>
      <c r="E10" s="132"/>
    </row>
    <row r="11" spans="1:5">
      <c r="A11" s="2" t="s">
        <v>2</v>
      </c>
      <c r="B11" s="3" t="s">
        <v>3</v>
      </c>
      <c r="C11" s="20"/>
      <c r="D11" s="4"/>
      <c r="E11" s="2" t="s">
        <v>4</v>
      </c>
    </row>
    <row r="12" spans="1:5">
      <c r="A12" s="5"/>
      <c r="B12" s="5"/>
      <c r="C12" s="5"/>
      <c r="D12" s="5"/>
    </row>
    <row r="13" spans="1:5">
      <c r="A13" s="6">
        <v>1</v>
      </c>
      <c r="B13" s="29" t="s">
        <v>12</v>
      </c>
      <c r="C13" s="27"/>
      <c r="D13" s="24"/>
    </row>
    <row r="14" spans="1:5">
      <c r="A14" s="6">
        <f t="shared" ref="A14:A32" si="0">+A13+1</f>
        <v>2</v>
      </c>
      <c r="B14" s="30"/>
      <c r="C14" s="27"/>
      <c r="D14" s="24"/>
    </row>
    <row r="15" spans="1:5">
      <c r="A15" s="6">
        <f t="shared" si="0"/>
        <v>3</v>
      </c>
      <c r="B15" s="98" t="s">
        <v>60</v>
      </c>
      <c r="C15" s="27"/>
    </row>
    <row r="16" spans="1:5">
      <c r="A16" s="6">
        <f t="shared" si="0"/>
        <v>4</v>
      </c>
      <c r="B16" s="30" t="s">
        <v>61</v>
      </c>
      <c r="C16" s="27"/>
      <c r="D16" s="23">
        <f>+'Ave cost of case'!D13</f>
        <v>1040000</v>
      </c>
    </row>
    <row r="17" spans="1:5">
      <c r="A17" s="6">
        <f t="shared" si="0"/>
        <v>5</v>
      </c>
      <c r="B17" s="30"/>
      <c r="C17" s="27"/>
      <c r="D17" s="24"/>
    </row>
    <row r="18" spans="1:5">
      <c r="A18" s="6">
        <f t="shared" si="0"/>
        <v>6</v>
      </c>
      <c r="B18" s="36" t="s">
        <v>65</v>
      </c>
      <c r="C18" s="31"/>
      <c r="D18" s="37">
        <f>+D16/2</f>
        <v>520000</v>
      </c>
    </row>
    <row r="19" spans="1:5">
      <c r="A19" s="6">
        <f t="shared" si="0"/>
        <v>7</v>
      </c>
      <c r="B19" s="21" t="s">
        <v>18</v>
      </c>
      <c r="C19" s="22"/>
      <c r="D19" s="78">
        <f ca="1">TY!C17</f>
        <v>180704.512644</v>
      </c>
    </row>
    <row r="20" spans="1:5">
      <c r="A20" s="6">
        <f t="shared" si="0"/>
        <v>8</v>
      </c>
      <c r="B20" s="30" t="s">
        <v>5</v>
      </c>
      <c r="C20" s="32"/>
      <c r="D20" s="25">
        <f ca="1">+D18-D19</f>
        <v>339295.487356</v>
      </c>
      <c r="E20" s="28">
        <f ca="1">+D20</f>
        <v>339295.487356</v>
      </c>
    </row>
    <row r="21" spans="1:5">
      <c r="A21" s="6">
        <f t="shared" si="0"/>
        <v>9</v>
      </c>
      <c r="B21" s="30"/>
      <c r="C21" s="22"/>
      <c r="D21" s="38"/>
    </row>
    <row r="22" spans="1:5">
      <c r="A22" s="6">
        <f t="shared" si="0"/>
        <v>10</v>
      </c>
      <c r="B22" s="98" t="s">
        <v>62</v>
      </c>
      <c r="C22" s="27"/>
    </row>
    <row r="23" spans="1:5">
      <c r="A23" s="6">
        <f t="shared" si="0"/>
        <v>11</v>
      </c>
      <c r="B23" s="30" t="s">
        <v>63</v>
      </c>
      <c r="C23" s="27"/>
      <c r="D23" s="23">
        <f>+'Ave cost of case'!D25</f>
        <v>273000</v>
      </c>
    </row>
    <row r="24" spans="1:5">
      <c r="A24" s="6">
        <f t="shared" si="0"/>
        <v>12</v>
      </c>
      <c r="B24" s="30"/>
      <c r="C24" s="27"/>
      <c r="D24" s="23"/>
    </row>
    <row r="25" spans="1:5">
      <c r="A25" s="6">
        <f t="shared" si="0"/>
        <v>13</v>
      </c>
      <c r="B25" s="36" t="s">
        <v>64</v>
      </c>
      <c r="C25" s="31"/>
      <c r="D25" s="37">
        <f>+D23/4</f>
        <v>68250</v>
      </c>
    </row>
    <row r="26" spans="1:5">
      <c r="A26" s="6">
        <f t="shared" si="0"/>
        <v>14</v>
      </c>
      <c r="B26" s="21" t="s">
        <v>19</v>
      </c>
      <c r="C26" s="22"/>
      <c r="D26" s="78">
        <f>TY!B9</f>
        <v>0</v>
      </c>
    </row>
    <row r="27" spans="1:5">
      <c r="A27" s="6">
        <f t="shared" si="0"/>
        <v>15</v>
      </c>
      <c r="B27" s="30" t="s">
        <v>5</v>
      </c>
      <c r="C27" s="32"/>
      <c r="D27" s="25">
        <f>+D25-D26</f>
        <v>68250</v>
      </c>
      <c r="E27" s="28">
        <f>+D27</f>
        <v>68250</v>
      </c>
    </row>
    <row r="28" spans="1:5">
      <c r="A28" s="6">
        <f t="shared" si="0"/>
        <v>16</v>
      </c>
      <c r="B28" s="30"/>
      <c r="C28" s="32"/>
      <c r="D28" s="28"/>
      <c r="E28" s="61"/>
    </row>
    <row r="29" spans="1:5">
      <c r="A29" s="6">
        <f t="shared" si="0"/>
        <v>17</v>
      </c>
      <c r="B29" s="30" t="s">
        <v>13</v>
      </c>
      <c r="C29" s="22"/>
      <c r="E29" s="23">
        <f ca="1">+E20+E27</f>
        <v>407545.487356</v>
      </c>
    </row>
    <row r="30" spans="1:5">
      <c r="A30" s="6">
        <f t="shared" si="0"/>
        <v>18</v>
      </c>
      <c r="B30" s="26"/>
      <c r="C30" s="22"/>
      <c r="E30" s="40"/>
    </row>
    <row r="31" spans="1:5" s="126" customFormat="1">
      <c r="A31" s="6">
        <f t="shared" si="0"/>
        <v>19</v>
      </c>
      <c r="B31" s="26" t="s">
        <v>6</v>
      </c>
      <c r="C31" s="128">
        <v>0.21</v>
      </c>
      <c r="D31" s="129"/>
      <c r="E31" s="130">
        <f ca="1">-E29*C31</f>
        <v>-85584.552344759999</v>
      </c>
    </row>
    <row r="32" spans="1:5" s="126" customFormat="1" ht="13.8" thickBot="1">
      <c r="A32" s="6">
        <f t="shared" si="0"/>
        <v>20</v>
      </c>
      <c r="B32" s="26" t="s">
        <v>7</v>
      </c>
      <c r="C32" s="22"/>
      <c r="D32" s="129"/>
      <c r="E32" s="131">
        <f ca="1">-E29-E31</f>
        <v>-321960.93501124001</v>
      </c>
    </row>
    <row r="33" spans="4:4" ht="13.8" thickTop="1"/>
    <row r="40" spans="4:4">
      <c r="D40" s="62"/>
    </row>
  </sheetData>
  <mergeCells count="1">
    <mergeCell ref="D10:E10"/>
  </mergeCells>
  <phoneticPr fontId="10" type="noConversion"/>
  <pageMargins left="0.75" right="0.75" top="1" bottom="1" header="0.5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4"/>
  <sheetViews>
    <sheetView zoomScaleNormal="100" workbookViewId="0">
      <selection activeCell="J10" sqref="J10"/>
    </sheetView>
  </sheetViews>
  <sheetFormatPr defaultRowHeight="13.2"/>
  <cols>
    <col min="1" max="1" width="5.6640625" customWidth="1"/>
    <col min="2" max="2" width="65.33203125" customWidth="1"/>
    <col min="3" max="3" width="5.109375" bestFit="1" customWidth="1"/>
    <col min="4" max="4" width="12" bestFit="1" customWidth="1"/>
    <col min="5" max="5" width="12.109375" customWidth="1"/>
    <col min="6" max="6" width="1.33203125" customWidth="1"/>
    <col min="7" max="7" width="11.33203125" bestFit="1" customWidth="1"/>
    <col min="8" max="8" width="10.44140625" bestFit="1" customWidth="1"/>
  </cols>
  <sheetData>
    <row r="1" spans="1:5">
      <c r="A1" s="17"/>
      <c r="E1" s="16"/>
    </row>
    <row r="2" spans="1:5" ht="13.8" thickBot="1">
      <c r="E2" s="16"/>
    </row>
    <row r="3" spans="1:5" ht="14.4" thickTop="1" thickBot="1">
      <c r="A3" s="5"/>
      <c r="B3" s="18"/>
      <c r="E3" s="14"/>
    </row>
    <row r="4" spans="1:5" ht="13.8" thickTop="1">
      <c r="A4" s="19"/>
      <c r="B4" s="1"/>
      <c r="C4" s="1"/>
      <c r="D4" s="1"/>
      <c r="E4" s="43"/>
    </row>
    <row r="5" spans="1:5">
      <c r="A5" s="56" t="s">
        <v>22</v>
      </c>
      <c r="B5" s="57"/>
      <c r="C5" s="57"/>
      <c r="D5" s="57"/>
      <c r="E5" s="58"/>
    </row>
    <row r="6" spans="1:5">
      <c r="A6" s="59" t="s">
        <v>0</v>
      </c>
      <c r="B6" s="57"/>
      <c r="C6" s="57"/>
      <c r="D6" s="57"/>
      <c r="E6" s="58"/>
    </row>
    <row r="7" spans="1:5">
      <c r="A7" s="60" t="str">
        <f>'Lead E'!A7</f>
        <v>FOR THE TWELVE MONTHS ENDED SEPTEMBER 30, 2016</v>
      </c>
      <c r="B7" s="57"/>
      <c r="C7" s="57"/>
      <c r="D7" s="57"/>
      <c r="E7" s="58"/>
    </row>
    <row r="8" spans="1:5">
      <c r="A8" s="60" t="str">
        <f>'Lead E'!A8</f>
        <v>2017 GENERAL RATE CASE</v>
      </c>
      <c r="B8" s="57"/>
      <c r="C8" s="57"/>
      <c r="D8" s="57"/>
      <c r="E8" s="58"/>
    </row>
    <row r="9" spans="1:5">
      <c r="A9" s="1"/>
      <c r="B9" s="1"/>
      <c r="C9" s="1"/>
      <c r="D9" s="1"/>
      <c r="E9" s="43"/>
    </row>
    <row r="10" spans="1:5">
      <c r="A10" s="15" t="s">
        <v>1</v>
      </c>
      <c r="B10" s="1"/>
      <c r="C10" s="1"/>
    </row>
    <row r="11" spans="1:5">
      <c r="A11" s="2" t="s">
        <v>2</v>
      </c>
      <c r="B11" s="3" t="s">
        <v>3</v>
      </c>
      <c r="C11" s="20"/>
      <c r="D11" s="4"/>
      <c r="E11" s="2" t="s">
        <v>4</v>
      </c>
    </row>
    <row r="12" spans="1:5">
      <c r="A12" s="5"/>
      <c r="B12" s="5"/>
      <c r="C12" s="5"/>
      <c r="D12" s="5"/>
      <c r="E12" s="43"/>
    </row>
    <row r="13" spans="1:5">
      <c r="A13" s="6">
        <v>1</v>
      </c>
      <c r="B13" s="29" t="s">
        <v>12</v>
      </c>
      <c r="C13" s="27"/>
      <c r="D13" s="24"/>
      <c r="E13" s="43"/>
    </row>
    <row r="14" spans="1:5">
      <c r="A14" s="6">
        <f t="shared" ref="A14:A25" si="0">+A13+1</f>
        <v>2</v>
      </c>
      <c r="B14" s="30"/>
      <c r="C14" s="27"/>
      <c r="D14" s="24"/>
      <c r="E14" s="43"/>
    </row>
    <row r="15" spans="1:5">
      <c r="A15" s="6">
        <f t="shared" si="0"/>
        <v>3</v>
      </c>
      <c r="B15" s="30" t="s">
        <v>59</v>
      </c>
      <c r="C15" s="27"/>
      <c r="D15" s="23">
        <f>+'Ave cost of case'!D13</f>
        <v>1040000</v>
      </c>
      <c r="E15" s="43"/>
    </row>
    <row r="16" spans="1:5">
      <c r="A16" s="6">
        <f t="shared" si="0"/>
        <v>4</v>
      </c>
      <c r="B16" s="30"/>
      <c r="C16" s="27"/>
      <c r="D16" s="24"/>
      <c r="E16" s="43"/>
    </row>
    <row r="17" spans="1:7">
      <c r="A17" s="6">
        <f t="shared" si="0"/>
        <v>5</v>
      </c>
      <c r="B17" s="36" t="s">
        <v>21</v>
      </c>
      <c r="C17" s="31"/>
      <c r="D17" s="37">
        <f>+D15/2</f>
        <v>520000</v>
      </c>
      <c r="E17" s="43"/>
    </row>
    <row r="18" spans="1:7">
      <c r="A18" s="6">
        <f t="shared" si="0"/>
        <v>6</v>
      </c>
      <c r="B18" s="21" t="s">
        <v>18</v>
      </c>
      <c r="C18" s="22"/>
      <c r="D18" s="78">
        <f ca="1">TY!D17</f>
        <v>88281.067356</v>
      </c>
      <c r="E18" s="43"/>
    </row>
    <row r="19" spans="1:7">
      <c r="A19" s="6">
        <f t="shared" si="0"/>
        <v>7</v>
      </c>
      <c r="B19" s="30" t="s">
        <v>5</v>
      </c>
      <c r="C19" s="32"/>
      <c r="D19" s="25">
        <f ca="1">+D17-D18</f>
        <v>431718.93264399999</v>
      </c>
      <c r="E19" s="28">
        <f ca="1">+D19</f>
        <v>431718.93264399999</v>
      </c>
    </row>
    <row r="20" spans="1:7">
      <c r="A20" s="6">
        <f t="shared" si="0"/>
        <v>8</v>
      </c>
      <c r="B20" s="30"/>
      <c r="C20" s="32"/>
      <c r="D20" s="39"/>
      <c r="E20" s="61"/>
    </row>
    <row r="21" spans="1:7">
      <c r="A21" s="6">
        <f t="shared" si="0"/>
        <v>9</v>
      </c>
      <c r="B21" s="30"/>
      <c r="C21" s="22"/>
      <c r="D21" s="38"/>
      <c r="E21" s="43"/>
    </row>
    <row r="22" spans="1:7">
      <c r="A22" s="6">
        <f t="shared" si="0"/>
        <v>10</v>
      </c>
      <c r="B22" s="30" t="s">
        <v>13</v>
      </c>
      <c r="C22" s="22"/>
      <c r="D22" s="43"/>
      <c r="E22" s="23">
        <f ca="1">+E19</f>
        <v>431718.93264399999</v>
      </c>
    </row>
    <row r="23" spans="1:7">
      <c r="A23" s="6">
        <f t="shared" si="0"/>
        <v>11</v>
      </c>
      <c r="B23" s="26"/>
      <c r="C23" s="22"/>
      <c r="D23" s="43"/>
      <c r="E23" s="40"/>
    </row>
    <row r="24" spans="1:7" s="126" customFormat="1">
      <c r="A24" s="6">
        <f t="shared" si="0"/>
        <v>12</v>
      </c>
      <c r="B24" s="26" t="s">
        <v>6</v>
      </c>
      <c r="C24" s="128">
        <v>0.21</v>
      </c>
      <c r="D24" s="129"/>
      <c r="E24" s="130">
        <f ca="1">-E22*C24</f>
        <v>-90660.975855239987</v>
      </c>
    </row>
    <row r="25" spans="1:7" s="126" customFormat="1" ht="13.8" thickBot="1">
      <c r="A25" s="6">
        <f t="shared" si="0"/>
        <v>13</v>
      </c>
      <c r="B25" s="26" t="s">
        <v>7</v>
      </c>
      <c r="C25" s="22"/>
      <c r="D25" s="129"/>
      <c r="E25" s="131">
        <f ca="1">-E22-E24</f>
        <v>-341057.95678876003</v>
      </c>
      <c r="G25" s="127"/>
    </row>
    <row r="26" spans="1:7" ht="13.8" thickTop="1">
      <c r="A26" s="43"/>
      <c r="B26" s="43"/>
      <c r="C26" s="43"/>
      <c r="D26" s="43"/>
      <c r="E26" s="43"/>
    </row>
    <row r="27" spans="1:7">
      <c r="A27" s="43"/>
      <c r="B27" s="43"/>
      <c r="C27" s="43"/>
      <c r="D27" s="43"/>
      <c r="E27" s="43"/>
    </row>
    <row r="28" spans="1:7">
      <c r="A28" s="43"/>
      <c r="B28" s="43"/>
      <c r="C28" s="43"/>
      <c r="D28" s="43"/>
      <c r="E28" s="43"/>
    </row>
    <row r="29" spans="1:7">
      <c r="A29" s="43"/>
      <c r="B29" s="43"/>
      <c r="C29" s="43"/>
      <c r="D29" s="43"/>
      <c r="E29" s="43"/>
    </row>
    <row r="30" spans="1:7">
      <c r="A30" s="43"/>
      <c r="B30" s="43"/>
      <c r="C30" s="43"/>
      <c r="D30" s="43"/>
      <c r="E30" s="43"/>
    </row>
    <row r="31" spans="1:7">
      <c r="A31" s="43"/>
      <c r="B31" s="43"/>
      <c r="C31" s="43"/>
      <c r="D31" s="43"/>
      <c r="E31" s="43"/>
    </row>
    <row r="32" spans="1:7">
      <c r="A32" s="43"/>
      <c r="B32" s="43"/>
      <c r="C32" s="43"/>
      <c r="D32" s="43"/>
      <c r="E32" s="43"/>
    </row>
    <row r="33" spans="1:5">
      <c r="A33" s="43"/>
      <c r="B33" s="43"/>
      <c r="C33" s="43"/>
      <c r="D33" s="43"/>
      <c r="E33" s="43"/>
    </row>
    <row r="34" spans="1:5">
      <c r="D34" s="43"/>
      <c r="E34" s="43"/>
    </row>
  </sheetData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G29"/>
  <sheetViews>
    <sheetView zoomScaleNormal="100" workbookViewId="0">
      <selection activeCell="D13" sqref="D13"/>
    </sheetView>
  </sheetViews>
  <sheetFormatPr defaultRowHeight="13.2"/>
  <cols>
    <col min="1" max="2" width="12.6640625" customWidth="1"/>
    <col min="3" max="3" width="40.33203125" style="43" customWidth="1"/>
    <col min="4" max="4" width="10.88671875" style="42" bestFit="1" customWidth="1"/>
    <col min="5" max="5" width="19.33203125" style="54" customWidth="1"/>
  </cols>
  <sheetData>
    <row r="1" spans="1:5" ht="15.6">
      <c r="A1" s="12"/>
      <c r="B1" s="7"/>
      <c r="C1" s="46" t="s">
        <v>9</v>
      </c>
      <c r="D1" s="46"/>
      <c r="E1" s="47"/>
    </row>
    <row r="2" spans="1:5">
      <c r="A2" s="9"/>
      <c r="B2" s="8"/>
      <c r="C2" s="97" t="s">
        <v>15</v>
      </c>
      <c r="D2" s="44"/>
      <c r="E2" s="48"/>
    </row>
    <row r="3" spans="1:5">
      <c r="A3" s="9"/>
      <c r="B3" s="8"/>
      <c r="C3" s="44"/>
      <c r="D3" s="44"/>
      <c r="E3" s="48"/>
    </row>
    <row r="4" spans="1:5">
      <c r="A4" s="9"/>
      <c r="B4" s="8"/>
      <c r="C4" s="35" t="s">
        <v>34</v>
      </c>
      <c r="D4" s="96">
        <f>'Summary GRCs'!B9</f>
        <v>2136119.15</v>
      </c>
      <c r="E4" s="48"/>
    </row>
    <row r="5" spans="1:5">
      <c r="A5" s="13"/>
      <c r="B5" s="34"/>
      <c r="C5" s="35"/>
      <c r="D5" s="70"/>
      <c r="E5" s="48"/>
    </row>
    <row r="6" spans="1:5">
      <c r="A6" s="9"/>
      <c r="B6" s="34"/>
      <c r="C6" s="35" t="s">
        <v>35</v>
      </c>
      <c r="D6" s="70">
        <f>'Summary GRCs'!B23</f>
        <v>2024712.9200000002</v>
      </c>
      <c r="E6" s="48"/>
    </row>
    <row r="7" spans="1:5">
      <c r="A7" s="9"/>
      <c r="B7" s="34"/>
      <c r="C7" s="35"/>
      <c r="D7" s="70"/>
      <c r="E7" s="48"/>
    </row>
    <row r="8" spans="1:5">
      <c r="A8" s="9"/>
      <c r="B8" s="34"/>
      <c r="C8" s="35"/>
      <c r="D8" s="70"/>
      <c r="E8" s="48"/>
    </row>
    <row r="9" spans="1:5">
      <c r="A9" s="9"/>
      <c r="B9" s="34"/>
      <c r="C9" s="35" t="s">
        <v>16</v>
      </c>
      <c r="D9" s="70">
        <f>(D4+D6)/2</f>
        <v>2080416.0350000001</v>
      </c>
      <c r="E9" s="48"/>
    </row>
    <row r="10" spans="1:5">
      <c r="A10" s="9"/>
      <c r="B10" s="34"/>
      <c r="C10" s="35"/>
      <c r="D10" s="70"/>
      <c r="E10" s="48"/>
    </row>
    <row r="11" spans="1:5">
      <c r="A11" s="9"/>
      <c r="B11" s="34"/>
      <c r="C11" s="35" t="s">
        <v>39</v>
      </c>
      <c r="D11" s="70">
        <f>+D9/2</f>
        <v>1040208.0175000001</v>
      </c>
      <c r="E11" s="48"/>
    </row>
    <row r="12" spans="1:5">
      <c r="A12" s="9"/>
      <c r="B12" s="34"/>
      <c r="C12" s="35"/>
      <c r="D12" s="70"/>
      <c r="E12" s="48"/>
    </row>
    <row r="13" spans="1:5">
      <c r="A13" s="9"/>
      <c r="B13" s="34"/>
      <c r="C13" s="35" t="s">
        <v>20</v>
      </c>
      <c r="D13" s="70">
        <f>ROUND(+D11,-3)</f>
        <v>1040000</v>
      </c>
      <c r="E13" s="48"/>
    </row>
    <row r="14" spans="1:5">
      <c r="A14" s="10"/>
      <c r="B14" s="33"/>
      <c r="C14" s="49"/>
      <c r="D14" s="50"/>
      <c r="E14" s="51"/>
    </row>
    <row r="15" spans="1:5">
      <c r="A15" s="34"/>
      <c r="B15" s="34"/>
      <c r="C15" s="45"/>
      <c r="D15" s="41"/>
      <c r="E15" s="52"/>
    </row>
    <row r="16" spans="1:5" ht="15.6">
      <c r="A16" s="12"/>
      <c r="B16" s="7"/>
      <c r="C16" s="46" t="s">
        <v>9</v>
      </c>
      <c r="D16" s="46"/>
      <c r="E16" s="47"/>
    </row>
    <row r="17" spans="1:7">
      <c r="A17" s="9"/>
      <c r="B17" s="8"/>
      <c r="C17" s="97" t="s">
        <v>14</v>
      </c>
      <c r="D17" s="44"/>
      <c r="E17" s="48"/>
    </row>
    <row r="18" spans="1:7">
      <c r="A18" s="9"/>
      <c r="B18" s="8"/>
      <c r="C18" s="44"/>
      <c r="D18" s="44"/>
      <c r="E18" s="48"/>
      <c r="F18" s="43"/>
      <c r="G18" s="43"/>
    </row>
    <row r="19" spans="1:7">
      <c r="A19" s="9"/>
      <c r="B19" s="34"/>
      <c r="C19" s="35" t="s">
        <v>58</v>
      </c>
      <c r="D19" s="70">
        <f>'Summary PCORCs'!B6</f>
        <v>148465.66</v>
      </c>
      <c r="E19" s="48"/>
      <c r="F19" s="43"/>
      <c r="G19" s="43"/>
    </row>
    <row r="20" spans="1:7">
      <c r="A20" s="9"/>
      <c r="B20" s="34"/>
      <c r="C20" s="35"/>
      <c r="D20" s="70"/>
      <c r="E20" s="48"/>
      <c r="F20" s="43"/>
      <c r="G20" s="43"/>
    </row>
    <row r="21" spans="1:7">
      <c r="A21" s="9"/>
      <c r="B21" s="34"/>
      <c r="C21" s="35" t="s">
        <v>52</v>
      </c>
      <c r="D21" s="70">
        <f>'Summary PCORCs'!B10</f>
        <v>396820.91000000003</v>
      </c>
      <c r="E21" s="48"/>
      <c r="F21" s="43"/>
      <c r="G21" s="43"/>
    </row>
    <row r="22" spans="1:7">
      <c r="A22" s="9"/>
      <c r="B22" s="34"/>
      <c r="C22" s="35"/>
      <c r="D22" s="70"/>
      <c r="E22" s="48"/>
      <c r="F22" s="43"/>
      <c r="G22" s="43"/>
    </row>
    <row r="23" spans="1:7">
      <c r="A23" s="9"/>
      <c r="B23" s="34"/>
      <c r="C23" s="35" t="s">
        <v>40</v>
      </c>
      <c r="D23" s="70">
        <f>(+D19+D21)/2</f>
        <v>272643.28500000003</v>
      </c>
      <c r="E23" s="48"/>
      <c r="F23" s="43"/>
      <c r="G23" s="43"/>
    </row>
    <row r="24" spans="1:7">
      <c r="A24" s="9"/>
      <c r="B24" s="34"/>
      <c r="C24" s="35"/>
      <c r="D24" s="70"/>
      <c r="E24" s="48"/>
      <c r="F24" s="43"/>
      <c r="G24" s="43"/>
    </row>
    <row r="25" spans="1:7">
      <c r="A25" s="9"/>
      <c r="B25" s="34"/>
      <c r="C25" s="35" t="s">
        <v>41</v>
      </c>
      <c r="D25" s="70">
        <f>ROUND(+D23,-3)</f>
        <v>273000</v>
      </c>
      <c r="E25" s="48"/>
      <c r="F25" s="43"/>
      <c r="G25" s="43"/>
    </row>
    <row r="26" spans="1:7">
      <c r="A26" s="10"/>
      <c r="B26" s="33"/>
      <c r="C26" s="49"/>
      <c r="D26" s="50"/>
      <c r="E26" s="51"/>
      <c r="F26" s="43"/>
      <c r="G26" s="43"/>
    </row>
    <row r="27" spans="1:7">
      <c r="B27" s="34"/>
      <c r="C27" s="35"/>
      <c r="D27" s="41"/>
      <c r="E27" s="52"/>
      <c r="F27" s="43"/>
      <c r="G27" s="43"/>
    </row>
    <row r="28" spans="1:7">
      <c r="A28" s="34"/>
      <c r="B28" s="34"/>
      <c r="C28" s="35"/>
      <c r="D28" s="41"/>
      <c r="E28" s="52"/>
      <c r="F28" s="43"/>
      <c r="G28" s="43"/>
    </row>
    <row r="29" spans="1:7">
      <c r="A29" s="11"/>
      <c r="B29" s="11"/>
      <c r="E29" s="53"/>
      <c r="F29" s="43"/>
      <c r="G29" s="43"/>
    </row>
  </sheetData>
  <phoneticPr fontId="10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E26" sqref="E26"/>
    </sheetView>
  </sheetViews>
  <sheetFormatPr defaultRowHeight="13.2"/>
  <cols>
    <col min="1" max="1" width="46.109375" customWidth="1"/>
    <col min="2" max="4" width="13.44140625" bestFit="1" customWidth="1"/>
    <col min="6" max="6" width="28.109375" bestFit="1" customWidth="1"/>
    <col min="7" max="7" width="39.6640625" bestFit="1" customWidth="1"/>
    <col min="9" max="9" width="11.33203125" bestFit="1" customWidth="1"/>
  </cols>
  <sheetData>
    <row r="1" spans="1:8">
      <c r="A1" s="133" t="s">
        <v>9</v>
      </c>
      <c r="B1" s="133"/>
      <c r="C1" s="133"/>
      <c r="D1" s="133"/>
    </row>
    <row r="2" spans="1:8">
      <c r="A2" s="134" t="s">
        <v>70</v>
      </c>
      <c r="B2" s="134"/>
      <c r="C2" s="134"/>
      <c r="D2" s="134"/>
    </row>
    <row r="3" spans="1:8">
      <c r="A3" s="135" t="s">
        <v>49</v>
      </c>
      <c r="B3" s="135"/>
      <c r="C3" s="135"/>
      <c r="D3" s="135"/>
    </row>
    <row r="4" spans="1:8">
      <c r="A4" s="74"/>
      <c r="B4" s="75"/>
      <c r="C4" s="93"/>
      <c r="D4" s="75"/>
    </row>
    <row r="5" spans="1:8" ht="13.8">
      <c r="A5" s="72" t="s">
        <v>38</v>
      </c>
      <c r="B5" s="73" t="s">
        <v>23</v>
      </c>
      <c r="C5" s="76" t="s">
        <v>37</v>
      </c>
      <c r="D5" s="77" t="s">
        <v>11</v>
      </c>
    </row>
    <row r="6" spans="1:8" ht="13.8">
      <c r="A6" s="124"/>
      <c r="B6" s="124"/>
      <c r="C6" s="100">
        <f ca="1">'[1]3.04 &amp; 4.04 Lead'!$E$35</f>
        <v>0.67179999999999995</v>
      </c>
      <c r="D6" s="100">
        <f ca="1">'[1]3.04 &amp; 4.04 Lead'!$F$35</f>
        <v>0.32819999999999999</v>
      </c>
      <c r="E6" t="s">
        <v>48</v>
      </c>
    </row>
    <row r="7" spans="1:8">
      <c r="A7" s="116" t="s">
        <v>36</v>
      </c>
      <c r="B7" s="81">
        <v>0</v>
      </c>
      <c r="C7" s="81">
        <f>B7</f>
        <v>0</v>
      </c>
      <c r="D7" s="82">
        <v>0</v>
      </c>
      <c r="E7" s="43"/>
    </row>
    <row r="8" spans="1:8">
      <c r="A8" s="116" t="s">
        <v>55</v>
      </c>
      <c r="B8" s="81">
        <v>0</v>
      </c>
      <c r="C8" s="81">
        <v>0</v>
      </c>
      <c r="D8" s="82">
        <v>0</v>
      </c>
      <c r="E8" s="43"/>
      <c r="F8" s="122" t="s">
        <v>76</v>
      </c>
      <c r="G8" s="122"/>
      <c r="H8" s="122"/>
    </row>
    <row r="9" spans="1:8">
      <c r="A9" s="117" t="s">
        <v>57</v>
      </c>
      <c r="B9" s="89">
        <f>SUM(B7:B8)</f>
        <v>0</v>
      </c>
      <c r="C9" s="89">
        <f>SUM(C7:C8)</f>
        <v>0</v>
      </c>
      <c r="D9" s="90"/>
      <c r="E9" s="43"/>
      <c r="F9" s="43">
        <v>92800016</v>
      </c>
      <c r="G9" s="43" t="s">
        <v>77</v>
      </c>
    </row>
    <row r="10" spans="1:8">
      <c r="A10" s="45"/>
      <c r="B10" s="88"/>
      <c r="C10" s="88"/>
      <c r="D10" s="45"/>
      <c r="E10" s="43"/>
      <c r="F10" s="43">
        <v>92800017</v>
      </c>
      <c r="G10" s="43" t="s">
        <v>78</v>
      </c>
    </row>
    <row r="11" spans="1:8">
      <c r="A11" s="43"/>
      <c r="B11" s="43"/>
      <c r="C11" s="43"/>
      <c r="D11" s="43"/>
      <c r="E11" s="43"/>
      <c r="F11" s="43">
        <v>92800018</v>
      </c>
      <c r="G11" s="43" t="s">
        <v>79</v>
      </c>
    </row>
    <row r="12" spans="1:8">
      <c r="A12" s="43"/>
      <c r="B12" s="43"/>
      <c r="C12" s="43"/>
      <c r="D12" s="43"/>
      <c r="F12" s="43">
        <v>92800019</v>
      </c>
      <c r="G12" s="43" t="s">
        <v>80</v>
      </c>
    </row>
    <row r="13" spans="1:8">
      <c r="A13" s="43"/>
      <c r="B13" s="43"/>
      <c r="C13" s="43"/>
      <c r="D13" s="43"/>
      <c r="F13" s="43">
        <v>92800109</v>
      </c>
      <c r="G13" s="43" t="s">
        <v>81</v>
      </c>
    </row>
    <row r="14" spans="1:8">
      <c r="A14" s="116" t="s">
        <v>71</v>
      </c>
      <c r="B14" s="81">
        <v>0</v>
      </c>
      <c r="C14" s="81">
        <f>B14</f>
        <v>0</v>
      </c>
      <c r="D14" s="120" t="s">
        <v>72</v>
      </c>
      <c r="F14" s="43">
        <v>92800115</v>
      </c>
      <c r="G14" s="43" t="s">
        <v>82</v>
      </c>
    </row>
    <row r="15" spans="1:8">
      <c r="A15" s="116" t="s">
        <v>73</v>
      </c>
      <c r="B15" s="81">
        <v>0</v>
      </c>
      <c r="C15" s="120" t="s">
        <v>72</v>
      </c>
      <c r="D15" s="121">
        <f>B15</f>
        <v>0</v>
      </c>
      <c r="F15" s="43">
        <v>92800308</v>
      </c>
      <c r="G15" s="43" t="s">
        <v>83</v>
      </c>
    </row>
    <row r="16" spans="1:8">
      <c r="A16" s="116" t="s">
        <v>74</v>
      </c>
      <c r="B16" s="81">
        <v>268985.58</v>
      </c>
      <c r="C16" s="81">
        <f ca="1">+B16*C6</f>
        <v>180704.512644</v>
      </c>
      <c r="D16" s="81">
        <f ca="1">+B16*D6</f>
        <v>88281.067356</v>
      </c>
      <c r="F16" s="43">
        <v>92800312</v>
      </c>
      <c r="G16" s="43" t="s">
        <v>84</v>
      </c>
    </row>
    <row r="17" spans="1:9">
      <c r="A17" s="118" t="s">
        <v>75</v>
      </c>
      <c r="B17" s="89">
        <f>SUM(B14:B16)</f>
        <v>268985.58</v>
      </c>
      <c r="C17" s="89">
        <f t="shared" ref="C17:D17" ca="1" si="0">SUM(C14:C16)</f>
        <v>180704.512644</v>
      </c>
      <c r="D17" s="89">
        <f t="shared" ca="1" si="0"/>
        <v>88281.067356</v>
      </c>
      <c r="F17" s="43">
        <v>92800313</v>
      </c>
      <c r="G17" s="43" t="s">
        <v>85</v>
      </c>
    </row>
    <row r="18" spans="1:9">
      <c r="F18" s="43">
        <v>92800314</v>
      </c>
      <c r="G18" s="43" t="s">
        <v>86</v>
      </c>
    </row>
    <row r="19" spans="1:9">
      <c r="F19" s="43">
        <v>92800317</v>
      </c>
      <c r="G19" s="43" t="s">
        <v>87</v>
      </c>
    </row>
    <row r="20" spans="1:9">
      <c r="F20" s="43">
        <v>92800318</v>
      </c>
      <c r="G20" s="43" t="s">
        <v>88</v>
      </c>
    </row>
    <row r="21" spans="1:9">
      <c r="F21" s="43">
        <v>92800319</v>
      </c>
      <c r="G21" s="43" t="s">
        <v>89</v>
      </c>
    </row>
    <row r="22" spans="1:9">
      <c r="F22" s="43">
        <v>92800322</v>
      </c>
      <c r="G22" s="43" t="s">
        <v>90</v>
      </c>
    </row>
    <row r="23" spans="1:9">
      <c r="F23" s="43">
        <v>92800601</v>
      </c>
      <c r="G23" s="43" t="s">
        <v>91</v>
      </c>
    </row>
    <row r="24" spans="1:9">
      <c r="F24" s="43">
        <v>92800602</v>
      </c>
      <c r="G24" s="43" t="s">
        <v>92</v>
      </c>
    </row>
    <row r="25" spans="1:9">
      <c r="F25" s="43">
        <v>92800603</v>
      </c>
      <c r="G25" s="43" t="s">
        <v>93</v>
      </c>
    </row>
    <row r="26" spans="1:9">
      <c r="F26" s="43">
        <v>92800604</v>
      </c>
      <c r="G26" s="43" t="s">
        <v>94</v>
      </c>
    </row>
    <row r="27" spans="1:9">
      <c r="F27" s="43">
        <v>92800605</v>
      </c>
      <c r="G27" s="43" t="s">
        <v>95</v>
      </c>
    </row>
    <row r="28" spans="1:9">
      <c r="F28" s="43">
        <v>92800606</v>
      </c>
      <c r="G28" s="43" t="s">
        <v>96</v>
      </c>
    </row>
    <row r="29" spans="1:9">
      <c r="F29" s="43">
        <v>92800610</v>
      </c>
      <c r="G29" s="43" t="s">
        <v>97</v>
      </c>
    </row>
    <row r="30" spans="1:9">
      <c r="F30" s="43">
        <v>92803001</v>
      </c>
      <c r="G30" s="43" t="s">
        <v>98</v>
      </c>
    </row>
    <row r="31" spans="1:9">
      <c r="F31" t="s">
        <v>99</v>
      </c>
      <c r="I31" s="123">
        <v>268985.58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workbookViewId="0">
      <selection activeCell="C11" sqref="C11"/>
    </sheetView>
  </sheetViews>
  <sheetFormatPr defaultRowHeight="13.2"/>
  <cols>
    <col min="1" max="1" width="27.109375" style="43" customWidth="1"/>
    <col min="2" max="2" width="13.33203125" style="64" bestFit="1" customWidth="1"/>
    <col min="3" max="4" width="13.33203125" style="43" bestFit="1" customWidth="1"/>
    <col min="5" max="5" width="20.33203125" style="43" customWidth="1"/>
    <col min="6" max="6" width="9.33203125" style="43" customWidth="1"/>
    <col min="7" max="7" width="10.33203125" style="43" customWidth="1"/>
    <col min="8" max="8" width="10" style="43" customWidth="1"/>
    <col min="9" max="9" width="12.88671875" customWidth="1"/>
    <col min="10" max="10" width="8.33203125" customWidth="1"/>
  </cols>
  <sheetData>
    <row r="1" spans="1:11">
      <c r="A1" s="115" t="s">
        <v>66</v>
      </c>
      <c r="B1" s="63"/>
      <c r="I1" s="43"/>
      <c r="J1" s="43"/>
      <c r="K1" s="43"/>
    </row>
    <row r="2" spans="1:11">
      <c r="A2" s="55"/>
      <c r="B2" s="63"/>
      <c r="I2" s="43"/>
      <c r="J2" s="43"/>
      <c r="K2" s="43"/>
    </row>
    <row r="3" spans="1:11">
      <c r="I3" s="45"/>
      <c r="J3" s="43"/>
      <c r="K3" s="43"/>
    </row>
    <row r="4" spans="1:11" ht="26.4">
      <c r="A4" s="106"/>
      <c r="B4" s="110" t="s">
        <v>17</v>
      </c>
      <c r="C4" s="102">
        <v>2010</v>
      </c>
      <c r="D4" s="102">
        <v>2011</v>
      </c>
      <c r="E4" s="102">
        <v>2012</v>
      </c>
      <c r="F4" s="102">
        <v>2013</v>
      </c>
      <c r="G4" s="102">
        <v>2014</v>
      </c>
      <c r="H4" s="125" t="s">
        <v>67</v>
      </c>
      <c r="I4" s="45"/>
      <c r="J4" s="43"/>
      <c r="K4" s="43"/>
    </row>
    <row r="5" spans="1:11" s="45" customFormat="1">
      <c r="A5" s="83" t="s">
        <v>24</v>
      </c>
      <c r="B5" s="64"/>
    </row>
    <row r="6" spans="1:11" s="45" customFormat="1">
      <c r="A6" s="84" t="s">
        <v>25</v>
      </c>
      <c r="B6" s="111">
        <f>SUM(C6:H6)</f>
        <v>70624.12</v>
      </c>
      <c r="C6" s="66">
        <v>36510</v>
      </c>
      <c r="D6" s="66">
        <v>34114.120000000003</v>
      </c>
      <c r="E6" s="66">
        <v>0</v>
      </c>
      <c r="F6" s="66">
        <v>0</v>
      </c>
      <c r="G6" s="66">
        <v>0</v>
      </c>
      <c r="H6" s="66">
        <v>0</v>
      </c>
      <c r="I6" s="66"/>
    </row>
    <row r="7" spans="1:11" s="45" customFormat="1">
      <c r="A7" s="84" t="s">
        <v>26</v>
      </c>
      <c r="B7" s="112">
        <f t="shared" ref="B7" si="0">SUM(C7:H7)</f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/>
    </row>
    <row r="8" spans="1:11" s="45" customFormat="1">
      <c r="A8" s="84" t="s">
        <v>27</v>
      </c>
      <c r="B8" s="113">
        <f>SUM(C8:H8)</f>
        <v>2065495.0299999998</v>
      </c>
      <c r="C8" s="66">
        <v>293003.14</v>
      </c>
      <c r="D8" s="66">
        <v>1014247.8</v>
      </c>
      <c r="E8" s="66">
        <v>758244.09</v>
      </c>
      <c r="F8" s="66">
        <v>0</v>
      </c>
      <c r="G8" s="66">
        <v>0</v>
      </c>
      <c r="H8" s="66">
        <v>0</v>
      </c>
      <c r="I8" s="66"/>
    </row>
    <row r="9" spans="1:11" s="45" customFormat="1" ht="13.8" thickBot="1">
      <c r="A9" s="67" t="s">
        <v>33</v>
      </c>
      <c r="B9" s="114">
        <f>SUM(B6:B8)</f>
        <v>2136119.15</v>
      </c>
      <c r="F9" s="66"/>
      <c r="G9" s="66"/>
      <c r="H9" s="66"/>
      <c r="I9" s="66"/>
    </row>
    <row r="10" spans="1:11" s="45" customFormat="1" ht="13.8" thickTop="1">
      <c r="A10" s="67"/>
      <c r="B10" s="80"/>
      <c r="C10" s="91"/>
      <c r="D10" s="91"/>
      <c r="F10" s="66"/>
      <c r="G10" s="66"/>
      <c r="H10" s="66"/>
      <c r="I10" s="66"/>
    </row>
    <row r="11" spans="1:11" s="45" customFormat="1" ht="61.5" customHeight="1">
      <c r="A11" s="43"/>
      <c r="B11" s="65"/>
      <c r="C11" s="119">
        <f ca="1">'[1]3.04 &amp; 4.04 Lead'!$E$9</f>
        <v>0.58109999999999995</v>
      </c>
      <c r="D11" s="119">
        <f ca="1">'[1]3.04 &amp; 4.04 Lead'!$F$9</f>
        <v>0.41889999999999999</v>
      </c>
      <c r="E11" s="125" t="s">
        <v>47</v>
      </c>
      <c r="F11" s="66"/>
      <c r="G11" s="66"/>
      <c r="H11" s="66"/>
    </row>
    <row r="12" spans="1:11" s="45" customFormat="1">
      <c r="A12" s="84" t="s">
        <v>44</v>
      </c>
      <c r="B12" s="65"/>
      <c r="C12" s="85" t="s">
        <v>10</v>
      </c>
      <c r="D12" s="85" t="s">
        <v>11</v>
      </c>
      <c r="E12" s="66"/>
      <c r="F12" s="66"/>
      <c r="G12" s="66"/>
      <c r="H12" s="66"/>
    </row>
    <row r="13" spans="1:11" s="45" customFormat="1">
      <c r="A13" s="43"/>
      <c r="B13" s="65" t="s">
        <v>42</v>
      </c>
      <c r="C13" s="66">
        <f>+B6</f>
        <v>70624.12</v>
      </c>
      <c r="D13" s="66">
        <f>+B7</f>
        <v>0</v>
      </c>
      <c r="E13" s="66"/>
      <c r="F13" s="66"/>
      <c r="G13" s="66"/>
      <c r="H13" s="66"/>
    </row>
    <row r="14" spans="1:11" s="45" customFormat="1">
      <c r="A14" s="43"/>
      <c r="B14" s="65" t="s">
        <v>43</v>
      </c>
      <c r="C14" s="66">
        <f ca="1">+B8*C11</f>
        <v>1200259.1619329997</v>
      </c>
      <c r="D14" s="66">
        <f ca="1">+B8*D11</f>
        <v>865235.86806699994</v>
      </c>
      <c r="E14" s="66"/>
      <c r="F14" s="66"/>
      <c r="G14" s="66"/>
      <c r="H14" s="66"/>
    </row>
    <row r="15" spans="1:11" s="45" customFormat="1" ht="13.8" thickBot="1">
      <c r="A15" s="43"/>
      <c r="B15" s="65" t="s">
        <v>17</v>
      </c>
      <c r="C15" s="86">
        <f ca="1">SUM(C13:C14)</f>
        <v>1270883.2819329998</v>
      </c>
      <c r="D15" s="86">
        <f ca="1">SUM(D13:D14)</f>
        <v>865235.86806699994</v>
      </c>
      <c r="E15" s="66"/>
      <c r="F15" s="66"/>
      <c r="G15" s="66"/>
      <c r="H15" s="66"/>
    </row>
    <row r="16" spans="1:11" s="45" customFormat="1" ht="13.8" thickTop="1">
      <c r="A16" s="43"/>
      <c r="B16" s="65"/>
      <c r="C16" s="66">
        <f ca="1">+B9-C15-D15</f>
        <v>0</v>
      </c>
      <c r="D16" s="66"/>
      <c r="E16" s="66"/>
      <c r="F16" s="66"/>
      <c r="G16" s="66"/>
      <c r="H16" s="66"/>
    </row>
    <row r="17" spans="1:12" s="45" customFormat="1">
      <c r="A17" s="43"/>
      <c r="B17" s="65"/>
      <c r="C17" s="66"/>
      <c r="D17" s="66"/>
      <c r="E17" s="66"/>
      <c r="F17" s="66"/>
      <c r="G17" s="66"/>
      <c r="H17" s="66"/>
    </row>
    <row r="18" spans="1:12" s="45" customFormat="1" ht="36.75" customHeight="1">
      <c r="A18" s="43"/>
      <c r="B18" s="110" t="s">
        <v>17</v>
      </c>
      <c r="C18" s="102">
        <v>2008</v>
      </c>
      <c r="D18" s="102">
        <v>2009</v>
      </c>
      <c r="E18" s="102">
        <v>2010</v>
      </c>
      <c r="F18" s="102">
        <v>2011</v>
      </c>
      <c r="G18" s="102">
        <v>2012</v>
      </c>
      <c r="H18" s="102">
        <v>2013</v>
      </c>
      <c r="I18" s="102">
        <v>2014</v>
      </c>
      <c r="J18" s="125" t="s">
        <v>67</v>
      </c>
    </row>
    <row r="19" spans="1:12" s="45" customFormat="1">
      <c r="A19" s="83" t="s">
        <v>28</v>
      </c>
      <c r="B19" s="64"/>
    </row>
    <row r="20" spans="1:12" s="45" customFormat="1">
      <c r="A20" s="84" t="s">
        <v>29</v>
      </c>
      <c r="B20" s="111">
        <f>SUM(C20:J20)</f>
        <v>184731.74</v>
      </c>
      <c r="C20" s="66">
        <v>58962.5</v>
      </c>
      <c r="D20" s="66">
        <v>59547.33</v>
      </c>
      <c r="E20" s="66">
        <v>66221.91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</row>
    <row r="21" spans="1:12" s="45" customFormat="1">
      <c r="A21" s="84" t="s">
        <v>30</v>
      </c>
      <c r="B21" s="111">
        <f>SUM(C21:J21)</f>
        <v>41646.560000000005</v>
      </c>
      <c r="C21" s="66">
        <v>24715.63</v>
      </c>
      <c r="D21" s="66">
        <v>16831.740000000002</v>
      </c>
      <c r="E21" s="66">
        <v>99.19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/>
      <c r="L21" s="66"/>
    </row>
    <row r="22" spans="1:12" s="45" customFormat="1">
      <c r="A22" s="84" t="s">
        <v>31</v>
      </c>
      <c r="B22" s="111">
        <f t="shared" ref="B22" si="1">SUM(C22:J22)</f>
        <v>1798334.62</v>
      </c>
      <c r="C22" s="66">
        <v>25513.68</v>
      </c>
      <c r="D22" s="66">
        <v>1254017.1100000001</v>
      </c>
      <c r="E22" s="66">
        <v>517165.81</v>
      </c>
      <c r="F22" s="66">
        <v>1504.31</v>
      </c>
      <c r="G22" s="66">
        <v>133.71</v>
      </c>
      <c r="H22" s="66">
        <v>0</v>
      </c>
      <c r="I22" s="66">
        <v>0</v>
      </c>
      <c r="J22" s="66">
        <v>0</v>
      </c>
      <c r="K22" s="66"/>
      <c r="L22" s="66"/>
    </row>
    <row r="23" spans="1:12" s="45" customFormat="1" ht="13.8" thickBot="1">
      <c r="A23" s="67" t="s">
        <v>32</v>
      </c>
      <c r="B23" s="114">
        <f>SUM(B20:B22)</f>
        <v>2024712.9200000002</v>
      </c>
      <c r="D23" s="66"/>
      <c r="E23" s="66"/>
      <c r="F23" s="66"/>
      <c r="G23" s="66"/>
      <c r="H23" s="66"/>
      <c r="I23" s="66"/>
      <c r="J23" s="66"/>
      <c r="K23" s="66"/>
      <c r="L23" s="66"/>
    </row>
    <row r="24" spans="1:12" s="45" customFormat="1" ht="13.8" thickTop="1">
      <c r="A24" s="67"/>
      <c r="B24" s="80"/>
      <c r="C24" s="91"/>
      <c r="D24" s="92"/>
      <c r="E24" s="66"/>
      <c r="F24" s="66"/>
      <c r="G24" s="66"/>
      <c r="H24" s="66"/>
      <c r="I24" s="66"/>
      <c r="J24" s="66"/>
      <c r="K24" s="66"/>
      <c r="L24" s="66"/>
    </row>
    <row r="25" spans="1:12" ht="51.75" customHeight="1">
      <c r="B25" s="65"/>
      <c r="C25" s="109">
        <f ca="1">+C11</f>
        <v>0.58109999999999995</v>
      </c>
      <c r="D25" s="109">
        <f ca="1">+D11</f>
        <v>0.41889999999999999</v>
      </c>
      <c r="E25" s="125" t="s">
        <v>47</v>
      </c>
      <c r="F25" s="71"/>
      <c r="G25" s="71"/>
      <c r="H25" s="66"/>
      <c r="I25" s="66"/>
      <c r="J25" s="71"/>
      <c r="K25" s="71"/>
      <c r="L25" s="68"/>
    </row>
    <row r="26" spans="1:12">
      <c r="A26" s="84" t="s">
        <v>45</v>
      </c>
      <c r="B26" s="65"/>
      <c r="C26" s="85" t="s">
        <v>10</v>
      </c>
      <c r="D26" s="85" t="s">
        <v>11</v>
      </c>
      <c r="E26" s="71"/>
      <c r="F26" s="71"/>
      <c r="G26" s="71"/>
      <c r="H26" s="71"/>
      <c r="I26" s="71"/>
      <c r="J26" s="71"/>
      <c r="K26" s="71"/>
      <c r="L26" s="68"/>
    </row>
    <row r="27" spans="1:12">
      <c r="B27" s="65" t="s">
        <v>42</v>
      </c>
      <c r="C27" s="66">
        <f>+B20</f>
        <v>184731.74</v>
      </c>
      <c r="D27" s="66">
        <f>+B21</f>
        <v>41646.560000000005</v>
      </c>
      <c r="I27" s="43"/>
      <c r="J27" s="43"/>
      <c r="K27" s="43"/>
    </row>
    <row r="28" spans="1:12">
      <c r="B28" s="65" t="s">
        <v>43</v>
      </c>
      <c r="C28" s="66">
        <f ca="1">+B22*C25</f>
        <v>1045012.2476819999</v>
      </c>
      <c r="D28" s="66">
        <f ca="1">+B22*D25</f>
        <v>753322.37231800007</v>
      </c>
      <c r="I28" s="43"/>
      <c r="J28" s="43"/>
      <c r="K28" s="43"/>
    </row>
    <row r="29" spans="1:12" ht="13.8" thickBot="1">
      <c r="B29" s="65"/>
      <c r="C29" s="86">
        <f ca="1">SUM(C27:C28)</f>
        <v>1229743.9876819998</v>
      </c>
      <c r="D29" s="86">
        <f ca="1">SUM(D27:D28)</f>
        <v>794968.93231800012</v>
      </c>
      <c r="F29" s="87"/>
      <c r="I29" s="43"/>
      <c r="J29" s="43"/>
      <c r="K29" s="43"/>
    </row>
    <row r="30" spans="1:12" ht="13.8" thickTop="1">
      <c r="I30" s="43"/>
      <c r="J30" s="43"/>
      <c r="K30" s="43"/>
    </row>
    <row r="31" spans="1:12">
      <c r="C31" s="99" t="s">
        <v>10</v>
      </c>
      <c r="D31" s="99" t="s">
        <v>11</v>
      </c>
      <c r="I31" s="43"/>
      <c r="J31" s="43"/>
      <c r="K31" s="43"/>
    </row>
    <row r="32" spans="1:12" ht="13.8" thickBot="1">
      <c r="A32" s="55" t="s">
        <v>46</v>
      </c>
      <c r="C32" s="79">
        <f ca="1">+C15+C29</f>
        <v>2500627.2696149996</v>
      </c>
      <c r="D32" s="79">
        <f ca="1">+D15+D29</f>
        <v>1660204.8003850002</v>
      </c>
      <c r="I32" s="43"/>
      <c r="J32" s="43"/>
      <c r="K32" s="43"/>
    </row>
    <row r="33" spans="9:9" ht="13.8" thickTop="1">
      <c r="I33" s="43"/>
    </row>
  </sheetData>
  <printOptions horizontalCentered="1"/>
  <pageMargins left="0.75" right="0.75" top="1.5" bottom="0.75" header="0.5" footer="0.5"/>
  <pageSetup scale="66" fitToHeight="2" orientation="portrait" r:id="rId1"/>
  <headerFooter alignWithMargins="0">
    <oddHeader>&amp;CPUGET SOUND ENERGY
GRCs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3:H14"/>
  <sheetViews>
    <sheetView zoomScaleNormal="100" workbookViewId="0">
      <selection activeCell="F20" sqref="F20"/>
    </sheetView>
  </sheetViews>
  <sheetFormatPr defaultRowHeight="13.2"/>
  <cols>
    <col min="1" max="1" width="30" style="43" bestFit="1" customWidth="1"/>
    <col min="2" max="2" width="11.44140625" style="42" bestFit="1" customWidth="1"/>
    <col min="3" max="3" width="8.88671875" style="42" bestFit="1" customWidth="1"/>
    <col min="4" max="4" width="13.6640625" style="42" customWidth="1"/>
    <col min="5" max="5" width="8.33203125" style="43" customWidth="1"/>
    <col min="6" max="6" width="13.44140625" style="43" customWidth="1"/>
    <col min="7" max="7" width="10.109375" style="43" bestFit="1" customWidth="1"/>
  </cols>
  <sheetData>
    <row r="3" spans="1:8">
      <c r="A3" s="136" t="s">
        <v>66</v>
      </c>
      <c r="B3" s="136"/>
      <c r="C3" s="94"/>
      <c r="D3" s="94"/>
      <c r="H3" s="43"/>
    </row>
    <row r="4" spans="1:8">
      <c r="A4" s="95"/>
      <c r="B4" s="94"/>
      <c r="C4" s="94"/>
      <c r="D4" s="94"/>
      <c r="H4" s="43"/>
    </row>
    <row r="5" spans="1:8">
      <c r="A5" s="95" t="s">
        <v>53</v>
      </c>
      <c r="B5" s="101" t="s">
        <v>17</v>
      </c>
      <c r="C5" s="102">
        <v>2014</v>
      </c>
      <c r="D5" s="101" t="s">
        <v>67</v>
      </c>
      <c r="H5" s="43"/>
    </row>
    <row r="6" spans="1:8" ht="13.8" thickBot="1">
      <c r="A6" s="84" t="s">
        <v>54</v>
      </c>
      <c r="B6" s="103">
        <f>SUM(C6:D6)</f>
        <v>148465.66</v>
      </c>
      <c r="C6" s="104">
        <v>148465.66</v>
      </c>
      <c r="D6" s="105">
        <v>0</v>
      </c>
      <c r="H6" s="43"/>
    </row>
    <row r="7" spans="1:8" ht="13.8" thickTop="1">
      <c r="C7" s="104"/>
      <c r="H7" s="45"/>
    </row>
    <row r="8" spans="1:8">
      <c r="A8" s="106"/>
      <c r="B8" s="101" t="s">
        <v>17</v>
      </c>
      <c r="C8" s="102">
        <v>2012</v>
      </c>
      <c r="D8" s="102">
        <v>2013</v>
      </c>
      <c r="E8" s="102">
        <v>2014</v>
      </c>
      <c r="F8" s="101" t="s">
        <v>67</v>
      </c>
      <c r="H8" s="45"/>
    </row>
    <row r="9" spans="1:8">
      <c r="A9" s="95" t="s">
        <v>50</v>
      </c>
      <c r="F9" s="105"/>
      <c r="H9" s="45"/>
    </row>
    <row r="10" spans="1:8" ht="13.8" thickBot="1">
      <c r="A10" s="84" t="s">
        <v>51</v>
      </c>
      <c r="B10" s="107">
        <f>SUM(C10:F10)</f>
        <v>396820.91000000003</v>
      </c>
      <c r="C10" s="104">
        <v>5377.76</v>
      </c>
      <c r="D10" s="104">
        <v>391443.15</v>
      </c>
      <c r="E10" s="69">
        <v>0</v>
      </c>
      <c r="F10" s="69">
        <v>0</v>
      </c>
      <c r="H10" s="45"/>
    </row>
    <row r="11" spans="1:8" ht="13.8" thickTop="1">
      <c r="A11" s="84"/>
      <c r="B11" s="70"/>
      <c r="C11" s="41"/>
      <c r="D11" s="41"/>
      <c r="F11" s="69"/>
      <c r="G11" s="69"/>
      <c r="H11" s="45"/>
    </row>
    <row r="12" spans="1:8">
      <c r="A12" s="106"/>
      <c r="F12" s="69"/>
      <c r="G12" s="69"/>
      <c r="H12" s="43"/>
    </row>
    <row r="13" spans="1:8" ht="13.8" thickBot="1"/>
    <row r="14" spans="1:8" ht="13.8" thickBot="1">
      <c r="A14" s="43" t="s">
        <v>56</v>
      </c>
      <c r="B14" s="108">
        <f>B6+B10</f>
        <v>545286.57000000007</v>
      </c>
    </row>
  </sheetData>
  <mergeCells count="1">
    <mergeCell ref="A3:B3"/>
  </mergeCells>
  <phoneticPr fontId="0" type="noConversion"/>
  <pageMargins left="0.75" right="0.75" top="1.08" bottom="0.7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AACA52-499C-4DCC-8B74-70F6A07EFE20}"/>
</file>

<file path=customXml/itemProps2.xml><?xml version="1.0" encoding="utf-8"?>
<ds:datastoreItem xmlns:ds="http://schemas.openxmlformats.org/officeDocument/2006/customXml" ds:itemID="{AF328995-7583-4426-9C54-D9C4C2A9DFCC}"/>
</file>

<file path=customXml/itemProps3.xml><?xml version="1.0" encoding="utf-8"?>
<ds:datastoreItem xmlns:ds="http://schemas.openxmlformats.org/officeDocument/2006/customXml" ds:itemID="{9F12BD02-9320-43D6-82E9-8291EA8C831A}"/>
</file>

<file path=customXml/itemProps4.xml><?xml version="1.0" encoding="utf-8"?>
<ds:datastoreItem xmlns:ds="http://schemas.openxmlformats.org/officeDocument/2006/customXml" ds:itemID="{38427A70-3691-4DA9-9D32-C39FC0D17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Lead E</vt:lpstr>
      <vt:lpstr>Lead G</vt:lpstr>
      <vt:lpstr>Ave cost of case</vt:lpstr>
      <vt:lpstr>TY</vt:lpstr>
      <vt:lpstr>Summary GRCs</vt:lpstr>
      <vt:lpstr>Summary PCORCs</vt:lpstr>
      <vt:lpstr>'Lead E'!Print_Area</vt:lpstr>
      <vt:lpstr>'Summary PCORCs'!Print_Area</vt:lpstr>
      <vt:lpstr>TY!Print_Area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kbarnard</cp:lastModifiedBy>
  <cp:lastPrinted>2016-10-28T16:32:24Z</cp:lastPrinted>
  <dcterms:created xsi:type="dcterms:W3CDTF">2003-11-18T20:14:12Z</dcterms:created>
  <dcterms:modified xsi:type="dcterms:W3CDTF">2018-04-05T16:01:51Z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