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F:\ACTIVE\Cases\UW\UW_240151_Cascadia Water 2024 GRC\1_Filings\Testimony_Direct_Response\1-23-25 Amended Settlement Response\Draft\Stefan de Villiers\Exhibits\"/>
    </mc:Choice>
  </mc:AlternateContent>
  <xr:revisionPtr revIDLastSave="0" documentId="13_ncr:1_{40D99BDD-1894-47AD-811B-1CF7A9C3BF74}" xr6:coauthVersionLast="47" xr6:coauthVersionMax="47" xr10:uidLastSave="{00000000-0000-0000-0000-000000000000}"/>
  <bookViews>
    <workbookView xWindow="862" yWindow="1298" windowWidth="17018" windowHeight="10927" xr2:uid="{00000000-000D-0000-FFFF-FFFF00000000}"/>
  </bookViews>
  <sheets>
    <sheet name="SDV-12" sheetId="8" r:id="rId1"/>
    <sheet name="Scenarios" sheetId="7" r:id="rId2"/>
    <sheet name="WS-Rev Req" sheetId="4" r:id="rId3"/>
    <sheet name="PP-Rev Req" sheetId="6" r:id="rId4"/>
    <sheet name="WS-PFIS" sheetId="2" r:id="rId5"/>
    <sheet name="PP-PFIS" sheetId="5" r:id="rId6"/>
    <sheet name="PC Rate Base Adjustments" sheetId="9" r:id="rId7"/>
    <sheet name="WS Assets" sheetId="10" r:id="rId8"/>
  </sheets>
  <externalReferences>
    <externalReference r:id="rId9"/>
  </externalReferences>
  <definedNames>
    <definedName name="Bad_Debt_Percent">'[1]Int Sync, NTG, Rev Req'!$D$43</definedName>
    <definedName name="BO_Tax_Rate">'[1]Int Sync, NTG, Rev Req'!$D$44</definedName>
    <definedName name="FIT_Rate">'PP-Rev Req'!$D$52</definedName>
    <definedName name="TestEOY">'WS Assets'!$AH$2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8" l="1"/>
  <c r="F5" i="8"/>
  <c r="B5" i="8"/>
  <c r="D5" i="8"/>
  <c r="E25" i="2"/>
  <c r="D14" i="9"/>
  <c r="D13" i="9"/>
  <c r="C13" i="9"/>
  <c r="C14" i="9" s="1"/>
  <c r="D12" i="9"/>
  <c r="C12" i="9"/>
  <c r="B17" i="9"/>
  <c r="C6" i="8" l="1"/>
  <c r="C5" i="8"/>
  <c r="B22" i="8"/>
  <c r="G19" i="2"/>
  <c r="B3" i="9"/>
  <c r="C3" i="9"/>
  <c r="C20" i="4"/>
  <c r="AC12" i="6"/>
  <c r="AC11" i="6"/>
  <c r="Z8" i="6"/>
  <c r="Z7" i="6" s="1"/>
  <c r="AB7" i="6"/>
  <c r="AA7" i="6"/>
  <c r="AC7" i="6" s="1"/>
  <c r="AB6" i="6"/>
  <c r="AC6" i="6" s="1"/>
  <c r="AA6" i="6"/>
  <c r="Z6" i="6"/>
  <c r="B6" i="7"/>
  <c r="AA6" i="4"/>
  <c r="AB7" i="4"/>
  <c r="AB6" i="4"/>
  <c r="AC6" i="4" s="1"/>
  <c r="AA7" i="4"/>
  <c r="D17" i="9"/>
  <c r="C17" i="9"/>
  <c r="C8" i="9"/>
  <c r="AC13" i="6" l="1"/>
  <c r="AC8" i="6"/>
  <c r="AC7" i="4"/>
  <c r="AC8" i="4" s="1"/>
  <c r="AC12" i="4" s="1"/>
  <c r="E41" i="2" l="1"/>
  <c r="D8" i="9"/>
  <c r="D9" i="9" s="1"/>
  <c r="D7" i="9"/>
  <c r="C7" i="9"/>
  <c r="B12" i="9"/>
  <c r="B7" i="9"/>
  <c r="B9" i="9" s="1"/>
  <c r="B14" i="9" l="1"/>
  <c r="A3" i="9" s="1"/>
  <c r="E40" i="2" s="1"/>
  <c r="C9" i="9"/>
  <c r="E31" i="2" l="1"/>
  <c r="H5" i="8" l="1"/>
  <c r="E31" i="5"/>
  <c r="B23" i="7"/>
  <c r="B15" i="7"/>
  <c r="V7" i="6"/>
  <c r="V6" i="6"/>
  <c r="U6" i="6"/>
  <c r="P7" i="6"/>
  <c r="P6" i="6"/>
  <c r="O6" i="6"/>
  <c r="I6" i="6"/>
  <c r="J7" i="6"/>
  <c r="J6" i="6"/>
  <c r="D7" i="6"/>
  <c r="D6" i="6"/>
  <c r="C6" i="6"/>
  <c r="B13" i="7"/>
  <c r="H19" i="2" l="1"/>
  <c r="U7" i="4"/>
  <c r="W7" i="4" s="1"/>
  <c r="W6" i="4"/>
  <c r="C20" i="6" s="1"/>
  <c r="U7" i="6"/>
  <c r="W7" i="6" s="1"/>
  <c r="W6" i="6"/>
  <c r="F23" i="5" l="1"/>
  <c r="B21" i="7"/>
  <c r="B7" i="7" s="1"/>
  <c r="W8" i="4"/>
  <c r="W8" i="6"/>
  <c r="W12" i="6" s="1"/>
  <c r="W12" i="4" l="1"/>
  <c r="C7" i="6"/>
  <c r="O7" i="6" l="1"/>
  <c r="Q7" i="6" s="1"/>
  <c r="I7" i="6"/>
  <c r="K7" i="6" s="1"/>
  <c r="E7" i="6"/>
  <c r="Q6" i="6"/>
  <c r="Q8" i="6" s="1"/>
  <c r="Q12" i="6" s="1"/>
  <c r="K6" i="6"/>
  <c r="H34" i="5" s="1"/>
  <c r="E6" i="6"/>
  <c r="K8" i="6" l="1"/>
  <c r="K12" i="6" s="1"/>
  <c r="E8" i="6"/>
  <c r="E12" i="6" s="1"/>
  <c r="D48" i="5" l="1"/>
  <c r="D47" i="5"/>
  <c r="D45" i="5"/>
  <c r="H44" i="5"/>
  <c r="J44" i="5" s="1"/>
  <c r="H43" i="5"/>
  <c r="H42" i="5"/>
  <c r="J42" i="5" s="1"/>
  <c r="H41" i="5"/>
  <c r="J41" i="5" s="1"/>
  <c r="H40" i="5"/>
  <c r="J40" i="5" s="1"/>
  <c r="F31" i="5"/>
  <c r="D31" i="5"/>
  <c r="H30" i="5"/>
  <c r="J30" i="5" s="1"/>
  <c r="H29" i="5"/>
  <c r="J29" i="5" s="1"/>
  <c r="H28" i="5"/>
  <c r="J28" i="5" s="1"/>
  <c r="H27" i="5"/>
  <c r="J27" i="5" s="1"/>
  <c r="H24" i="5"/>
  <c r="J24" i="5" s="1"/>
  <c r="H23" i="5"/>
  <c r="H22" i="5"/>
  <c r="J22" i="5" s="1"/>
  <c r="H21" i="5"/>
  <c r="J21" i="5" s="1"/>
  <c r="H20" i="5"/>
  <c r="J20" i="5" s="1"/>
  <c r="H18" i="5"/>
  <c r="J18" i="5" s="1"/>
  <c r="H17" i="5"/>
  <c r="J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H8" i="5"/>
  <c r="J8" i="5" s="1"/>
  <c r="H7" i="5"/>
  <c r="J7" i="5" s="1"/>
  <c r="H6" i="5"/>
  <c r="J6" i="5" s="1"/>
  <c r="H5" i="5"/>
  <c r="J5" i="5" s="1"/>
  <c r="H3" i="5"/>
  <c r="O7" i="4"/>
  <c r="Q7" i="4" s="1"/>
  <c r="Q6" i="4"/>
  <c r="Q8" i="4" s="1"/>
  <c r="Q12" i="4" s="1"/>
  <c r="I7" i="4"/>
  <c r="K6" i="4"/>
  <c r="D47" i="2"/>
  <c r="E6" i="4"/>
  <c r="C7" i="4"/>
  <c r="E7" i="4" s="1"/>
  <c r="G19" i="5" l="1"/>
  <c r="G26" i="5"/>
  <c r="H26" i="5" s="1"/>
  <c r="H48" i="5"/>
  <c r="J43" i="5"/>
  <c r="J48" i="5" s="1"/>
  <c r="J47" i="5"/>
  <c r="J49" i="5" s="1"/>
  <c r="J45" i="5"/>
  <c r="J34" i="5" s="1"/>
  <c r="D33" i="5"/>
  <c r="D38" i="5" s="1"/>
  <c r="D46" i="5" s="1"/>
  <c r="H47" i="5"/>
  <c r="H49" i="5" s="1"/>
  <c r="H45" i="5"/>
  <c r="D49" i="5"/>
  <c r="K7" i="4"/>
  <c r="K8" i="4" s="1"/>
  <c r="E8" i="4"/>
  <c r="K12" i="4" l="1"/>
  <c r="G31" i="5"/>
  <c r="H31" i="5" s="1"/>
  <c r="H33" i="5" s="1"/>
  <c r="H19" i="5"/>
  <c r="T8" i="6"/>
  <c r="W11" i="6"/>
  <c r="W13" i="6" s="1"/>
  <c r="G34" i="5"/>
  <c r="F35" i="5"/>
  <c r="D36" i="5"/>
  <c r="D37" i="5" s="1"/>
  <c r="Q11" i="6"/>
  <c r="Q13" i="6" s="1"/>
  <c r="K11" i="6"/>
  <c r="K13" i="6" s="1"/>
  <c r="E11" i="6"/>
  <c r="E13" i="6" s="1"/>
  <c r="N8" i="6"/>
  <c r="H8" i="6"/>
  <c r="B8" i="6"/>
  <c r="T7" i="6" l="1"/>
  <c r="T6" i="6"/>
  <c r="G35" i="5"/>
  <c r="B7" i="6"/>
  <c r="B6" i="6"/>
  <c r="H7" i="6"/>
  <c r="H6" i="6"/>
  <c r="N7" i="6"/>
  <c r="N6" i="6"/>
  <c r="H35" i="5" l="1"/>
  <c r="H38" i="5" s="1"/>
  <c r="AC14" i="6" s="1"/>
  <c r="AC15" i="6" s="1"/>
  <c r="AC17" i="6" s="1"/>
  <c r="W14" i="6" l="1"/>
  <c r="W15" i="6" s="1"/>
  <c r="W17" i="6" s="1"/>
  <c r="H46" i="5"/>
  <c r="Q14" i="6"/>
  <c r="Q15" i="6" s="1"/>
  <c r="Q17" i="6" s="1"/>
  <c r="E14" i="6"/>
  <c r="E15" i="6" s="1"/>
  <c r="E17" i="6" s="1"/>
  <c r="K14" i="6"/>
  <c r="K15" i="6" s="1"/>
  <c r="K17" i="6" s="1"/>
  <c r="H36" i="5"/>
  <c r="H37" i="5" s="1"/>
  <c r="B22" i="7" l="1"/>
  <c r="B24" i="7" s="1"/>
  <c r="B26" i="7" l="1"/>
  <c r="I3" i="5"/>
  <c r="I23" i="5" s="1"/>
  <c r="J23" i="5" s="1"/>
  <c r="B25" i="7"/>
  <c r="J3" i="5" l="1"/>
  <c r="I35" i="5"/>
  <c r="J35" i="5" s="1"/>
  <c r="I26" i="5"/>
  <c r="J26" i="5" s="1"/>
  <c r="I19" i="5"/>
  <c r="I31" i="5" l="1"/>
  <c r="J31" i="5" s="1"/>
  <c r="J33" i="5" s="1"/>
  <c r="J38" i="5" s="1"/>
  <c r="J46" i="5" s="1"/>
  <c r="J19" i="5"/>
  <c r="E12" i="4"/>
  <c r="H42" i="2"/>
  <c r="J42" i="2" s="1"/>
  <c r="H43" i="2"/>
  <c r="J43" i="2" s="1"/>
  <c r="H44" i="2"/>
  <c r="J44" i="2" s="1"/>
  <c r="H41" i="2"/>
  <c r="J41" i="2" s="1"/>
  <c r="H40" i="2"/>
  <c r="H3" i="2"/>
  <c r="N4" i="2" s="1"/>
  <c r="H7" i="2"/>
  <c r="J7" i="2" s="1"/>
  <c r="H8" i="2"/>
  <c r="J8" i="2" s="1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20" i="2"/>
  <c r="J20" i="2" s="1"/>
  <c r="H21" i="2"/>
  <c r="J21" i="2" s="1"/>
  <c r="H22" i="2"/>
  <c r="J22" i="2" s="1"/>
  <c r="H23" i="2"/>
  <c r="H24" i="2"/>
  <c r="J24" i="2" s="1"/>
  <c r="H25" i="2"/>
  <c r="J25" i="2" s="1"/>
  <c r="H26" i="2"/>
  <c r="H27" i="2"/>
  <c r="J27" i="2" s="1"/>
  <c r="H28" i="2"/>
  <c r="J28" i="2" s="1"/>
  <c r="H29" i="2"/>
  <c r="J29" i="2" s="1"/>
  <c r="H30" i="2"/>
  <c r="J30" i="2" s="1"/>
  <c r="H6" i="2"/>
  <c r="J6" i="2" s="1"/>
  <c r="H5" i="2"/>
  <c r="J5" i="2" s="1"/>
  <c r="D48" i="2"/>
  <c r="D49" i="2" s="1"/>
  <c r="D34" i="2" s="1"/>
  <c r="D45" i="2"/>
  <c r="J36" i="5" l="1"/>
  <c r="J37" i="5" s="1"/>
  <c r="J48" i="2"/>
  <c r="H47" i="2"/>
  <c r="J40" i="2"/>
  <c r="H48" i="2"/>
  <c r="H45" i="2"/>
  <c r="H34" i="2" s="1"/>
  <c r="AC11" i="4" l="1"/>
  <c r="AC13" i="4" s="1"/>
  <c r="Z8" i="4"/>
  <c r="T8" i="4"/>
  <c r="W11" i="4"/>
  <c r="W13" i="4" s="1"/>
  <c r="G34" i="2"/>
  <c r="H49" i="2"/>
  <c r="J47" i="2"/>
  <c r="J49" i="2" s="1"/>
  <c r="J45" i="2"/>
  <c r="J34" i="2" s="1"/>
  <c r="Q11" i="4"/>
  <c r="Q13" i="4" s="1"/>
  <c r="N8" i="4"/>
  <c r="B8" i="4"/>
  <c r="K11" i="4"/>
  <c r="K13" i="4" s="1"/>
  <c r="H8" i="4"/>
  <c r="E11" i="4"/>
  <c r="E13" i="4" s="1"/>
  <c r="G31" i="2"/>
  <c r="F31" i="2"/>
  <c r="D31" i="2"/>
  <c r="D33" i="2" s="1"/>
  <c r="Z6" i="4" l="1"/>
  <c r="Z7" i="4"/>
  <c r="T7" i="4"/>
  <c r="T6" i="4"/>
  <c r="D38" i="2"/>
  <c r="D46" i="2" s="1"/>
  <c r="F35" i="2"/>
  <c r="D36" i="2"/>
  <c r="D37" i="2" s="1"/>
  <c r="H31" i="2"/>
  <c r="H33" i="2" s="1"/>
  <c r="H7" i="4"/>
  <c r="H6" i="4"/>
  <c r="B6" i="4"/>
  <c r="B7" i="4"/>
  <c r="N7" i="4"/>
  <c r="N6" i="4"/>
  <c r="G35" i="2" l="1"/>
  <c r="H35" i="2" s="1"/>
  <c r="H36" i="2" s="1"/>
  <c r="H37" i="2" s="1"/>
  <c r="H38" i="2" l="1"/>
  <c r="W14" i="4" l="1"/>
  <c r="W15" i="4" s="1"/>
  <c r="W17" i="4" s="1"/>
  <c r="AC14" i="4"/>
  <c r="AC15" i="4" s="1"/>
  <c r="AC17" i="4" s="1"/>
  <c r="Q14" i="4"/>
  <c r="Q15" i="4" s="1"/>
  <c r="Q17" i="4" s="1"/>
  <c r="K14" i="4"/>
  <c r="K15" i="4" s="1"/>
  <c r="K17" i="4" s="1"/>
  <c r="H46" i="2"/>
  <c r="E14" i="4"/>
  <c r="E15" i="4" l="1"/>
  <c r="E17" i="4" s="1"/>
  <c r="B14" i="7" s="1"/>
  <c r="I3" i="2" l="1"/>
  <c r="I35" i="2" s="1"/>
  <c r="B16" i="7"/>
  <c r="B8" i="7" s="1"/>
  <c r="B17" i="7"/>
  <c r="B10" i="7" l="1"/>
  <c r="B18" i="7"/>
  <c r="I19" i="2"/>
  <c r="J19" i="2" s="1"/>
  <c r="I23" i="2"/>
  <c r="J23" i="2" s="1"/>
  <c r="I26" i="2"/>
  <c r="J26" i="2" s="1"/>
  <c r="J35" i="2"/>
  <c r="J3" i="2"/>
  <c r="B9" i="7" l="1"/>
  <c r="I31" i="2"/>
  <c r="J31" i="2" s="1"/>
  <c r="J33" i="2" s="1"/>
  <c r="J38" i="2" s="1"/>
  <c r="J46" i="2" s="1"/>
  <c r="H25" i="5"/>
  <c r="J25" i="5" s="1"/>
  <c r="J36" i="2" l="1"/>
  <c r="J37" i="2" s="1"/>
  <c r="B10" i="8"/>
  <c r="B17" i="8"/>
  <c r="B11" i="8"/>
  <c r="B12" i="8" s="1"/>
  <c r="L3" i="5"/>
  <c r="L4" i="5" s="1"/>
  <c r="L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tc={E0A8C558-BD50-4047-93C8-FEE51EA49F62}</author>
  </authors>
  <commentList>
    <comment ref="E19" authorId="0" shapeId="0" xr:uid="{E0A8C558-BD50-4047-93C8-FEE51EA49F6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 has no real effect on Cascadia's total pro forma expenses, which are based on a 0.4% share of pro forma gross revenues. In other words, $281 is removed from EOY operating expenses, but that same amount is added back to pro forma adjustments to get to 0.4%.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111" authorId="0" shapeId="0" xr:uid="{579CA7CA-0FF4-46B2-8667-B4C372B7ADE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Items was retured in March 2024.
</t>
        </r>
      </text>
    </comment>
    <comment ref="C1112" authorId="0" shapeId="0" xr:uid="{5C176531-6719-4453-B575-BA734274082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Items was retured in March 2024.
</t>
        </r>
      </text>
    </comment>
  </commentList>
</comments>
</file>

<file path=xl/sharedStrings.xml><?xml version="1.0" encoding="utf-8"?>
<sst xmlns="http://schemas.openxmlformats.org/spreadsheetml/2006/main" count="2784" uniqueCount="1130">
  <si>
    <t>Western Systems</t>
  </si>
  <si>
    <t>Pelican Point</t>
  </si>
  <si>
    <t>Revenue Conversion Factor</t>
  </si>
  <si>
    <t>Total</t>
  </si>
  <si>
    <t>EOY Operating Expenses</t>
  </si>
  <si>
    <t>OPERATING EXPENSES</t>
  </si>
  <si>
    <t>Salary and Wages - Employees</t>
  </si>
  <si>
    <t>Salary and Wages - Officers</t>
  </si>
  <si>
    <t>Employee Pensions and Benefits</t>
  </si>
  <si>
    <t>Purchased Power/Water</t>
  </si>
  <si>
    <t>Chemicals &amp; Testing</t>
  </si>
  <si>
    <t>Material &amp; Supplies</t>
  </si>
  <si>
    <t>Contractual Engineer</t>
  </si>
  <si>
    <t>Contractual Accounting</t>
  </si>
  <si>
    <t>Contractual Legal</t>
  </si>
  <si>
    <t>Contractual Operations</t>
  </si>
  <si>
    <t>Jobbing</t>
  </si>
  <si>
    <t>Rental of Building, Property, and Equipment</t>
  </si>
  <si>
    <t>Transportation</t>
  </si>
  <si>
    <t>Insurance - Vehicle, General Liability</t>
  </si>
  <si>
    <t>Regulatory Commission Expenses - Fees</t>
  </si>
  <si>
    <t>Regulatory Commission Expenses - Amort. Rate Case</t>
  </si>
  <si>
    <t>Travel, Education, CCR, and Public Relations</t>
  </si>
  <si>
    <t>Office, Postage, Phone, and Bank Charges</t>
  </si>
  <si>
    <t>Bad Debt</t>
  </si>
  <si>
    <t>Repairs</t>
  </si>
  <si>
    <t>Net Depreciation/Amortization</t>
  </si>
  <si>
    <t>Utility Excise Tax</t>
  </si>
  <si>
    <t>Property Tax</t>
  </si>
  <si>
    <t>Payroll Tax (ESD, L&amp;I, Workman's Comp)</t>
  </si>
  <si>
    <t>Other Licenses (DOH, DOE, County or City)</t>
  </si>
  <si>
    <t>Miscellaneous (Shared Services, Lab, and Tech)</t>
  </si>
  <si>
    <t>Staff Adjustments</t>
  </si>
  <si>
    <t>Revenues</t>
  </si>
  <si>
    <t>Operating Income Before Interest &amp; Taxes</t>
  </si>
  <si>
    <t>Interest Expense</t>
  </si>
  <si>
    <t>Fed Income Tax - 21%</t>
  </si>
  <si>
    <t>TOTAL OPERATING EXPENSE</t>
  </si>
  <si>
    <t>NET INCOME (LOSS)</t>
  </si>
  <si>
    <t>NET OPERATING INCOME</t>
  </si>
  <si>
    <t>Utility Plant in Service (UPIS)</t>
  </si>
  <si>
    <t xml:space="preserve">    Accumulated Depreciation</t>
  </si>
  <si>
    <t>Deferred Taxes</t>
  </si>
  <si>
    <t>Contributions In Aid of Construction (CIAC) Plant in Service</t>
  </si>
  <si>
    <t xml:space="preserve">    Accumulated Amortization</t>
  </si>
  <si>
    <t>NET RATE BASE</t>
  </si>
  <si>
    <t>Rate of return</t>
  </si>
  <si>
    <t>Net Plant</t>
  </si>
  <si>
    <t>Net CIAC</t>
  </si>
  <si>
    <t>Net Rate Base (min. Def. Tax.)</t>
  </si>
  <si>
    <t>Debt</t>
  </si>
  <si>
    <t>Equity</t>
  </si>
  <si>
    <t>Weight</t>
  </si>
  <si>
    <t>Amount</t>
  </si>
  <si>
    <t>Cost</t>
  </si>
  <si>
    <t>Actual</t>
  </si>
  <si>
    <t>Restating Adjustments</t>
  </si>
  <si>
    <t>Pro Forma Adjustments</t>
  </si>
  <si>
    <t>Pro Forma Results</t>
  </si>
  <si>
    <t>Net Pro Forma Average Rate Base</t>
  </si>
  <si>
    <t>Weighted Cost of Capital</t>
  </si>
  <si>
    <t>Operating Income Return</t>
  </si>
  <si>
    <t>Pro Forma Net Operating Income (Loss)</t>
  </si>
  <si>
    <t>Operating Income Deficiency (Excess)</t>
  </si>
  <si>
    <t>Additional Revenue Requirement (Reduction)</t>
  </si>
  <si>
    <t>Revised Revenue</t>
  </si>
  <si>
    <t>Results</t>
  </si>
  <si>
    <t>Revenue Requirement - Low</t>
  </si>
  <si>
    <t>Revenue Requirement - High</t>
  </si>
  <si>
    <t>Capital Structure - Staff</t>
  </si>
  <si>
    <t>Revenue Requirement - Staff</t>
  </si>
  <si>
    <t>UTC Regulatory Fee</t>
  </si>
  <si>
    <t>Adjusted FIT</t>
  </si>
  <si>
    <t>Uncollectible</t>
  </si>
  <si>
    <t>Utility B&amp;O Tax</t>
  </si>
  <si>
    <t>Scenario</t>
  </si>
  <si>
    <t>Staff</t>
  </si>
  <si>
    <t>Weighted cost of debt</t>
  </si>
  <si>
    <t>WACC</t>
  </si>
  <si>
    <t>Capital Structure - Company</t>
  </si>
  <si>
    <t>Company</t>
  </si>
  <si>
    <t>Current Revenue</t>
  </si>
  <si>
    <t>Rev. Req. Increase (%)</t>
  </si>
  <si>
    <t>Rev. Req. Increase</t>
  </si>
  <si>
    <t>Calculated Rev. Req. Increase</t>
  </si>
  <si>
    <t>Revenue Foregone</t>
  </si>
  <si>
    <t>Scenario List</t>
  </si>
  <si>
    <t>PC Low</t>
  </si>
  <si>
    <t>PC High</t>
  </si>
  <si>
    <t>Capital Structure - PC Low</t>
  </si>
  <si>
    <t>Capital Structure - PC High</t>
  </si>
  <si>
    <t>Total Rev. Req.</t>
  </si>
  <si>
    <t>Source: Direct Testimony of Matthew J. Rowell, Exh. MJR-1T, at 13 (Table 5) and Workpapers 1 and 2; Response Testimony of Rachel Stark, Exh. RS-2, RS-3, and RS-4</t>
  </si>
  <si>
    <t>Settlement</t>
  </si>
  <si>
    <t>Settlement Proposal</t>
  </si>
  <si>
    <t>Settlement RR Increase Proposal</t>
  </si>
  <si>
    <t>Total Proposal</t>
  </si>
  <si>
    <t>Project Name</t>
  </si>
  <si>
    <t>Included</t>
  </si>
  <si>
    <t>Deferred</t>
  </si>
  <si>
    <t>Current Total</t>
  </si>
  <si>
    <t>Assets, and Depreciation Schedules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</si>
  <si>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</si>
  <si>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</si>
  <si>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</si>
  <si>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</si>
  <si>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</si>
  <si>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</si>
  <si>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</si>
  <si>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</si>
  <si>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</si>
  <si>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</si>
  <si>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</si>
  <si>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System</t>
  </si>
  <si>
    <t>Asset Category</t>
  </si>
  <si>
    <t>Asset Description</t>
  </si>
  <si>
    <t>Date in Service</t>
  </si>
  <si>
    <t>Original Cost</t>
  </si>
  <si>
    <t>Salvage Value</t>
  </si>
  <si>
    <t>Service Life</t>
  </si>
  <si>
    <t>Service Time</t>
  </si>
  <si>
    <t>Depreciation</t>
  </si>
  <si>
    <t>Acc. Depn (Beg)</t>
  </si>
  <si>
    <t>Acc. Depn (End)</t>
  </si>
  <si>
    <t>Rate Base</t>
  </si>
  <si>
    <t>Drop-Down</t>
  </si>
  <si>
    <t>List</t>
  </si>
  <si>
    <t>mm/dd/yy</t>
  </si>
  <si>
    <t>$</t>
  </si>
  <si>
    <t>Yrs</t>
  </si>
  <si>
    <t>Annual</t>
  </si>
  <si>
    <t>Beginning</t>
  </si>
  <si>
    <t>Ending</t>
  </si>
  <si>
    <t>Aquarius</t>
  </si>
  <si>
    <t>Diamond Point Booster Pump</t>
  </si>
  <si>
    <t>Diamond Point SCADA</t>
  </si>
  <si>
    <t>Agate West SCADA</t>
  </si>
  <si>
    <t>Island Lake SCADA</t>
  </si>
  <si>
    <t>Generator Island Lake</t>
  </si>
  <si>
    <t>Generator Diamond Point</t>
  </si>
  <si>
    <t>Generator Lynch Cove</t>
  </si>
  <si>
    <t>Meters</t>
  </si>
  <si>
    <t>Hydrants</t>
  </si>
  <si>
    <t>Lynch Cove SCADA</t>
  </si>
  <si>
    <t>ARC Flash</t>
  </si>
  <si>
    <t>Diamond Point Capacity Analysis</t>
  </si>
  <si>
    <t>Mapping - Aquarius</t>
  </si>
  <si>
    <t>CUSI - Aquarius</t>
  </si>
  <si>
    <t>Aquarius Latecomer line extension fee</t>
  </si>
  <si>
    <t>Aquarius water right to WA St Parks &amp; Rec</t>
  </si>
  <si>
    <t>Sensus OMNI+ Water Meter (master meter: Diamond Point)</t>
  </si>
  <si>
    <t>Yard hydrants: Diamond Point (2), CAL Waterworks, WB Waterworks, Beachcombers</t>
  </si>
  <si>
    <t>Island Lake generator new transfer switch/board</t>
  </si>
  <si>
    <t>Aquarius - Day 1</t>
  </si>
  <si>
    <t>Vehicle</t>
  </si>
  <si>
    <t>95 Chev P IU, 93 Nissan PI</t>
  </si>
  <si>
    <t>5Dellcomputer</t>
  </si>
  <si>
    <t>6Fieldequipment</t>
  </si>
  <si>
    <t>7Pumps</t>
  </si>
  <si>
    <t>8Fieldequipment</t>
  </si>
  <si>
    <t>9Utilityplant</t>
  </si>
  <si>
    <t>10Fieldequipment</t>
  </si>
  <si>
    <t>11Computerequpment</t>
  </si>
  <si>
    <t>12Officeequipment</t>
  </si>
  <si>
    <t>13Utilityplant</t>
  </si>
  <si>
    <t>14Utilityplant</t>
  </si>
  <si>
    <t>15Othertangibleplant</t>
  </si>
  <si>
    <t>16Utilityplantauditcost</t>
  </si>
  <si>
    <t>23Serviceconnections</t>
  </si>
  <si>
    <t>24Watermains&amp;Appurt</t>
  </si>
  <si>
    <t>25Meters</t>
  </si>
  <si>
    <t>26Pumpingequipment</t>
  </si>
  <si>
    <t>27Otherpumplingplantequ</t>
  </si>
  <si>
    <t>28Otherutilityplant</t>
  </si>
  <si>
    <t>29Watermeters</t>
  </si>
  <si>
    <t>30Pumpingequipment</t>
  </si>
  <si>
    <t>31Computerequipment</t>
  </si>
  <si>
    <t>32Watersystemplan</t>
  </si>
  <si>
    <t>33Pumpingequipment</t>
  </si>
  <si>
    <t>34Fieldequipment</t>
  </si>
  <si>
    <t>35Computerequipment</t>
  </si>
  <si>
    <t>36Officeequipment</t>
  </si>
  <si>
    <t>37Computerequipment</t>
  </si>
  <si>
    <t>38Officeequipment</t>
  </si>
  <si>
    <t>39Utilityplant</t>
  </si>
  <si>
    <t>40Utilityplant</t>
  </si>
  <si>
    <t>41Utilityplant</t>
  </si>
  <si>
    <t>42Utilityplant</t>
  </si>
  <si>
    <t>43Utitlityplant</t>
  </si>
  <si>
    <t>44Utilityplant</t>
  </si>
  <si>
    <t>45Utilityplant</t>
  </si>
  <si>
    <t>46Utilityplant</t>
  </si>
  <si>
    <t>47Utilityplant</t>
  </si>
  <si>
    <t>48Utilityplant</t>
  </si>
  <si>
    <t>49Meters</t>
  </si>
  <si>
    <t>50Boosterpump</t>
  </si>
  <si>
    <t>51Vm880Metaldetector</t>
  </si>
  <si>
    <t>52Laptop</t>
  </si>
  <si>
    <t>53Serviceconnections&amp;Up</t>
  </si>
  <si>
    <t>54Watermeters</t>
  </si>
  <si>
    <t>55Distributionmains&amp;Upgr</t>
  </si>
  <si>
    <t>56Pumpingequipment</t>
  </si>
  <si>
    <t>57Fieldequipment</t>
  </si>
  <si>
    <t>58COMPUTEREQUIPMENT</t>
  </si>
  <si>
    <t>59Serviceconnections</t>
  </si>
  <si>
    <t>60Watermeters</t>
  </si>
  <si>
    <t>61Pumpingequipment</t>
  </si>
  <si>
    <t>62Computerequipment</t>
  </si>
  <si>
    <t>63Fieldequipment</t>
  </si>
  <si>
    <t>64Distributionmains</t>
  </si>
  <si>
    <t>65Generator-Aw</t>
  </si>
  <si>
    <t>66Greg'Slaptop</t>
  </si>
  <si>
    <t>67Newgaragedoor-Office</t>
  </si>
  <si>
    <t>68Serviceconnections</t>
  </si>
  <si>
    <t>69Pumpingequipment</t>
  </si>
  <si>
    <t>70(24)Newmeters</t>
  </si>
  <si>
    <t>71Serviceconnections</t>
  </si>
  <si>
    <t>72Serviceconnections</t>
  </si>
  <si>
    <t>73(16)Newmeters</t>
  </si>
  <si>
    <t>74Communicationequipment</t>
  </si>
  <si>
    <t>75Meter</t>
  </si>
  <si>
    <t>76Serviceconnections</t>
  </si>
  <si>
    <t>77Telephoneequipment</t>
  </si>
  <si>
    <t>78Distributionmains</t>
  </si>
  <si>
    <t>79Fieldequipment</t>
  </si>
  <si>
    <t>Land</t>
  </si>
  <si>
    <t>various</t>
  </si>
  <si>
    <t>Water Rights</t>
  </si>
  <si>
    <t>Land Rights</t>
  </si>
  <si>
    <t>New 1" Meter</t>
  </si>
  <si>
    <t>Parts</t>
  </si>
  <si>
    <t>Parts Return</t>
  </si>
  <si>
    <t>Excavator Work</t>
  </si>
  <si>
    <t>SRF Project Loan Funding</t>
  </si>
  <si>
    <t>Discovery Bay</t>
  </si>
  <si>
    <t>Generator Discovery Bay</t>
  </si>
  <si>
    <t>Disco Bay service connection (Carson)</t>
  </si>
  <si>
    <t>Discovery Bay meter changeouts (to auto-read)</t>
  </si>
  <si>
    <t>Discovery Bay SCADA</t>
  </si>
  <si>
    <t>Discovery Bay - new contactor</t>
  </si>
  <si>
    <t>Discovery Bay - Day 1</t>
  </si>
  <si>
    <t>Pump House</t>
  </si>
  <si>
    <t>Wells</t>
  </si>
  <si>
    <t>Water Mains</t>
  </si>
  <si>
    <t>Tank</t>
  </si>
  <si>
    <t>Survey &amp; Design</t>
  </si>
  <si>
    <t>Installation</t>
  </si>
  <si>
    <t>Services</t>
  </si>
  <si>
    <t>Pumps</t>
  </si>
  <si>
    <t>Wells/Mains</t>
  </si>
  <si>
    <t>Water System</t>
  </si>
  <si>
    <t>Pump/Meters</t>
  </si>
  <si>
    <t>Broder Meter &amp; Extension</t>
  </si>
  <si>
    <t>Replace Line</t>
  </si>
  <si>
    <t>High Power Pump</t>
  </si>
  <si>
    <t>Grainger Chlorine System</t>
  </si>
  <si>
    <t>#72 Well Pump</t>
  </si>
  <si>
    <t>Meter-nsp well</t>
  </si>
  <si>
    <t>Chlorinator</t>
  </si>
  <si>
    <t>Chlorine Pump-Grainger</t>
  </si>
  <si>
    <t>HP Pump &amp; Motor-Cascade</t>
  </si>
  <si>
    <t>HP Pump</t>
  </si>
  <si>
    <t>Compressor</t>
  </si>
  <si>
    <t>Ebara 5 HP Pump</t>
  </si>
  <si>
    <t>Lot 72 (Parcel ID 947400072)</t>
  </si>
  <si>
    <t>N/A</t>
  </si>
  <si>
    <t>Nelson Short Plat (Parcel ID 964502307)</t>
  </si>
  <si>
    <t>Estates - Day 1</t>
  </si>
  <si>
    <t>Transmission Mains</t>
  </si>
  <si>
    <t>Well Land (Estates Water System)</t>
  </si>
  <si>
    <t xml:space="preserve">Pump </t>
  </si>
  <si>
    <t>Electrical Panel</t>
  </si>
  <si>
    <t>Water Lines</t>
  </si>
  <si>
    <t>File Cabinet</t>
  </si>
  <si>
    <t>Pumps &amp; Electrical</t>
  </si>
  <si>
    <t>Pipes</t>
  </si>
  <si>
    <t>2 Meters</t>
  </si>
  <si>
    <t>Pump 652 Amp</t>
  </si>
  <si>
    <t>Rockwell Probe</t>
  </si>
  <si>
    <t>Drilling Equip</t>
  </si>
  <si>
    <t>SRC Meters</t>
  </si>
  <si>
    <t>Pump</t>
  </si>
  <si>
    <t>Water Line Ostrich Farm</t>
  </si>
  <si>
    <t>Meter Yokes</t>
  </si>
  <si>
    <t>Pump Motor</t>
  </si>
  <si>
    <t>Missing In Original File</t>
  </si>
  <si>
    <t>Electric Panel</t>
  </si>
  <si>
    <t>Water line ostrich farm</t>
  </si>
  <si>
    <t>Service Connection (30)</t>
  </si>
  <si>
    <t>Pumping and Water Treatment (20)</t>
  </si>
  <si>
    <t>Plant, Structures, and Improvements (35)</t>
  </si>
  <si>
    <t>Tanks and Wells (25)</t>
  </si>
  <si>
    <t>Plant, Other (40)</t>
  </si>
  <si>
    <t>Service Connection</t>
  </si>
  <si>
    <t>System Improvements</t>
  </si>
  <si>
    <t>Estates/Monterra</t>
  </si>
  <si>
    <t>Meter: 162 Cypress Circle (Monterra)</t>
  </si>
  <si>
    <t>Meter: 152 Cypress Cir (Monterra)</t>
  </si>
  <si>
    <t>Estates Meter Installs: 721 Ridge View &amp; 31 Buckhorn</t>
  </si>
  <si>
    <t>Monterra Meter Installs: 152 &amp; 162 Cypress Cir</t>
  </si>
  <si>
    <t>New 7.5Hp 225Gpm Pump For Estates</t>
  </si>
  <si>
    <t>Labor To Install New Meter - 212 Monterra Dr</t>
  </si>
  <si>
    <t>Labor To Install New Meter - Monterra Clubhouse</t>
  </si>
  <si>
    <t>8095591 - 3" Master Meter</t>
  </si>
  <si>
    <t>5/8 x 3/4 meter - 202 Lands End</t>
  </si>
  <si>
    <t>Capital Labor - moving of meters on Bon Jon view</t>
  </si>
  <si>
    <t>400 Ridge View Dr - meter install</t>
  </si>
  <si>
    <t>Replaced driveway box (130 E Robert)</t>
  </si>
  <si>
    <t>Replaced driveway box (100 W Robert)</t>
  </si>
  <si>
    <t>Monterra meter install: 132 Sea Bluff</t>
  </si>
  <si>
    <t>Meter install: 103 Secluded Way</t>
  </si>
  <si>
    <t>Meter install: 133 Greywolf</t>
  </si>
  <si>
    <t>Estates meter install: 133 Greywolf (plus meter cost $111.33 from Ferguson)</t>
  </si>
  <si>
    <t>Estates meter install: 103 Secluded Way (plus meter cost $111.33 from Ferguson)</t>
  </si>
  <si>
    <t>Estates Meter Install (Nello)</t>
  </si>
  <si>
    <t>Estates Meter Install (Klahhane)</t>
  </si>
  <si>
    <t>Monterra Generator</t>
  </si>
  <si>
    <t>Estates Generator</t>
  </si>
  <si>
    <t>Estates line extension</t>
  </si>
  <si>
    <t>Service Connection - 245 Greywolf Dr</t>
  </si>
  <si>
    <t>Service Line - Estates/Monterra</t>
  </si>
  <si>
    <t>Estates meter install (Buckhorn)</t>
  </si>
  <si>
    <t>Estates meter install (Gerardi)</t>
  </si>
  <si>
    <t>Estates Meter Install: 130 Bon Jon</t>
  </si>
  <si>
    <t>Estates Meter Install: 173 (actually 201) Secluded Way</t>
  </si>
  <si>
    <t>Capacity Report - Estates</t>
  </si>
  <si>
    <t>Meter install: 191 Buckhorn (existing meter on hand)</t>
  </si>
  <si>
    <t>Estates meter installs</t>
  </si>
  <si>
    <t>Estates PRV: Lotzgesell Rd</t>
  </si>
  <si>
    <t>New meter install: 300 Lotzgesell</t>
  </si>
  <si>
    <t>New meter install: 30 W Robert</t>
  </si>
  <si>
    <t>Meter placement/lowering yard: Steve Pl</t>
  </si>
  <si>
    <t>Monterra service call (pressure switch not working - installed new motor starter, heater pack, pressure switch, coil relay)</t>
  </si>
  <si>
    <t>New meters: Kitchen Dick, Klahhane, Ridge Pl, Buckhorn</t>
  </si>
  <si>
    <t>Monterra</t>
  </si>
  <si>
    <t>103 Home Ln Meter Install</t>
  </si>
  <si>
    <t>Meter Install - Monterra</t>
  </si>
  <si>
    <t>2 Meters Installed At Monterra</t>
  </si>
  <si>
    <t>Labor To Install 3 Meters At Monterra</t>
  </si>
  <si>
    <t>Monterra - Day 1</t>
  </si>
  <si>
    <t>Island</t>
  </si>
  <si>
    <t>Dell Bay</t>
  </si>
  <si>
    <t>Cascadia Water System Plans</t>
  </si>
  <si>
    <t>Seaview Well Study</t>
  </si>
  <si>
    <t>23768 - Cascadia Water System Plans</t>
  </si>
  <si>
    <t>24236 - Cascadia Water System Plans</t>
  </si>
  <si>
    <t>Meter Install</t>
  </si>
  <si>
    <t>Meter Install-Blackfin Dr</t>
  </si>
  <si>
    <t>Traffic-Rated Meter Box</t>
  </si>
  <si>
    <t>Meter Lid</t>
  </si>
  <si>
    <t>5Hp Control Box</t>
  </si>
  <si>
    <t>CJ-101201 2Hp Booster Pump</t>
  </si>
  <si>
    <t>TEL Company 1 5Hp Booster Pump (3)</t>
  </si>
  <si>
    <t>Parts (Leak Repair), Mutiny Bay Rd</t>
  </si>
  <si>
    <t>WB Waterworks New 5Hp Pump Install</t>
  </si>
  <si>
    <t>24484 - Cascadia Water System Plans</t>
  </si>
  <si>
    <t>Resetter (Meter) - Leak At 1943</t>
  </si>
  <si>
    <t>Cascadia (TEL 5) Pump House Design</t>
  </si>
  <si>
    <t>TEL Company 4 Pump Replacement</t>
  </si>
  <si>
    <t>Phase 1 Environmental</t>
  </si>
  <si>
    <t>WB Waterworks (Mutiny Ln) New Meter Install</t>
  </si>
  <si>
    <t>Beachcombers (Cuthbert Dr) New Meter Install</t>
  </si>
  <si>
    <t>WB Waterworks (Tara Ln) New Meter Install</t>
  </si>
  <si>
    <t>TEL #3 (Cultus Bay Rd) New Meter Install</t>
  </si>
  <si>
    <t>TEL #3 (Cultus Bay Rd) New Meter/Blowoff Install</t>
  </si>
  <si>
    <t>Studies</t>
  </si>
  <si>
    <t>Pressure Tanks - TEL #10</t>
  </si>
  <si>
    <t>New Well: TEL 10</t>
  </si>
  <si>
    <t>TEL 3 Pumphouse Power wap</t>
  </si>
  <si>
    <t>Excavator Rental For TEL 10 Well Project</t>
  </si>
  <si>
    <t>TEL 5 Wetland Study (New Pumphouse)</t>
  </si>
  <si>
    <t>Excavator Rental (TEL 10) Reimburse</t>
  </si>
  <si>
    <t>TEL 10 Pumphouse Parts for New Well</t>
  </si>
  <si>
    <t>Double R Rental Reimburse - Excavator for TEL 10 Well Backfill</t>
  </si>
  <si>
    <t>Run New Wire to TEL 1 Pumphouse</t>
  </si>
  <si>
    <t>Electrical Services to Install 14KW Kohler Generator (TEL 10)</t>
  </si>
  <si>
    <t>TEL 10 New Well Parts (Poly Pipe, Pac Joints, Master Meter)</t>
  </si>
  <si>
    <t>TEL 1 Inglewood Wiring</t>
  </si>
  <si>
    <t>TEL 1 Automatic Transfer Switch</t>
  </si>
  <si>
    <t>TEL 1 Generator: 2" PVC Elbow &amp; Bell</t>
  </si>
  <si>
    <t>TEL 1 Generator: Brace &amp; Plywood</t>
  </si>
  <si>
    <t>TEL 1 Generator: Concrete</t>
  </si>
  <si>
    <t>TEL 4: Initial Propane Fuel For Fenerator</t>
  </si>
  <si>
    <t>TEL 10: Initial Propane Fuel For Fenerator</t>
  </si>
  <si>
    <t>TEL 1 PumPhouse: New Generator Wiring &amp; Installation</t>
  </si>
  <si>
    <t>TEL 3: New Generator Installation &amp; Wiring</t>
  </si>
  <si>
    <t>TEL 3: Pumphouse Wiring At Well #2 &amp; Booster Pump</t>
  </si>
  <si>
    <t>TEL 1 Pumphouse: Backfilled Ditches, Crushed Gravel</t>
  </si>
  <si>
    <t>TEL #3: 1hp Booster Pump (Existing Booster Pump Moved To TEL #1)</t>
  </si>
  <si>
    <t>TEL 3 Generator Initial Propane Fill</t>
  </si>
  <si>
    <t>TEL 1 Generator Initial Propane Fill</t>
  </si>
  <si>
    <t>TEL 5 Pumphouse: Materials, Permit/Planning, Contractor, Concrete, Dirt Work [was CWIP]</t>
  </si>
  <si>
    <t>New 7.5Hp Pump At WB [Finance Charge On Unpaid Balance]</t>
  </si>
  <si>
    <t>TEL 5 Pumphouse: Roofing, Carpenter, Concrete Slab, Materials</t>
  </si>
  <si>
    <t>Labor To Install New Pump @ WB</t>
  </si>
  <si>
    <t>10/14 Backfilled Water Meters &amp; Blowoff - Wahl/Lancaster (WB)</t>
  </si>
  <si>
    <t>31776 - Water System Plan</t>
  </si>
  <si>
    <t>Labor: Install Meters At WB [Reclassify Capital Labor From Salary (Pay Period 7/20/20-8/2/20)]</t>
  </si>
  <si>
    <t>Labor: Install Generators TEL 3 [Reclassify Capital Labor From Salary (Pay Period 8/31-9/13/20)]</t>
  </si>
  <si>
    <t>Labor: Water System Plan [Reclassify Capital Labor From Salary (Pay Period 5/11/20-5/24/20)]</t>
  </si>
  <si>
    <t>Labor: Water System Plan [Reclassify Capital Labor From Salary (Pay Period 5/25/20-6/7/20)]</t>
  </si>
  <si>
    <t>Labor: Water System Plan [Reclassify Capital Labor From Salary (Pay Period 6/22/20-7/5/20)]</t>
  </si>
  <si>
    <t>Labor: Generators [Reclassify Capital Labor From Salary (Pay Period 5/11/20-5/24/20)]</t>
  </si>
  <si>
    <t>Labor: TEL 1 Generator [Reclassify Capital Labor From Salary (Pay Period 6/8/20-6/21/20)]</t>
  </si>
  <si>
    <t>Labor: TEL 1 Generator [Reclassify Capital Labor From Salary (Pay Period 5/25/20-6/7/20)]</t>
  </si>
  <si>
    <t>Labor: TEL 3 Generator [Reclassify Capital Labor From Salary (Pay Period 6/8/20-6/21/20)]</t>
  </si>
  <si>
    <t>Labor: Generators TEL 1 [Reclassify Capital Labor From Salary (Pay Period 7/6/20-7/19/20)]</t>
  </si>
  <si>
    <t>Labor: Seaview Generator [Reclassify Capital Labor From Salary (Pay Period 6/8/20-6/21/20)]</t>
  </si>
  <si>
    <t>Labor: Install Generators TEL 1 [Reclassify Capital Labor From Salary (Pay Period 8/31-9/13/20)]</t>
  </si>
  <si>
    <t>Labor: Generators TEL 3 [Reclassify Capital Labor From Salary (Pay Period 7/6/20-7/19/20)]</t>
  </si>
  <si>
    <t>Labor: Install Booster Pumps TEL 1 [Reclassify Capital Labor From Salary (Pay Period 7/20/20-8/2/20)]</t>
  </si>
  <si>
    <t>Labor: Install New Well Pump TEL 3 [Reclassify Capital Labor From Salary (Pay Period 7/20/20-8/2/20)]</t>
  </si>
  <si>
    <t>Labor: TEL 1 Pressure Switch Install [Reclassify Capital Labor From Salary (Pay Period 6/8/20-6/21/20)]</t>
  </si>
  <si>
    <t>Labor: TEL 3 Pumphouse Electrical [Reclassify Capital Labor From Salary (Pay Period 5/11/20-5/24/20)]</t>
  </si>
  <si>
    <t>Labor: TEL 10 New Well [Reclassify Capital Labor From Salary (Pay Period 6/8/20-6/21/20)]</t>
  </si>
  <si>
    <t>Labor: TEL 10 New Well [Reclassify Capital Labor From Salary (Pay Period 5/25/20-6/7/20)]</t>
  </si>
  <si>
    <t>Labor: TEL 10 New Well Final Paperwork [Reclassify Capital Labor From Salary (Pay Period 7/20/20-8/2/20)]</t>
  </si>
  <si>
    <t>Labor: TEL 10 New Well [Reclassify Capital Labor From Salary (Pay Period 7/6/20-7/19/20)]</t>
  </si>
  <si>
    <t>Labor: TEL 10 New Well [Reclassify Capital Labor From Salary (Pay Period 5/11/20-5/24/20)]</t>
  </si>
  <si>
    <t>TEL 5 Pumphouse Labor (In Progress)</t>
  </si>
  <si>
    <t>TEL 5 Pumphouse: 2500-Gallon Reservoir, Cj101 2Hp 3-Stage Booster Pump, 60/80 Heavy Duty Pressure Switch</t>
  </si>
  <si>
    <t>32620 - Water System Plan</t>
  </si>
  <si>
    <t>27352 - Cascadia Water System Plans</t>
  </si>
  <si>
    <t>Water System Plan</t>
  </si>
  <si>
    <t>2" Master Meters - WB</t>
  </si>
  <si>
    <t>2" Master Meters + Flanges &amp; Kits - Sea View</t>
  </si>
  <si>
    <t>2" Master Meter + Flanges &amp; Kits &amp; Brass Assembly - Beachcombers</t>
  </si>
  <si>
    <t>2" Master Meter + Flanges &amp; Kits &amp; Brass Assembly - CAL</t>
  </si>
  <si>
    <t>2" Master Meter + Flanges &amp; Kits - Beachcombers</t>
  </si>
  <si>
    <t>2" Master Meter + Flanges &amp; Kits -CAL</t>
  </si>
  <si>
    <t>2" Master Meter - TEL 1</t>
  </si>
  <si>
    <t>New Meter @ WB [Savage]</t>
  </si>
  <si>
    <t>1" Master Meters + Check Valve/Fittings - TEL 1</t>
  </si>
  <si>
    <t>New Meter @ TEL 1 [Garrick]</t>
  </si>
  <si>
    <t>New Meter @ WB [Allen]</t>
  </si>
  <si>
    <t>New Meter @ TEL #4 [Adan]</t>
  </si>
  <si>
    <t>1" Master Meter + Check Valve/Fittings - TEL 11</t>
  </si>
  <si>
    <t>5/8 X 3/4" Master Meter - TEL 10</t>
  </si>
  <si>
    <t>1Hp Cj101 Flint &amp; Walling Booster Pump - TEL 3</t>
  </si>
  <si>
    <t>1Hp Mq Grundfos Booster Pump - TEL 11</t>
  </si>
  <si>
    <t>1Hp Mq Grundfos Booster Pump - TEL 10</t>
  </si>
  <si>
    <t>TEL 3 Pumphouse - Install Pole &amp; Guidewire</t>
  </si>
  <si>
    <t>Pressure Tanks - TEL #3</t>
  </si>
  <si>
    <t>Move Capital Labor From Salary To Capital (Payroll Period 2/3/20-2/16/20)</t>
  </si>
  <si>
    <t>Move Capital Labor From Salary To Capital (Payroll Period 3/30/20-4/12/20)</t>
  </si>
  <si>
    <t>Move Capital Labor From Salary To Capital (Payroll Period 1/20/20-2/2/20)</t>
  </si>
  <si>
    <t>Move Capital Labor From Salary To Capital (Payroll Period 3/2/20-3/15/20)</t>
  </si>
  <si>
    <t>Move Capital Labor From Salary To Capital (Payroll Period 3/16/20-3/29/20)</t>
  </si>
  <si>
    <t>Move Capital Labor From Salary To Capital (Payroll Period 2/17/20-3/1/20)</t>
  </si>
  <si>
    <t>Move Capital Labor From Salary To Capital (Payroll Period 4/27/20-5/10/20)</t>
  </si>
  <si>
    <t>New Road For New Well At TEL 10</t>
  </si>
  <si>
    <t>TEL 3 Pumphouse Wire Upgrade</t>
  </si>
  <si>
    <t>New Well: TEL 10 (Labor)</t>
  </si>
  <si>
    <t>Trench For Electrical Wire At TEL 1</t>
  </si>
  <si>
    <t>Keys Made For Electricians Installing Generators &amp; Scada</t>
  </si>
  <si>
    <t>New Meters: WB</t>
  </si>
  <si>
    <t>Electrical Services To Install 14Kw Kohler Generator (TEL 4)</t>
  </si>
  <si>
    <t>20-22195 - TEL #10 New Well Nitrate/Arsenic Samples</t>
  </si>
  <si>
    <t>Seaview: Initial Propane Fuel For Generator</t>
  </si>
  <si>
    <t>Beachcombers: Initial Propane Fuel For Generator</t>
  </si>
  <si>
    <t>WB: Initial Propane Fuel For Generator</t>
  </si>
  <si>
    <t>WB: 2 New Meters</t>
  </si>
  <si>
    <t>TEL #3 New Well Pump (So2)</t>
  </si>
  <si>
    <t>Beachcombers: 7.5Hp Control Box</t>
  </si>
  <si>
    <t>TEL #1: New Pressure Switches In Pumphouse</t>
  </si>
  <si>
    <t>Install Kohler 20Kw Generator</t>
  </si>
  <si>
    <t>Propane For Seaview Generator</t>
  </si>
  <si>
    <t>CAL Waterworks: SO1 Well Replacement Pump</t>
  </si>
  <si>
    <t>Labor To Install New 3Hp At CAL</t>
  </si>
  <si>
    <t>Labor To Install New Fill Line At Beachcombers</t>
  </si>
  <si>
    <t>31431 - Water System Plan</t>
  </si>
  <si>
    <t>New 7.5Hp Grundfos Pump: WB (So2)</t>
  </si>
  <si>
    <t>Beachcombers New Fill Line (Reclassify Labor From Exp To Capital)</t>
  </si>
  <si>
    <t>DOH Review of Master Plan</t>
  </si>
  <si>
    <t>33342 - Water System Plan</t>
  </si>
  <si>
    <t>35721 - Water System Plan</t>
  </si>
  <si>
    <t>5hp control box @ WB SO1</t>
  </si>
  <si>
    <t>Air Rite Air Compressor - Seaview</t>
  </si>
  <si>
    <t>35749 - Water System Plans [Reclassifying invoice rcv'd 3/25/21 previously reported under 631 - Engineering]</t>
  </si>
  <si>
    <t>Reclassify salary to capital labor [TEL 4 new reservoir overflow]</t>
  </si>
  <si>
    <t>Mutiny Bay Waterworks/Alpha Ln Pumphouse Repair (3/4Hp 10Gpm Pump &amp; Parts)</t>
  </si>
  <si>
    <t>Beachwood Main Line Site Work</t>
  </si>
  <si>
    <t>Beachcombers CJ101 1Hp Booster Pump</t>
  </si>
  <si>
    <t>Beachcombers CJ101 2Hp Booster Pump</t>
  </si>
  <si>
    <t>TEL1 CJ101 2Hp Booster Pump</t>
  </si>
  <si>
    <t>TEL 1: 5Hp Submersible Pump &amp; Control Box</t>
  </si>
  <si>
    <t>TEL 10: Grundfos Booster Pump</t>
  </si>
  <si>
    <t>TEL 11: Grundfos Booster Pump</t>
  </si>
  <si>
    <t>SCADA Transducer: Seaview</t>
  </si>
  <si>
    <t>SCADA Transducer: WB</t>
  </si>
  <si>
    <t>CAL Meter Install (Harbor Sands)</t>
  </si>
  <si>
    <t>TEL4 Meter Install (Neighbors)</t>
  </si>
  <si>
    <t>TEL 11 Generator Install</t>
  </si>
  <si>
    <t>TEL 10 Expansion</t>
  </si>
  <si>
    <t>CAL Pumphouse</t>
  </si>
  <si>
    <t>Seaview - new road</t>
  </si>
  <si>
    <t>WB Well Covers</t>
  </si>
  <si>
    <t>Tel 6 Generator</t>
  </si>
  <si>
    <t>Air Compressor - Beachcombers</t>
  </si>
  <si>
    <t>Goldfinch Valve Install</t>
  </si>
  <si>
    <t>Mutiny Bay PRV</t>
  </si>
  <si>
    <t>Seaview - Pump</t>
  </si>
  <si>
    <t>Tel 3 - Pumping Equip</t>
  </si>
  <si>
    <t>WB New Pump</t>
  </si>
  <si>
    <t>WB North Half PRV</t>
  </si>
  <si>
    <t>Del Bay project - New Mainline</t>
  </si>
  <si>
    <t>Intertie - Call Harbor</t>
  </si>
  <si>
    <t>Tel 4 Expansion</t>
  </si>
  <si>
    <t>WB Creek Crossing / Mutiny Ln Project</t>
  </si>
  <si>
    <t>Westview Intertie</t>
  </si>
  <si>
    <t>WB Meter Install (Halstead Rd)</t>
  </si>
  <si>
    <t>TEL 4 SCADA</t>
  </si>
  <si>
    <t>Move CWIP to Capital 1.31.22</t>
  </si>
  <si>
    <t>Meter install: 1987 West Beach</t>
  </si>
  <si>
    <t>10hp pump &amp; motor</t>
  </si>
  <si>
    <t>Service call to Seaview: upgraded controls</t>
  </si>
  <si>
    <t>Seaview 7.5hp 3-phase 230-volt motor</t>
  </si>
  <si>
    <t>WB: SO3 bailing &amp; surging wellImproved from 35gpm to 68gpm at meter</t>
  </si>
  <si>
    <t>New 5hp Franklin pump: Seaview (SO3)</t>
  </si>
  <si>
    <t>Digital chlorine tester &amp; initial packets</t>
  </si>
  <si>
    <t>Manual Hach chlorine test kit and initial packets</t>
  </si>
  <si>
    <t>[CAL pumphouse] Freeland Country Store purchase posts/gate</t>
  </si>
  <si>
    <t>1.5hp three-phase Flint &amp; Walling Booster Pump (CJ101) - TEL #3</t>
  </si>
  <si>
    <t>Diamond Point meter install [Ring]</t>
  </si>
  <si>
    <t>CAL Pumphouse electrical services/upgrades</t>
  </si>
  <si>
    <t>Seaview heater upgrade - (remove existing heater, replace with new box, timer, door contact, etc)</t>
  </si>
  <si>
    <t>Lehman - Day 1</t>
  </si>
  <si>
    <t>BCSO1</t>
  </si>
  <si>
    <t xml:space="preserve">55000 GAL Reservoir  </t>
  </si>
  <si>
    <t>TEL 4 SO1</t>
  </si>
  <si>
    <t>Land 120X165</t>
  </si>
  <si>
    <t>50000 GAL Reservoir</t>
  </si>
  <si>
    <t>40000 GAL Reservoir</t>
  </si>
  <si>
    <t>TEL 4 Pump House</t>
  </si>
  <si>
    <t>CAL 2100Ft 4IN PVC MaIN</t>
  </si>
  <si>
    <t>CAL 5400Ft 3IN PVC MaIN</t>
  </si>
  <si>
    <t>TEL4 1800Ft 3IN PVC MaIN</t>
  </si>
  <si>
    <t>CAL Blow Offs</t>
  </si>
  <si>
    <t>CAL 4" Main Valves</t>
  </si>
  <si>
    <t>CAL 3" Main Valves</t>
  </si>
  <si>
    <t>CAL 2" Main Valves</t>
  </si>
  <si>
    <t>WBSO1</t>
  </si>
  <si>
    <t>CAL SO1</t>
  </si>
  <si>
    <t>WB 25800Ft 6IN PVC Main</t>
  </si>
  <si>
    <t>WBSO2</t>
  </si>
  <si>
    <t>Land 50X60</t>
  </si>
  <si>
    <t>TEL1 SO9</t>
  </si>
  <si>
    <t>TEL3 SO1</t>
  </si>
  <si>
    <t>Land .5 Acres</t>
  </si>
  <si>
    <t>TEL1 SO1</t>
  </si>
  <si>
    <t>CAL Pump House</t>
  </si>
  <si>
    <t>WB 14650Ft 4IN PVC Main</t>
  </si>
  <si>
    <t>TEL3 1100Ft 2IN PVC Main</t>
  </si>
  <si>
    <t>TEL4 660Ft 2IN PVC Main</t>
  </si>
  <si>
    <t>TEL4 1200Ft 1.25IN PVC Main</t>
  </si>
  <si>
    <t>TEL 4 Blow Offs</t>
  </si>
  <si>
    <t>WB 6" Main Valves</t>
  </si>
  <si>
    <t>WB 4"Main Valves</t>
  </si>
  <si>
    <t>TEL10 SO1</t>
  </si>
  <si>
    <t>TEL1 1460Ft 4IN PVC Main</t>
  </si>
  <si>
    <t>23000 GAL Reservoir</t>
  </si>
  <si>
    <t>TEL 3 Pump House</t>
  </si>
  <si>
    <t>WB 9800Ft 2IN PVC Main</t>
  </si>
  <si>
    <t>TEL3 1700Ft 6IN PVC Main</t>
  </si>
  <si>
    <t>TEL3 2700Ft 4IN PVC Main</t>
  </si>
  <si>
    <t>WB 2" Main Valves</t>
  </si>
  <si>
    <t>WBSO3</t>
  </si>
  <si>
    <t>TEL3  So2</t>
  </si>
  <si>
    <t>Land 40X40</t>
  </si>
  <si>
    <t>CAL 2600Ft 2IN PVC Mian</t>
  </si>
  <si>
    <t>CAL So2</t>
  </si>
  <si>
    <t>TEL1 So8</t>
  </si>
  <si>
    <t>Land 100X70</t>
  </si>
  <si>
    <t>Easement 20X80</t>
  </si>
  <si>
    <t>WB 7.5Hp Pump</t>
  </si>
  <si>
    <t>WB 5400Ft 8IN PVC Main</t>
  </si>
  <si>
    <t>TEL1 1320Ft 3IN PVC Main</t>
  </si>
  <si>
    <t>WB 8" Main Valves</t>
  </si>
  <si>
    <t>TEL6 SO1</t>
  </si>
  <si>
    <t>30000 GAL Reservoir</t>
  </si>
  <si>
    <t>WB Pump Houses</t>
  </si>
  <si>
    <t>TEL 6 Pump House</t>
  </si>
  <si>
    <t>TEL4 2450Ft 6IN PVC Main</t>
  </si>
  <si>
    <t>TEL6 400Ft 4IN PVC Main</t>
  </si>
  <si>
    <t>TEL 4 Fire Hydrants</t>
  </si>
  <si>
    <t>TEL5 SO1</t>
  </si>
  <si>
    <t>Land 30X100 Easement</t>
  </si>
  <si>
    <t>34000 GAL Reservoir</t>
  </si>
  <si>
    <t>Land .22 Acres</t>
  </si>
  <si>
    <t>TEL1 1000Ft 2IN PVC Main</t>
  </si>
  <si>
    <t>TEL5 200Ft 4IN PVC Mian</t>
  </si>
  <si>
    <t>TEL6 580Ft 3IN PVC Main</t>
  </si>
  <si>
    <t xml:space="preserve">WB Fire Hydrants </t>
  </si>
  <si>
    <t>Valve And Boxes</t>
  </si>
  <si>
    <t>BC 3800Ft 8IN PVC Main</t>
  </si>
  <si>
    <t>BC 6650Ft 6IN PVC Main</t>
  </si>
  <si>
    <t>BC 6100Ft 4IN PVC Main</t>
  </si>
  <si>
    <t>BC 6000Ft 2IN PVC Main</t>
  </si>
  <si>
    <t>BC Fire Hydrants</t>
  </si>
  <si>
    <t>BC Blow Offs</t>
  </si>
  <si>
    <t>BC 8" Main Valves</t>
  </si>
  <si>
    <t>BC 6" Main Valves</t>
  </si>
  <si>
    <t>BC 4" Main Valves</t>
  </si>
  <si>
    <t>BC 2" Main Valves</t>
  </si>
  <si>
    <t>TEL11 SO1</t>
  </si>
  <si>
    <t>Easement 100' Radius</t>
  </si>
  <si>
    <t>60200 GAL Reservoir</t>
  </si>
  <si>
    <t>Land 70X150</t>
  </si>
  <si>
    <t>TEL 1  Pump House So8</t>
  </si>
  <si>
    <t>TEL 5 Pump House</t>
  </si>
  <si>
    <t>TEL5 1000Ft 2IN PVC Main</t>
  </si>
  <si>
    <t>TEL6 350Ft 2IN PVC Main</t>
  </si>
  <si>
    <t>WB Air-Vac</t>
  </si>
  <si>
    <t>TEL 1 Fire Hydrants</t>
  </si>
  <si>
    <t>TEL 1 4" Main Valves</t>
  </si>
  <si>
    <t>TEL3 3Hp Pump</t>
  </si>
  <si>
    <t>TEL 1 Pump House SO9</t>
  </si>
  <si>
    <t>6500 GAL Reservoir</t>
  </si>
  <si>
    <t>BC 2Hp Booster Pump</t>
  </si>
  <si>
    <t>BC 2.5Hp Booster Pump</t>
  </si>
  <si>
    <t>TEL3 2-3Hp Booster Pump</t>
  </si>
  <si>
    <t>TEL11 Booster</t>
  </si>
  <si>
    <t>BC Pump House</t>
  </si>
  <si>
    <t>TEL 11 Pump House</t>
  </si>
  <si>
    <t>TEL11 400Ft 6IN PVC Main</t>
  </si>
  <si>
    <t>TEL11 400Ft 4IN PVC Main</t>
  </si>
  <si>
    <t>TEL11 460Ft 2IN PVC Main</t>
  </si>
  <si>
    <t>TEL1 Blow Offs</t>
  </si>
  <si>
    <t>Wbso4</t>
  </si>
  <si>
    <t>2500 GAL Reservoir</t>
  </si>
  <si>
    <t>TEL5 3 Hp Pump</t>
  </si>
  <si>
    <t>TEL10 .5Hp Pump</t>
  </si>
  <si>
    <t>TEL 10 Pump House</t>
  </si>
  <si>
    <t>TEL10 100Ft 4IN PVC Main</t>
  </si>
  <si>
    <t>TEL10 1280Ft 2IN PVC Main</t>
  </si>
  <si>
    <t>Easement 20X32</t>
  </si>
  <si>
    <t>Easement 30X60</t>
  </si>
  <si>
    <t>WB 5Hp Pump</t>
  </si>
  <si>
    <t>TEL1 5Hp Pump</t>
  </si>
  <si>
    <t>TEL1 3Hp Pump</t>
  </si>
  <si>
    <t>TEL1 2Hp Pump</t>
  </si>
  <si>
    <t>TEL1 Booster Pumps</t>
  </si>
  <si>
    <t>TEL 1 Pump House SO1</t>
  </si>
  <si>
    <t>TEL 1 Pump House</t>
  </si>
  <si>
    <t>TEL1 12500Ft 6IN PVC Mian</t>
  </si>
  <si>
    <t>TEL 1 6" Main Valves</t>
  </si>
  <si>
    <t>BCSO2</t>
  </si>
  <si>
    <t>BC 7.5Hp Pump</t>
  </si>
  <si>
    <t>CAL 3Hp Pump</t>
  </si>
  <si>
    <t>CAL 300Ft 6IN PVC Main</t>
  </si>
  <si>
    <t>TEL4 2-2Hp Pump</t>
  </si>
  <si>
    <t>TEL11 .75Hp Pump</t>
  </si>
  <si>
    <t>WB Blow Offs</t>
  </si>
  <si>
    <t>TEL6 1 Hp Pump</t>
  </si>
  <si>
    <t>TEL3 1.5 Booster Pump</t>
  </si>
  <si>
    <t>2-2500 GAL Reservoir</t>
  </si>
  <si>
    <t>TEL5 Booster Pumps</t>
  </si>
  <si>
    <t>TEL10 Booster Pump</t>
  </si>
  <si>
    <t>WB Mq-45</t>
  </si>
  <si>
    <t>WB</t>
  </si>
  <si>
    <t>CAL Booster Pumps</t>
  </si>
  <si>
    <t>Inv # 15045 - WB Waterworks - New 2" Main Line, Admiralty Way</t>
  </si>
  <si>
    <t>Inv # 15055 - WB Waterworks</t>
  </si>
  <si>
    <t>Inv # 15068 - WB Waterworks</t>
  </si>
  <si>
    <t>Inv # 15106 - TEL 10 &amp; TEL 11</t>
  </si>
  <si>
    <t>Inv # 15103 - CAL Waterworks</t>
  </si>
  <si>
    <t>Inv # 15102 - CAL Waterworks</t>
  </si>
  <si>
    <t>Inv # 15120 - WB Waterworks</t>
  </si>
  <si>
    <t>Inv # 15126 - WB Waterworks</t>
  </si>
  <si>
    <t>Inv # 15140 - TEL #3</t>
  </si>
  <si>
    <t>Inv # 15151 - TEL #1</t>
  </si>
  <si>
    <t>Inv # 15198 - TEL #11</t>
  </si>
  <si>
    <t>Inv # 15199 - CAL Waterworks</t>
  </si>
  <si>
    <t>Inv # 15208 - Beachcombers</t>
  </si>
  <si>
    <t>Inv # 15249 - TEL #4</t>
  </si>
  <si>
    <t>Inv # 15250 - WB Waterworks</t>
  </si>
  <si>
    <t>Inv # 15281 &amp; 15284 - TEL #3 &amp; Beachcombers</t>
  </si>
  <si>
    <t>Inv # 15301 - TEL #3 - Valve Upgrades</t>
  </si>
  <si>
    <t>Inv # 15334 - TEL #1</t>
  </si>
  <si>
    <t>16021 - CAL Waterworks - Concrete Slab Floor</t>
  </si>
  <si>
    <t>16022 - Reimbursement For Hanson'S For CAL Pumphouse</t>
  </si>
  <si>
    <t>16023 - CAL Waterworks - Meters, Parts, Etc</t>
  </si>
  <si>
    <t>259257 - Camelot Pumphouse</t>
  </si>
  <si>
    <t>Acct 24210 - Reimbursement For Leak Repaired By All Wet Sprinklers</t>
  </si>
  <si>
    <t>16254 - T.E.L. #11 8/7/16</t>
  </si>
  <si>
    <t>16254 - WB 8/19/16</t>
  </si>
  <si>
    <t>16254 - T.E.L. #4 8/25/16</t>
  </si>
  <si>
    <t>Water Systems:T.E.L. #4</t>
  </si>
  <si>
    <t>WB Waterworks Pumps</t>
  </si>
  <si>
    <t>Water Systems:W&amp;B Waterworks</t>
  </si>
  <si>
    <t>Water Systems:Beachcombers H2O Co</t>
  </si>
  <si>
    <t>WB Waterworks - 2 Leaks</t>
  </si>
  <si>
    <t>16646 - 2 New Meter Boxes Robinswood Ln</t>
  </si>
  <si>
    <t>16670 - TEL #5 - New Water Meter/Install</t>
  </si>
  <si>
    <t>Inv # 265172 - New 15Hp Starter</t>
  </si>
  <si>
    <t>18161 - 5Hp Pump - WB</t>
  </si>
  <si>
    <t>18162 - 2Hp Pump For CAL</t>
  </si>
  <si>
    <t>Seaview</t>
  </si>
  <si>
    <t>Electrical Work To Install Kohler 38Kw Generator (Seaview)</t>
  </si>
  <si>
    <t>Seaview - Day 1</t>
  </si>
  <si>
    <t>Tract A</t>
  </si>
  <si>
    <t>Well Site No. 3</t>
  </si>
  <si>
    <t>90 ea., 3/4", acqd. 1978</t>
  </si>
  <si>
    <t>2  ea., 3/4", acqd. 1986</t>
  </si>
  <si>
    <t>4 ea., 3/4", acqd. 1987</t>
  </si>
  <si>
    <t>3 ea., 3/4", acqd. 1988</t>
  </si>
  <si>
    <t>7 ea., 3/4", acqd. 1989</t>
  </si>
  <si>
    <t>Greensand Filter #3, Acqd., 1989</t>
  </si>
  <si>
    <t>8 ea., 3/4", acqd. 1990</t>
  </si>
  <si>
    <t>5 ea., 3/4", acqd.1991</t>
  </si>
  <si>
    <t>Greensand Filter #4, Acqd., 1991</t>
  </si>
  <si>
    <t>Greensand Filter #5, Acqd., 1991</t>
  </si>
  <si>
    <t>3 ea., 3/4", acqd. 1992</t>
  </si>
  <si>
    <t>1 ea., 2", acqd. 1992</t>
  </si>
  <si>
    <t>7 ea., 3/4", acqd. 1993</t>
  </si>
  <si>
    <t>6 ea., 3/4", acqd. 1994</t>
  </si>
  <si>
    <t>2 ea., 3/4",acqd. 1995</t>
  </si>
  <si>
    <t>1 ea., 3/4", acqd. 1996</t>
  </si>
  <si>
    <t>1 ea., 3/4, acqd. 1997</t>
  </si>
  <si>
    <t>Water Level Indicator (1997)</t>
  </si>
  <si>
    <t>2 ea., 3/4", acqd. 1998</t>
  </si>
  <si>
    <t>Trash Pump, Acqd., 1999</t>
  </si>
  <si>
    <t>Hand Truck For Trash Pump, Acqd., 1999</t>
  </si>
  <si>
    <t>1 ea., 3/4", acqd. 2001</t>
  </si>
  <si>
    <t>2 ea., 3/4" acqd. 2002</t>
  </si>
  <si>
    <t>New Roof, Ph#2, 2002</t>
  </si>
  <si>
    <t>1 ea., 3/4" acqd. 2003</t>
  </si>
  <si>
    <t>Parts For 2", Acqd. 2003</t>
  </si>
  <si>
    <t>7.5 Hp  Bstr Pmp, Stg. Tnk. 2, Acqd. 2004</t>
  </si>
  <si>
    <t>3" Union. Well #3, Replcd., 2004</t>
  </si>
  <si>
    <t>3" Ell Well #2, Replcd., 2004</t>
  </si>
  <si>
    <t>Well Hses. Insulation &amp; Cover, 2004</t>
  </si>
  <si>
    <t>Water System Plan  2004</t>
  </si>
  <si>
    <t>Aerator No. 1</t>
  </si>
  <si>
    <t>3" Riser Pipe Stg. Res. #2, Replcd.,  2004</t>
  </si>
  <si>
    <t>Replaced Screen Well #3, 2004</t>
  </si>
  <si>
    <t>1 ea., 3/4" acqd.2005</t>
  </si>
  <si>
    <t>Misc. Hand &amp; Power Tools 2005</t>
  </si>
  <si>
    <t>10 Ea., 3/4" Acqd 2006</t>
  </si>
  <si>
    <t>Electr Cntrls Ph#2, Replced., 2004/2006</t>
  </si>
  <si>
    <t>Replaced Valves &amp; Fittings 2006</t>
  </si>
  <si>
    <t>Mn. Test Kit 2006</t>
  </si>
  <si>
    <t>Electrical Controls Ph#2 2006</t>
  </si>
  <si>
    <t>Vacuum, Shovels 2006</t>
  </si>
  <si>
    <t>Repaired Doghouse Stg. Res. #1  2006</t>
  </si>
  <si>
    <t>Valve @ Barque &amp; Sloop 2006</t>
  </si>
  <si>
    <t>Resetters And Boxes 2007</t>
  </si>
  <si>
    <t>Electrical Panel  Phse #2 2007</t>
  </si>
  <si>
    <t>Backwash Control Phse #1  2007</t>
  </si>
  <si>
    <t>Plan Updates 2007</t>
  </si>
  <si>
    <t>New Vent Cover Stg. Res. #2 2007</t>
  </si>
  <si>
    <t>8 ea., 3/4", acqd. 2008</t>
  </si>
  <si>
    <t>Rewire Phse To Wellhead  2008</t>
  </si>
  <si>
    <t>Ladder Acqd. 2008</t>
  </si>
  <si>
    <t>Leaks @Barque And @W. Beach Rd. 2008</t>
  </si>
  <si>
    <t>10 ea., 3/4" acqd 2009</t>
  </si>
  <si>
    <t>Tool Shed 2009</t>
  </si>
  <si>
    <t>Compressor Phse#1  2009</t>
  </si>
  <si>
    <t>Battery Drills, Shovel 2009</t>
  </si>
  <si>
    <t>Lawnmower 2009</t>
  </si>
  <si>
    <t>Computer, Printer, Etc. Acquired 2010</t>
  </si>
  <si>
    <t>4" Valves @Phse #2 2010</t>
  </si>
  <si>
    <t>8 ea., 3/4", acqd. 2011</t>
  </si>
  <si>
    <t>Chem. Feed Pump Acqurd 2011</t>
  </si>
  <si>
    <t>Replaced Valves &amp; Fittings 2011</t>
  </si>
  <si>
    <t>Resetters And Boxes 2011</t>
  </si>
  <si>
    <t>Door, Ph#2, 2011</t>
  </si>
  <si>
    <t>Tool Shed Electrical 2011</t>
  </si>
  <si>
    <t>Compressor Phse#12 2011</t>
  </si>
  <si>
    <t>8 ea., 3/4", acqd. 2012</t>
  </si>
  <si>
    <t>Pressure Switch Phse#1 2012</t>
  </si>
  <si>
    <t>Chem. Feed Pump Acqd 2012</t>
  </si>
  <si>
    <t>Greensand Filter#1  &amp; #2,  Phse#1 Acqd.,2012</t>
  </si>
  <si>
    <t>Replaced Valves &amp; Fittings 2012</t>
  </si>
  <si>
    <t>Static Mixer Phse#1 2012</t>
  </si>
  <si>
    <t>Phse#1 Electrical Panel 2012</t>
  </si>
  <si>
    <t>Phse #2 Heater 2012</t>
  </si>
  <si>
    <t>Billing Software 2012</t>
  </si>
  <si>
    <t>24" Pipe Wrench 2012</t>
  </si>
  <si>
    <t>4" Valves Main@Peacock &amp; Isl View 2012</t>
  </si>
  <si>
    <t>Installed New Hydrant Pinewood Lane 8-25-2012</t>
  </si>
  <si>
    <t>Backflow Assembly Phse #2 3-3-2013</t>
  </si>
  <si>
    <t>Chemical Tk. Phse#2 3-3-2013</t>
  </si>
  <si>
    <t>3" Riser Pipe Well #3, Replcd.,  4-10-2013</t>
  </si>
  <si>
    <t>Well #3 Rehabilatation 4-10-2013</t>
  </si>
  <si>
    <t>Backwash Cntrls Phse #2  2008-12/1/2013</t>
  </si>
  <si>
    <t>Chem. Feed Pump #2, Acqd. 7-14-2013</t>
  </si>
  <si>
    <t>3  ea., 3/4", acqd. 8-1-2013</t>
  </si>
  <si>
    <t>7.5 Hp Subm. Pmp&amp;Motor, Well #3,  9-1-2013</t>
  </si>
  <si>
    <t>Electric Pump 10-31-2013</t>
  </si>
  <si>
    <t>Resetters 8-4-2014</t>
  </si>
  <si>
    <t>Chk Valve Stg Res. #1, Replcd., 12-16-2014</t>
  </si>
  <si>
    <t>Meter Valves Island View Area 2015</t>
  </si>
  <si>
    <t>7.5 Hp Subm. Pumpmotor, 12-28-2015</t>
  </si>
  <si>
    <t>Meter Boxes 2017</t>
  </si>
  <si>
    <t>CIAC asset</t>
  </si>
  <si>
    <t>NWWS</t>
  </si>
  <si>
    <t>Busby Rd Service Install Prep (Langco)</t>
  </si>
  <si>
    <t>Silver Lake Filtration/Backwash Pond</t>
  </si>
  <si>
    <t>Bacus Rd Culvert</t>
  </si>
  <si>
    <t>[Tjetland SCADA] Install</t>
  </si>
  <si>
    <t>[Silver Lake SCADA] Install</t>
  </si>
  <si>
    <t>[Lake Alyson SCADA] Install</t>
  </si>
  <si>
    <t>[Cedarhearth SCADA] Install</t>
  </si>
  <si>
    <t>[New Connection Installs] Silver Lake (2745 Benton, 2336 Strawberry Point, Meters)</t>
  </si>
  <si>
    <t>Bacus Generator</t>
  </si>
  <si>
    <t>Cedarhearth Generator</t>
  </si>
  <si>
    <t>Lake Alyson Generators</t>
  </si>
  <si>
    <t>Silver Lake Generator</t>
  </si>
  <si>
    <t>Reservoir Ladder - Lake Alyson</t>
  </si>
  <si>
    <t>Silver Lake Reservoir</t>
  </si>
  <si>
    <t>Line Extension - NewHaven</t>
  </si>
  <si>
    <t>Blanchard Knob New Connect</t>
  </si>
  <si>
    <t>Silver Lake - Service Connection</t>
  </si>
  <si>
    <t>Blanchard Knob Scada</t>
  </si>
  <si>
    <t>SCADA - Rolf Bruun</t>
  </si>
  <si>
    <t>Rolf Bruun Project</t>
  </si>
  <si>
    <t>Service/Meter install: 7390 Bacus Ln</t>
  </si>
  <si>
    <t>Lake Alyson new reservoir ladder</t>
  </si>
  <si>
    <t>ATEC plumbing project: switch from air compressor to water pressure</t>
  </si>
  <si>
    <t>Lake Alyson safety ladder(previously reported as accrued expense in 2022)</t>
  </si>
  <si>
    <t>New service connections: 3310 &amp; 3319 Blanchard Knob(dated 5/21/23)</t>
  </si>
  <si>
    <t>New meter/connection install: 2235 Woodridge Ln</t>
  </si>
  <si>
    <t>Lake Alyson - 2 meters &amp; boxes</t>
  </si>
  <si>
    <t>New meters: Lake Alyson (232nd &amp; Alyson Dr)</t>
  </si>
  <si>
    <t>New meter: 231st Dr</t>
  </si>
  <si>
    <t>Lake Alyson - 2 Soda Ash Pumps</t>
  </si>
  <si>
    <t>New connection/meter install: 3263 Blanchard Knob Trail</t>
  </si>
  <si>
    <t>New meter install</t>
  </si>
  <si>
    <t>NWWS - Day 1</t>
  </si>
  <si>
    <t>Lk Alyson Upgrade</t>
  </si>
  <si>
    <t>Lk Alyson Well House</t>
  </si>
  <si>
    <t>Lake Alyson Lot 123</t>
  </si>
  <si>
    <t>Master Meters</t>
  </si>
  <si>
    <t>Pressure Reducer</t>
  </si>
  <si>
    <t>Vault</t>
  </si>
  <si>
    <t>Booster Pump</t>
  </si>
  <si>
    <t>WTR Sys Improvement</t>
  </si>
  <si>
    <t>Pump Station</t>
  </si>
  <si>
    <t>Equipment</t>
  </si>
  <si>
    <t>Auto Dialer</t>
  </si>
  <si>
    <t>New Pump</t>
  </si>
  <si>
    <t>Tjetland Pump</t>
  </si>
  <si>
    <t>Tjetland Well House</t>
  </si>
  <si>
    <t>6" Water Main, 3000'</t>
  </si>
  <si>
    <t>2" Pve Main, 1000'</t>
  </si>
  <si>
    <t>Master Meeters</t>
  </si>
  <si>
    <t>2 HP Pump</t>
  </si>
  <si>
    <t>Source Meters</t>
  </si>
  <si>
    <t>Well 1- 249' Deep 6"Casing</t>
  </si>
  <si>
    <t>Well Pump</t>
  </si>
  <si>
    <t>Pumphouse</t>
  </si>
  <si>
    <t>Storage Tank</t>
  </si>
  <si>
    <t>Piping</t>
  </si>
  <si>
    <t>Service Connections</t>
  </si>
  <si>
    <t>Install Service Connections X5</t>
  </si>
  <si>
    <t>Well 1- 113 8"Casing</t>
  </si>
  <si>
    <t>Well Pump 1- 3Hp</t>
  </si>
  <si>
    <t>Pumphouse- 225 Sf</t>
  </si>
  <si>
    <t>Pressure Tanks X2</t>
  </si>
  <si>
    <t>4" Pvc Pipe- 1825 Lf</t>
  </si>
  <si>
    <t>Pump And Tranducers</t>
  </si>
  <si>
    <t>6" Pvc- 775 Lf</t>
  </si>
  <si>
    <t>Land Lot 30</t>
  </si>
  <si>
    <t>Well House (Lot 30- Wells #3&amp;4)</t>
  </si>
  <si>
    <t>Metered Connections</t>
  </si>
  <si>
    <t>Pressure Reducer (Within Vaults, On Lot 41/42  Property Line)</t>
  </si>
  <si>
    <t>Pressure Relief Valve (On Lot 43)</t>
  </si>
  <si>
    <t>Upper Booster Station Building With Pumps (2), Vfd’S (2), Control Panel And Misc. Piping (Lot 32)</t>
  </si>
  <si>
    <t>Lower Booster Building With Pumps (2), Vfd’S (2), Control Panel And Misc.  (Lot 30)</t>
  </si>
  <si>
    <t>New Pump- 3Hp</t>
  </si>
  <si>
    <t>New Pump- 7.5Hp</t>
  </si>
  <si>
    <t>Soda Ash Equipment</t>
  </si>
  <si>
    <t>Filters</t>
  </si>
  <si>
    <t>6" Water Main, 25,000'</t>
  </si>
  <si>
    <t>2" Pve Main, 25,000'</t>
  </si>
  <si>
    <t>Master Meter At Well</t>
  </si>
  <si>
    <t>Production Meter At Pump House</t>
  </si>
  <si>
    <t>Well 1- 153 6"Casing</t>
  </si>
  <si>
    <t>Pumphouse- 150 Sf</t>
  </si>
  <si>
    <t>2" Pvc Pipe- 3000 Lf</t>
  </si>
  <si>
    <t>Valving</t>
  </si>
  <si>
    <t>New Pump And Power Pole</t>
  </si>
  <si>
    <t>3-Phase Sub Pump</t>
  </si>
  <si>
    <t>Chlorination System</t>
  </si>
  <si>
    <t>2002 Water System Plan</t>
  </si>
  <si>
    <t>New  Pump</t>
  </si>
  <si>
    <t>Trans/Distr. System</t>
  </si>
  <si>
    <t>Pumping Equipment</t>
  </si>
  <si>
    <t>92 Water Sytem Upgrade</t>
  </si>
  <si>
    <t>Well #2</t>
  </si>
  <si>
    <t>Well #3</t>
  </si>
  <si>
    <t>Well #1 Bldg Addition</t>
  </si>
  <si>
    <t>Well #3 Upgrade</t>
  </si>
  <si>
    <t>New Well</t>
  </si>
  <si>
    <t>Well House Remodel</t>
  </si>
  <si>
    <t xml:space="preserve">Booster Station </t>
  </si>
  <si>
    <t>Water Meter Install</t>
  </si>
  <si>
    <t>2019 Treatment (1)</t>
  </si>
  <si>
    <t>100' New Water Main-Turning Leaf Ln</t>
  </si>
  <si>
    <t>Replacement Of Semetric Totalizer</t>
  </si>
  <si>
    <t>Replace The Plc</t>
  </si>
  <si>
    <t>Pedersen</t>
  </si>
  <si>
    <t>[Jamestown SCADA Install] RTU Parts/Installation</t>
  </si>
  <si>
    <t>[Dungeness Bay Plats SCADA Install] RTU Parts/Installation</t>
  </si>
  <si>
    <t>Pedersen New Acquisition Ums Conversion</t>
  </si>
  <si>
    <t>Dungeness Bay - install new Stenner pumps
(inv dated 8/24/23)</t>
  </si>
  <si>
    <t>Pedersen - Day 1</t>
  </si>
  <si>
    <t>Dungeness Bay Plat Wellfield Property</t>
  </si>
  <si>
    <t>Jamestown On Wilcox Lane Land</t>
  </si>
  <si>
    <t>1,000 Feet 6" Transite Ac Main</t>
  </si>
  <si>
    <t>11,000 Feet 4" Transite Ac Mains</t>
  </si>
  <si>
    <t>Fire Hydrants</t>
  </si>
  <si>
    <t>2,500 Feet 2" Pvc Distribution Mains</t>
  </si>
  <si>
    <t>525 Gal Pressure Tank</t>
  </si>
  <si>
    <t>3" Source Meter</t>
  </si>
  <si>
    <t>Transmission Pipe To &amp; From Pumphouse</t>
  </si>
  <si>
    <t>88,000 Gallon Above Ground Concrete Reservoir</t>
  </si>
  <si>
    <t>Dungeness Bay Plat Water System Plan</t>
  </si>
  <si>
    <t>Engineering</t>
  </si>
  <si>
    <t>Pump Controller</t>
  </si>
  <si>
    <t>5 Hp Booster Pump</t>
  </si>
  <si>
    <t>Electrical Panels &amp; Control Switches</t>
  </si>
  <si>
    <t>Service Meters</t>
  </si>
  <si>
    <t>Building</t>
  </si>
  <si>
    <t>Sub. Pump And Installation</t>
  </si>
  <si>
    <t>Bladder Pressure Tanks &amp; Plumbing</t>
  </si>
  <si>
    <t>Construction Access Road</t>
  </si>
  <si>
    <t>Source Meter</t>
  </si>
  <si>
    <t>4" Pvc Distribution Main</t>
  </si>
  <si>
    <t>Chlorine Pump &amp; Injection Port</t>
  </si>
  <si>
    <t>7.5 Hp Booster Pump</t>
  </si>
  <si>
    <t>Orthophosphate Pump &amp; Injection Port</t>
  </si>
  <si>
    <t>Caustic Soda Pump &amp; Injection Port</t>
  </si>
  <si>
    <t>Chemical Solution Tanks</t>
  </si>
  <si>
    <t>Well Extended To 200 Feet</t>
  </si>
  <si>
    <t>Submersible Pump</t>
  </si>
  <si>
    <t>2" Distribution Main</t>
  </si>
  <si>
    <t>2" Source Meter</t>
  </si>
  <si>
    <t>1 1/2 Hp, 3 Pha Submersible Well Pump</t>
  </si>
  <si>
    <t>5 Hp Submersible Pump</t>
  </si>
  <si>
    <t>Oilless Air Compressor</t>
  </si>
  <si>
    <t>7.5 Hp Submersible Pump</t>
  </si>
  <si>
    <t>Post Sept 2020</t>
  </si>
  <si>
    <t>Labor: Install Master Meters At Beachcombers [Reclassify Capital Labor From Salary (Pay Period 7/20/20-8/2/20)]</t>
  </si>
  <si>
    <t>Shared</t>
  </si>
  <si>
    <t>El Dorado Rev 10 Upgrade</t>
  </si>
  <si>
    <t>Safety Ladder</t>
  </si>
  <si>
    <t>Husqavarna 25Hp Lawnmower</t>
  </si>
  <si>
    <t>2019 Ram 1500</t>
  </si>
  <si>
    <t>Utility Trailer</t>
  </si>
  <si>
    <t>SCADA HW</t>
  </si>
  <si>
    <t>Computer HW and Paripherals</t>
  </si>
  <si>
    <t>Network HW</t>
  </si>
  <si>
    <t>Labor: Scada (In Progress): [Reclassify Capital Labor From Salary (Pay Period 5/25/20-6/7/20)]</t>
  </si>
  <si>
    <t>Labor: Scada (In Progress): [Reclassify Capital Labor From Salary (Pay Period 6/8/20-6/21/20)]</t>
  </si>
  <si>
    <t>Labor: Scada Install (Payroll 10/12-10/25/20)</t>
  </si>
  <si>
    <t>Labor: Scada Install (Payroll 10/26-11/8/20)</t>
  </si>
  <si>
    <t>2021 Ram 1500</t>
  </si>
  <si>
    <t>Dell Latitude 5420 Rugged Laptop (quote # 3000104479725.3)</t>
  </si>
  <si>
    <t>PP&amp;E Software (CUSI, Network, Website)</t>
  </si>
  <si>
    <t>PP&amp;E Hardware (Computer &amp; Network)</t>
  </si>
  <si>
    <t>Website Redesign SW (Capital)</t>
  </si>
  <si>
    <t>IT Computer HW &amp; Peripherals</t>
  </si>
  <si>
    <t>GIS/GPS Parts (Dated 10/21/22, Shipped 11/18/22)</t>
  </si>
  <si>
    <t>CUSI</t>
  </si>
  <si>
    <t>PWS Pro Software</t>
  </si>
  <si>
    <t>Truck - Ram1500</t>
  </si>
  <si>
    <t>Canopies</t>
  </si>
  <si>
    <t>Folding Tables</t>
  </si>
  <si>
    <t>Pressure washer</t>
  </si>
  <si>
    <t>Office desks</t>
  </si>
  <si>
    <t>Desktop monitor</t>
  </si>
  <si>
    <t>40748 - Water System Plan</t>
  </si>
  <si>
    <t>IT Cap Labor (CUSI, Azure, O365, Website Redesign)</t>
  </si>
  <si>
    <t>Cascadia Umbrella/Master Plan</t>
  </si>
  <si>
    <t>Stihl 131 fs Weedeater</t>
  </si>
  <si>
    <t>PP&amp;E Software - CUSI SW</t>
  </si>
  <si>
    <t>PP&amp;E Software - Cybersecurity</t>
  </si>
  <si>
    <t>PP&amp;E Hardware - Network HW</t>
  </si>
  <si>
    <t>PP&amp;E Software - Network SW</t>
  </si>
  <si>
    <t>LT Prepaids - Azure &amp; O365 SW</t>
  </si>
  <si>
    <t>Freeland Ace Hardware: Generator [for office]</t>
  </si>
  <si>
    <t>CUSI IVR Module</t>
  </si>
  <si>
    <t>IT Capital: Rave/UMS Integration</t>
  </si>
  <si>
    <t>Dell Latitude 5430 laptop</t>
  </si>
  <si>
    <t>PP&amp;E Hardware (Network)</t>
  </si>
  <si>
    <t>PP&amp;E Software (CUSI, Cybersecurity, Rave, ESRI, Network, Website)</t>
  </si>
  <si>
    <t>PP&amp;E Software (Onboarding/Off-Boarding Automation Request)</t>
  </si>
  <si>
    <t>PP&amp;E Software (Website re-design)</t>
  </si>
  <si>
    <t>PP&amp;E Software (Cybersecurity)</t>
  </si>
  <si>
    <t>2022 Ram 1500 Truck</t>
  </si>
  <si>
    <t>Stand-up desk (per safety site visit)</t>
  </si>
  <si>
    <t>PP&amp;E Software (Data standardization &amp; Web re-design)</t>
  </si>
  <si>
    <t>PP&amp;E Software (Cybersecurity, Data standardization, ESRI, Elements, Hiland QB, &amp; Web re-design)</t>
  </si>
  <si>
    <t>PP&amp;E Computer HW &amp; Peripherals</t>
  </si>
  <si>
    <t>PP&amp;E Software (Cybersecurity, Data standardization, ESRI SW, Network SW)</t>
  </si>
  <si>
    <t>PP&amp;E IT Labor</t>
  </si>
  <si>
    <t>Move trench shoring to capital</t>
  </si>
  <si>
    <t>Stihl Bristle Brush attachment</t>
  </si>
  <si>
    <t>Gas push lawn mower</t>
  </si>
  <si>
    <t>Office Air-Conditioning Unit</t>
  </si>
  <si>
    <t>Weedeater</t>
  </si>
  <si>
    <t>Reclassify standup desk from 675.2 to capital (purch 2/2/23)</t>
  </si>
  <si>
    <t>Reclassify office printer from 675.2 to capital (purch 2/2/23)</t>
  </si>
  <si>
    <t>Honda WX10 Lightweight General Purpose Pump, 1"</t>
  </si>
  <si>
    <t>Truck Box</t>
  </si>
  <si>
    <t>Dell Latitude 5440 laptop (2)</t>
  </si>
  <si>
    <t>Stand-up desk &amp; monitor for new employee</t>
  </si>
  <si>
    <t>M-2899 - 8" Air Vents</t>
  </si>
  <si>
    <t>Husqvarna Lawn Mower (23hp)</t>
  </si>
  <si>
    <t xml:space="preserve">Initial Propane Fill for  CAL Pumhouse Generator </t>
  </si>
  <si>
    <t>CAL Pumhouse SCADA Expansion Module</t>
  </si>
  <si>
    <t xml:space="preserve">CAL Pumhouse SCADA Expansion Module Return </t>
  </si>
  <si>
    <t>WB New Booster Pumps: In service date 2/9/24</t>
  </si>
  <si>
    <t>TEL 3 New Booster Pump: In service date 2/26/24</t>
  </si>
  <si>
    <t>Beachcombers New Booster Pump: In service date 3/15/24</t>
  </si>
  <si>
    <t>WB New System Flush Components: In service date 3/22/24</t>
  </si>
  <si>
    <t>Move TEL 5 meters from CWIP to Capital - in service 5/17/2024</t>
  </si>
  <si>
    <t>Move TEL 6 Pumphouse upgrades from CWIP to Capital - in service 5/6/2024</t>
  </si>
  <si>
    <t>Capital Interest for WB Reservoir Project</t>
  </si>
  <si>
    <t>[WB Reservoir] 480' of 12" water main</t>
  </si>
  <si>
    <t>[WB Reservoir] move Capital Labor from Salary to Capital (Payroll period 4/29-5/12/24)</t>
  </si>
  <si>
    <t>[WB Reservoir] move Capital Labor from Salary to Capital (Payroll period 5/13-5/26/24)</t>
  </si>
  <si>
    <t>[WB Reservoir] Parts, road repair, connect to existing well, repair to existing water main</t>
  </si>
  <si>
    <t>[WB reservoir] Pelican storm cases (storage for electrical components to new filter plant)</t>
  </si>
  <si>
    <t>[WB Reservoir Project] - engineering
(for period ending 4/30/24)</t>
  </si>
  <si>
    <t>[WB project] - engineering
(for period ending 4/30/24)</t>
  </si>
  <si>
    <t>[WB reservoir] storage box for electrical equipment</t>
  </si>
  <si>
    <t>[WB Reservoir/Water Rights] hydrogeological assessment period 3/1-3/31/24
(Inv dated 4/16/24) - other invoices in this group would have this numbered 507109204-06</t>
  </si>
  <si>
    <t>[WB Project] - engineering
(for period ending 3/31/24)</t>
  </si>
  <si>
    <t>[WB Reservoir] - engineering
(inv dated 3/25; for period ending 2/29/24)</t>
  </si>
  <si>
    <t>[WB Reservoir Project] - engineering
(inv dated 3/25; for period ending 2/29/24)</t>
  </si>
  <si>
    <t>[WB Reservoir] move Capital Labor from Salary to Capital (Payroll period 2/18-3/3/24)</t>
  </si>
  <si>
    <t>[WB Reservoir] move Capital Labor from Salary to Capital (Payroll period 3/4-3/17/24)</t>
  </si>
  <si>
    <t>[WB Reservoir] move Capital Labor from Salary to Capital (Payroll period 3/18-3/31/24)</t>
  </si>
  <si>
    <t>[WB Reservoir/Water Rights] hydrogeological assessment period 2/1-2/29/24</t>
  </si>
  <si>
    <t>[WB Reservoir] Electrical components</t>
  </si>
  <si>
    <t>[WB Reservoir] Permit</t>
  </si>
  <si>
    <t>[WB Reservoir] Per bid: clearing, site demo/disposal, road repair, parts, reservoir</t>
  </si>
  <si>
    <t>[WB Reservoir] move Capital Labor from Salary to Capital (Payroll period 1/22-2/4/24)</t>
  </si>
  <si>
    <t>[WB Reservoir/Water Rights] hydrogeological assessment period 11/1-1/31/24</t>
  </si>
  <si>
    <t>[WB Reservoir] Temp water tub</t>
  </si>
  <si>
    <t>[WB Reservoir] Deposit for parts, pipe supply &amp; storage, ATEC filter deposit, mobilization</t>
  </si>
  <si>
    <t>[WB] engineering
(for period ending 12/31/23)</t>
  </si>
  <si>
    <t>[WB Reservoir] - engineering
(for period ending 12/31/23)</t>
  </si>
  <si>
    <t>[WB project] engineering</t>
  </si>
  <si>
    <t>[WB Reservoir] building permit fee</t>
  </si>
  <si>
    <t>[WB Well Site] &amp; Water Right transfer - system planning &amp; support
(inv dated 11/22/23)</t>
  </si>
  <si>
    <t>[WB Well Site] engineering
inv dated 11/21/23</t>
  </si>
  <si>
    <t>SeaView pump repair: New 5hp 45gpm submersible pump</t>
  </si>
  <si>
    <t>[Master Meters] TEL 10 &amp; 11</t>
  </si>
  <si>
    <t>New CJ101C20 booster pump</t>
  </si>
  <si>
    <t>[TEL 6 Pumphouse] Pressure tanks (4) &amp; 1.5hp 10gpm submersible pump</t>
  </si>
  <si>
    <t>Move WB reservoir upgrades from CWIP to Capital - in service Q2 2024</t>
  </si>
  <si>
    <t>Seaview Well</t>
  </si>
  <si>
    <t>Capital Interest for Rolf Bruun Fitration Project</t>
  </si>
  <si>
    <t>[Rolf Bruun filtration] engineering
(inv dated 11/22/23)</t>
  </si>
  <si>
    <t>[Rolf Bruun] booster pump engineering</t>
  </si>
  <si>
    <t>[Rolf Bruun] - engineering
(for period ending 12/31/23)</t>
  </si>
  <si>
    <t>[Rolf Filtration] Switched system into bypass w/ LBC</t>
  </si>
  <si>
    <t>[Rolf Bruun] Invoice for Feb work</t>
  </si>
  <si>
    <t>[Rolf Bruun project] move Capital Labor from Salary to Capital (Payroll period 1/22-2/4/24)</t>
  </si>
  <si>
    <t>[Rolf Bruun project] move Capital Labor from Salary to Capital (Payroll period 2/5-2/18/24)</t>
  </si>
  <si>
    <t>[Rolf Bruun project] move Capital Labor from Salary to Capital (Payroll period 1/8-1/21/24)</t>
  </si>
  <si>
    <t>[Rolf Bruun] Invoice for Feb work correction</t>
  </si>
  <si>
    <t>[Rolf Bruun project] move Capital Labor from Salary to Capital (Payroll period 2/18-3/3/24)</t>
  </si>
  <si>
    <t>[Rolf Bruun chlorination] check-in with Toby Brown, flush, boiler notices, checking residuals</t>
  </si>
  <si>
    <t>[Rolf Bruun] Invoice for March work</t>
  </si>
  <si>
    <t>[Rolf Bruun project] - engineering
(inv dated 3/25; for period ending 2/29/24)</t>
  </si>
  <si>
    <t>[Rolf Bruun Project] - engineering
(for period ending 3/31/24)</t>
  </si>
  <si>
    <t>[Rolf Bruun] Invoice for April work</t>
  </si>
  <si>
    <t>[Rolf Bruun] Invoice for retainage</t>
  </si>
  <si>
    <t>[Rolf Bruun project] Chlorine system startup; install cl2 injection system</t>
  </si>
  <si>
    <t>[Rolf Bruun project] - engineering
(for period ending 4/30/24)</t>
  </si>
  <si>
    <t>New service install/meter box/cover</t>
  </si>
  <si>
    <t>New service install at 29402 Outlook</t>
  </si>
  <si>
    <t>New Furrow Pump (cl2 pump)</t>
  </si>
  <si>
    <t xml:space="preserve">Initial Propane Fill at Pumphouse </t>
  </si>
  <si>
    <t>Initial Propane Fill a Reservoir</t>
  </si>
  <si>
    <t>Water System Repair</t>
  </si>
  <si>
    <t>New Metal Roof</t>
  </si>
  <si>
    <t>Peninsula</t>
  </si>
  <si>
    <t>2 Meter Labor Chargeout on Josephine Pl</t>
  </si>
  <si>
    <t>Estates meter install labor - Greywolf Rd</t>
  </si>
  <si>
    <t>Husqvarna Lawn Mower (22hp)</t>
  </si>
  <si>
    <t>Monterra meter install labor - Gunn Rd, Finn Hall Rd (5 meters)</t>
  </si>
  <si>
    <t>CAL Pumphouse electrical work for high pressure side</t>
  </si>
  <si>
    <t>Meter install: Monterra</t>
  </si>
  <si>
    <t>ID-34948 - Lynch Cove (site 5A) Generator 
50% down payment</t>
  </si>
  <si>
    <t>I-34948 - Lynch Cove (site 5A) Generator 
remaining payment</t>
  </si>
  <si>
    <t>[Lynch Cove generators] initial propane fill: Matthew Dr (site 5A)</t>
  </si>
  <si>
    <t>New master meters for Agate West: In service date 7/15/24</t>
  </si>
  <si>
    <t>Discovery Bay Meter box &amp; cover</t>
  </si>
  <si>
    <t>Move Estates reservoir upgrades from CWIP to Capital - in service 7/24/2024</t>
  </si>
  <si>
    <t>Diamond Point Chlorination</t>
  </si>
  <si>
    <t>Agate West Chlorination</t>
  </si>
  <si>
    <t>Hydrant Kit</t>
  </si>
  <si>
    <t>Gas Detector</t>
  </si>
  <si>
    <t xml:space="preserve">Dump Trailer </t>
  </si>
  <si>
    <t xml:space="preserve">2023 Ram 1500 Vehicle </t>
  </si>
  <si>
    <t>READ-Y Manager Software (for new AMR meters)</t>
  </si>
  <si>
    <t>Chlorine testers (5)</t>
  </si>
  <si>
    <t>Office Air conditioner (14,000 BTU)</t>
  </si>
  <si>
    <t>Subscription to PWS Pro &amp; LCRR Managed Services for Lead &amp; Copper (in service date: 3/1/24)</t>
  </si>
  <si>
    <t>Gas detector tripods (2) - in service</t>
  </si>
  <si>
    <t>Total Deferred</t>
  </si>
  <si>
    <t>Estates Reservoir</t>
  </si>
  <si>
    <t>CAL Reservoir/Pumphouse</t>
  </si>
  <si>
    <t>Generators</t>
  </si>
  <si>
    <t>Retained</t>
  </si>
  <si>
    <t>Staff/PC Adjustments</t>
  </si>
  <si>
    <t>Accum. Dep.</t>
  </si>
  <si>
    <t>Annual Dep.</t>
  </si>
  <si>
    <t>Capital Structure - PC No RB Adj</t>
  </si>
  <si>
    <t>PC No RB Adj</t>
  </si>
  <si>
    <t>Increase (%)</t>
  </si>
  <si>
    <t>Public Counsel</t>
  </si>
  <si>
    <t>Low</t>
  </si>
  <si>
    <t>High</t>
  </si>
  <si>
    <t>No Plant Adj.</t>
  </si>
  <si>
    <t>Increase ($m)</t>
  </si>
  <si>
    <t>Public Counsel Low</t>
  </si>
  <si>
    <t>Public Counsel High</t>
  </si>
  <si>
    <t>Public Counsel Midpoint</t>
  </si>
  <si>
    <t>Total Revenue Requirement</t>
  </si>
  <si>
    <t>Western Systems Revenue Requirement</t>
  </si>
  <si>
    <t>Pelican Point Revenue Requirement</t>
  </si>
  <si>
    <t>Mid</t>
  </si>
  <si>
    <t>SDV-12: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</si>
</sst>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2"/>
      <name val="Helv"/>
    </font>
    <font>
      <b/>
      <i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10"/>
      <color rgb="FFBFBFBF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1" fillId="0" borderId="0"/>
  </cellStyleXfs>
  <cellXfs count="151">
    <xf numFmtId="0" fontId="0" fillId="0" borderId="0" xfId="0"/>
    <xf numFmtId="165" fontId="0" fillId="0" borderId="0" xfId="0" applyNumberFormat="1"/>
    <xf numFmtId="43" fontId="0" fillId="0" borderId="0" xfId="4" applyFont="1"/>
    <xf numFmtId="165" fontId="0" fillId="0" borderId="0" xfId="4" applyNumberFormat="1" applyFont="1"/>
    <xf numFmtId="10" fontId="0" fillId="0" borderId="0" xfId="2" applyNumberFormat="1" applyFont="1"/>
    <xf numFmtId="0" fontId="0" fillId="0" borderId="3" xfId="0" applyBorder="1"/>
    <xf numFmtId="0" fontId="0" fillId="0" borderId="1" xfId="0" applyBorder="1"/>
    <xf numFmtId="165" fontId="0" fillId="0" borderId="4" xfId="4" applyNumberFormat="1" applyFont="1" applyBorder="1"/>
    <xf numFmtId="0" fontId="0" fillId="0" borderId="5" xfId="0" applyBorder="1"/>
    <xf numFmtId="10" fontId="0" fillId="0" borderId="6" xfId="0" applyNumberFormat="1" applyBorder="1"/>
    <xf numFmtId="165" fontId="0" fillId="0" borderId="6" xfId="0" applyNumberFormat="1" applyBorder="1"/>
    <xf numFmtId="165" fontId="0" fillId="0" borderId="6" xfId="4" applyNumberFormat="1" applyFont="1" applyBorder="1"/>
    <xf numFmtId="0" fontId="0" fillId="0" borderId="7" xfId="0" applyBorder="1"/>
    <xf numFmtId="0" fontId="0" fillId="0" borderId="2" xfId="0" applyBorder="1"/>
    <xf numFmtId="0" fontId="4" fillId="0" borderId="1" xfId="0" applyFont="1" applyBorder="1"/>
    <xf numFmtId="0" fontId="4" fillId="0" borderId="4" xfId="0" applyFont="1" applyBorder="1"/>
    <xf numFmtId="165" fontId="0" fillId="0" borderId="0" xfId="4" applyNumberFormat="1" applyFont="1" applyBorder="1"/>
    <xf numFmtId="10" fontId="0" fillId="0" borderId="8" xfId="2" applyNumberFormat="1" applyFont="1" applyBorder="1"/>
    <xf numFmtId="165" fontId="1" fillId="0" borderId="2" xfId="4" applyNumberFormat="1" applyFont="1" applyBorder="1"/>
    <xf numFmtId="10" fontId="3" fillId="0" borderId="8" xfId="2" applyNumberFormat="1" applyFont="1" applyBorder="1"/>
    <xf numFmtId="165" fontId="3" fillId="0" borderId="8" xfId="0" applyNumberFormat="1" applyFont="1" applyBorder="1"/>
    <xf numFmtId="9" fontId="0" fillId="2" borderId="0" xfId="0" applyNumberFormat="1" applyFill="1"/>
    <xf numFmtId="10" fontId="0" fillId="2" borderId="0" xfId="0" applyNumberFormat="1" applyFill="1"/>
    <xf numFmtId="165" fontId="4" fillId="0" borderId="0" xfId="4" applyNumberFormat="1" applyFont="1"/>
    <xf numFmtId="9" fontId="0" fillId="0" borderId="0" xfId="0" applyNumberFormat="1"/>
    <xf numFmtId="10" fontId="0" fillId="0" borderId="6" xfId="2" applyNumberFormat="1" applyFont="1" applyBorder="1"/>
    <xf numFmtId="0" fontId="3" fillId="0" borderId="0" xfId="0" applyFont="1"/>
    <xf numFmtId="165" fontId="0" fillId="0" borderId="1" xfId="4" applyNumberFormat="1" applyFont="1" applyBorder="1"/>
    <xf numFmtId="43" fontId="0" fillId="0" borderId="1" xfId="4" applyFont="1" applyBorder="1"/>
    <xf numFmtId="43" fontId="0" fillId="0" borderId="0" xfId="4" applyFont="1" applyBorder="1"/>
    <xf numFmtId="0" fontId="3" fillId="0" borderId="5" xfId="0" applyFont="1" applyBorder="1"/>
    <xf numFmtId="165" fontId="3" fillId="0" borderId="0" xfId="4" applyNumberFormat="1" applyFont="1" applyBorder="1"/>
    <xf numFmtId="43" fontId="3" fillId="0" borderId="0" xfId="4" applyFont="1" applyBorder="1"/>
    <xf numFmtId="165" fontId="3" fillId="0" borderId="6" xfId="4" applyNumberFormat="1" applyFont="1" applyBorder="1"/>
    <xf numFmtId="0" fontId="3" fillId="0" borderId="7" xfId="0" applyFont="1" applyBorder="1"/>
    <xf numFmtId="0" fontId="3" fillId="0" borderId="2" xfId="0" applyFont="1" applyBorder="1"/>
    <xf numFmtId="165" fontId="3" fillId="0" borderId="2" xfId="4" applyNumberFormat="1" applyFont="1" applyBorder="1"/>
    <xf numFmtId="43" fontId="3" fillId="0" borderId="2" xfId="4" applyFont="1" applyBorder="1"/>
    <xf numFmtId="165" fontId="3" fillId="0" borderId="8" xfId="4" applyNumberFormat="1" applyFont="1" applyBorder="1"/>
    <xf numFmtId="165" fontId="0" fillId="0" borderId="4" xfId="0" applyNumberFormat="1" applyBorder="1"/>
    <xf numFmtId="165" fontId="0" fillId="3" borderId="0" xfId="4" applyNumberFormat="1" applyFont="1" applyFill="1" applyBorder="1"/>
    <xf numFmtId="0" fontId="0" fillId="0" borderId="9" xfId="0" applyBorder="1"/>
    <xf numFmtId="0" fontId="0" fillId="0" borderId="10" xfId="0" applyBorder="1"/>
    <xf numFmtId="165" fontId="0" fillId="0" borderId="10" xfId="4" applyNumberFormat="1" applyFont="1" applyBorder="1"/>
    <xf numFmtId="165" fontId="0" fillId="0" borderId="11" xfId="0" applyNumberFormat="1" applyBorder="1"/>
    <xf numFmtId="165" fontId="0" fillId="0" borderId="2" xfId="4" applyNumberFormat="1" applyFont="1" applyBorder="1"/>
    <xf numFmtId="43" fontId="0" fillId="0" borderId="2" xfId="4" applyFont="1" applyBorder="1"/>
    <xf numFmtId="165" fontId="0" fillId="0" borderId="8" xfId="4" applyNumberFormat="1" applyFont="1" applyBorder="1"/>
    <xf numFmtId="10" fontId="3" fillId="0" borderId="0" xfId="2" applyNumberFormat="1" applyFont="1" applyBorder="1"/>
    <xf numFmtId="10" fontId="3" fillId="0" borderId="6" xfId="2" applyNumberFormat="1" applyFont="1" applyBorder="1"/>
    <xf numFmtId="165" fontId="0" fillId="0" borderId="0" xfId="4" applyNumberFormat="1" applyFont="1" applyFill="1" applyBorder="1"/>
    <xf numFmtId="165" fontId="0" fillId="4" borderId="0" xfId="4" applyNumberFormat="1" applyFont="1" applyFill="1" applyBorder="1"/>
    <xf numFmtId="165" fontId="3" fillId="4" borderId="10" xfId="4" applyNumberFormat="1" applyFont="1" applyFill="1" applyBorder="1"/>
    <xf numFmtId="165" fontId="0" fillId="4" borderId="6" xfId="4" applyNumberFormat="1" applyFont="1" applyFill="1" applyBorder="1"/>
    <xf numFmtId="165" fontId="0" fillId="0" borderId="10" xfId="4" applyNumberFormat="1" applyFont="1" applyFill="1" applyBorder="1"/>
    <xf numFmtId="166" fontId="0" fillId="0" borderId="0" xfId="2" applyNumberFormat="1" applyFont="1"/>
    <xf numFmtId="165" fontId="0" fillId="0" borderId="0" xfId="4" applyNumberFormat="1" applyFont="1" applyAlignment="1">
      <alignment horizontal="center"/>
    </xf>
    <xf numFmtId="0" fontId="5" fillId="5" borderId="0" xfId="0" applyFont="1" applyFill="1" applyAlignment="1">
      <alignment horizontal="center"/>
    </xf>
    <xf numFmtId="10" fontId="0" fillId="4" borderId="4" xfId="2" applyNumberFormat="1" applyFont="1" applyFill="1" applyBorder="1" applyAlignment="1">
      <alignment horizontal="right"/>
    </xf>
    <xf numFmtId="165" fontId="3" fillId="4" borderId="2" xfId="4" applyNumberFormat="1" applyFont="1" applyFill="1" applyBorder="1"/>
    <xf numFmtId="165" fontId="0" fillId="4" borderId="1" xfId="4" applyNumberFormat="1" applyFont="1" applyFill="1" applyBorder="1"/>
    <xf numFmtId="43" fontId="0" fillId="0" borderId="0" xfId="0" applyNumberFormat="1"/>
    <xf numFmtId="167" fontId="0" fillId="0" borderId="0" xfId="0" applyNumberFormat="1"/>
    <xf numFmtId="14" fontId="9" fillId="0" borderId="10" xfId="5" applyNumberFormat="1" applyFont="1" applyBorder="1" applyAlignment="1">
      <alignment horizontal="left"/>
    </xf>
    <xf numFmtId="0" fontId="10" fillId="0" borderId="0" xfId="5" applyFont="1" applyAlignment="1">
      <alignment horizontal="center"/>
    </xf>
    <xf numFmtId="14" fontId="9" fillId="0" borderId="10" xfId="5" applyNumberFormat="1" applyFont="1" applyBorder="1"/>
    <xf numFmtId="14" fontId="9" fillId="0" borderId="10" xfId="5" applyNumberFormat="1" applyFont="1" applyBorder="1" applyAlignment="1">
      <alignment horizontal="center"/>
    </xf>
    <xf numFmtId="165" fontId="9" fillId="0" borderId="10" xfId="5" applyNumberFormat="1" applyFont="1" applyBorder="1"/>
    <xf numFmtId="9" fontId="9" fillId="0" borderId="10" xfId="5" applyNumberFormat="1" applyFont="1" applyBorder="1"/>
    <xf numFmtId="14" fontId="9" fillId="0" borderId="10" xfId="5" applyNumberFormat="1" applyFont="1" applyBorder="1" applyAlignment="1">
      <alignment horizontal="right"/>
    </xf>
    <xf numFmtId="0" fontId="10" fillId="0" borderId="3" xfId="5" applyFont="1" applyBorder="1" applyAlignment="1">
      <alignment horizontal="center"/>
    </xf>
    <xf numFmtId="37" fontId="10" fillId="0" borderId="1" xfId="6" applyNumberFormat="1" applyBorder="1" applyAlignment="1">
      <alignment horizontal="center"/>
    </xf>
    <xf numFmtId="14" fontId="10" fillId="0" borderId="1" xfId="6" applyNumberFormat="1" applyBorder="1" applyAlignment="1">
      <alignment horizontal="center"/>
    </xf>
    <xf numFmtId="165" fontId="10" fillId="0" borderId="1" xfId="3" applyNumberFormat="1" applyFont="1" applyFill="1" applyBorder="1" applyAlignment="1" applyProtection="1">
      <alignment horizontal="center"/>
    </xf>
    <xf numFmtId="9" fontId="10" fillId="0" borderId="1" xfId="3" applyNumberFormat="1" applyFont="1" applyFill="1" applyBorder="1" applyAlignment="1" applyProtection="1">
      <alignment horizontal="center"/>
    </xf>
    <xf numFmtId="165" fontId="10" fillId="0" borderId="4" xfId="3" applyNumberFormat="1" applyFont="1" applyFill="1" applyBorder="1" applyAlignment="1" applyProtection="1">
      <alignment horizontal="center"/>
    </xf>
    <xf numFmtId="0" fontId="10" fillId="0" borderId="12" xfId="5" applyFont="1" applyBorder="1" applyAlignment="1">
      <alignment horizontal="center" wrapText="1"/>
    </xf>
    <xf numFmtId="14" fontId="10" fillId="0" borderId="12" xfId="5" applyNumberFormat="1" applyFont="1" applyBorder="1" applyAlignment="1">
      <alignment horizontal="center" wrapText="1"/>
    </xf>
    <xf numFmtId="165" fontId="10" fillId="0" borderId="12" xfId="3" applyNumberFormat="1" applyFont="1" applyFill="1" applyBorder="1" applyAlignment="1" applyProtection="1">
      <alignment horizontal="center" wrapText="1"/>
    </xf>
    <xf numFmtId="9" fontId="10" fillId="0" borderId="12" xfId="3" applyNumberFormat="1" applyFont="1" applyFill="1" applyBorder="1" applyAlignment="1" applyProtection="1">
      <alignment horizontal="center" wrapText="1"/>
    </xf>
    <xf numFmtId="165" fontId="10" fillId="0" borderId="12" xfId="3" applyNumberFormat="1" applyFont="1" applyFill="1" applyBorder="1" applyAlignment="1" applyProtection="1">
      <alignment horizontal="center" vertical="top" wrapText="1"/>
    </xf>
    <xf numFmtId="49" fontId="10" fillId="0" borderId="9" xfId="7" applyNumberFormat="1" applyBorder="1" applyAlignment="1">
      <alignment horizontal="center" vertical="center"/>
    </xf>
    <xf numFmtId="49" fontId="10" fillId="0" borderId="10" xfId="7" applyNumberFormat="1" applyBorder="1" applyAlignment="1">
      <alignment horizontal="center" vertical="center"/>
    </xf>
    <xf numFmtId="14" fontId="10" fillId="0" borderId="10" xfId="7" applyNumberFormat="1" applyBorder="1" applyAlignment="1">
      <alignment horizontal="center" vertical="center"/>
    </xf>
    <xf numFmtId="165" fontId="10" fillId="0" borderId="0" xfId="3" applyNumberFormat="1" applyFont="1" applyFill="1" applyBorder="1" applyAlignment="1" applyProtection="1">
      <alignment horizontal="center"/>
    </xf>
    <xf numFmtId="165" fontId="10" fillId="0" borderId="10" xfId="3" applyNumberFormat="1" applyFont="1" applyFill="1" applyBorder="1" applyAlignment="1" applyProtection="1">
      <alignment horizontal="center" vertical="center"/>
    </xf>
    <xf numFmtId="165" fontId="10" fillId="0" borderId="6" xfId="3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64" fontId="11" fillId="0" borderId="10" xfId="1" applyNumberFormat="1" applyFont="1" applyFill="1" applyBorder="1" applyAlignment="1" applyProtection="1">
      <alignment horizontal="right"/>
    </xf>
    <xf numFmtId="165" fontId="10" fillId="0" borderId="10" xfId="3" applyNumberFormat="1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  <protection locked="0"/>
    </xf>
    <xf numFmtId="14" fontId="10" fillId="0" borderId="0" xfId="0" applyNumberFormat="1" applyFont="1" applyAlignment="1">
      <alignment horizontal="center"/>
    </xf>
    <xf numFmtId="164" fontId="11" fillId="0" borderId="1" xfId="1" applyNumberFormat="1" applyFont="1" applyFill="1" applyBorder="1" applyAlignment="1" applyProtection="1">
      <alignment horizontal="right"/>
    </xf>
    <xf numFmtId="9" fontId="10" fillId="0" borderId="0" xfId="3" applyNumberFormat="1" applyFont="1" applyFill="1" applyBorder="1" applyAlignment="1" applyProtection="1">
      <alignment horizontal="center"/>
    </xf>
    <xf numFmtId="164" fontId="11" fillId="0" borderId="0" xfId="1" applyNumberFormat="1" applyFont="1" applyFill="1" applyBorder="1" applyAlignment="1" applyProtection="1">
      <alignment horizontal="right"/>
    </xf>
    <xf numFmtId="164" fontId="11" fillId="0" borderId="6" xfId="1" applyNumberFormat="1" applyFont="1" applyFill="1" applyBorder="1" applyAlignment="1" applyProtection="1">
      <alignment horizontal="right"/>
    </xf>
    <xf numFmtId="0" fontId="10" fillId="0" borderId="0" xfId="0" applyFont="1"/>
    <xf numFmtId="164" fontId="10" fillId="0" borderId="0" xfId="1" applyNumberFormat="1" applyFont="1" applyFill="1" applyBorder="1" applyAlignment="1" applyProtection="1">
      <protection locked="0"/>
    </xf>
    <xf numFmtId="164" fontId="10" fillId="0" borderId="13" xfId="1" applyNumberFormat="1" applyFont="1" applyFill="1" applyBorder="1" applyAlignment="1" applyProtection="1">
      <protection locked="0"/>
    </xf>
    <xf numFmtId="165" fontId="10" fillId="0" borderId="13" xfId="3" applyNumberFormat="1" applyFont="1" applyFill="1" applyBorder="1" applyProtection="1">
      <protection locked="0"/>
    </xf>
    <xf numFmtId="165" fontId="10" fillId="0" borderId="13" xfId="3" applyNumberFormat="1" applyFont="1" applyFill="1" applyBorder="1" applyAlignment="1" applyProtection="1">
      <alignment horizontal="left"/>
    </xf>
    <xf numFmtId="165" fontId="10" fillId="0" borderId="14" xfId="3" applyNumberFormat="1" applyFont="1" applyFill="1" applyBorder="1" applyAlignment="1" applyProtection="1">
      <alignment horizontal="left"/>
    </xf>
    <xf numFmtId="0" fontId="12" fillId="0" borderId="0" xfId="0" applyFont="1"/>
    <xf numFmtId="0" fontId="13" fillId="0" borderId="0" xfId="0" applyFont="1"/>
    <xf numFmtId="1" fontId="10" fillId="0" borderId="0" xfId="0" applyNumberFormat="1" applyFont="1"/>
    <xf numFmtId="43" fontId="10" fillId="0" borderId="0" xfId="0" applyNumberFormat="1" applyFont="1"/>
    <xf numFmtId="165" fontId="10" fillId="0" borderId="0" xfId="0" applyNumberFormat="1" applyFont="1"/>
    <xf numFmtId="165" fontId="10" fillId="0" borderId="0" xfId="3" applyNumberFormat="1" applyFont="1" applyFill="1" applyBorder="1" applyProtection="1"/>
    <xf numFmtId="43" fontId="15" fillId="0" borderId="10" xfId="3" applyFont="1" applyFill="1" applyBorder="1" applyAlignment="1" applyProtection="1"/>
    <xf numFmtId="165" fontId="10" fillId="0" borderId="0" xfId="3" applyNumberFormat="1" applyFont="1" applyFill="1" applyBorder="1"/>
    <xf numFmtId="0" fontId="16" fillId="0" borderId="0" xfId="8" applyFont="1"/>
    <xf numFmtId="165" fontId="0" fillId="0" borderId="1" xfId="4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43" fontId="0" fillId="0" borderId="6" xfId="4" applyFont="1" applyBorder="1"/>
    <xf numFmtId="166" fontId="0" fillId="0" borderId="6" xfId="2" applyNumberFormat="1" applyFont="1" applyBorder="1"/>
    <xf numFmtId="10" fontId="7" fillId="0" borderId="7" xfId="2" applyNumberFormat="1" applyFont="1" applyBorder="1"/>
    <xf numFmtId="10" fontId="7" fillId="0" borderId="2" xfId="2" applyNumberFormat="1" applyFont="1" applyBorder="1"/>
    <xf numFmtId="10" fontId="7" fillId="0" borderId="8" xfId="2" applyNumberFormat="1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2" xfId="0" applyFont="1" applyBorder="1"/>
    <xf numFmtId="43" fontId="0" fillId="0" borderId="16" xfId="4" applyFont="1" applyFill="1" applyBorder="1"/>
    <xf numFmtId="166" fontId="7" fillId="0" borderId="16" xfId="2" applyNumberFormat="1" applyFont="1" applyFill="1" applyBorder="1"/>
    <xf numFmtId="10" fontId="7" fillId="0" borderId="12" xfId="2" applyNumberFormat="1" applyFont="1" applyFill="1" applyBorder="1"/>
    <xf numFmtId="43" fontId="0" fillId="0" borderId="16" xfId="4" applyFont="1" applyBorder="1"/>
    <xf numFmtId="166" fontId="7" fillId="0" borderId="16" xfId="2" applyNumberFormat="1" applyFont="1" applyBorder="1"/>
    <xf numFmtId="10" fontId="7" fillId="0" borderId="12" xfId="2" applyNumberFormat="1" applyFont="1" applyBorder="1"/>
    <xf numFmtId="0" fontId="4" fillId="0" borderId="0" xfId="0" applyFont="1"/>
    <xf numFmtId="165" fontId="0" fillId="0" borderId="0" xfId="4" applyNumberFormat="1" applyFont="1" applyFill="1"/>
    <xf numFmtId="10" fontId="7" fillId="0" borderId="2" xfId="2" applyNumberFormat="1" applyFont="1" applyBorder="1" applyAlignment="1">
      <alignment horizontal="center"/>
    </xf>
    <xf numFmtId="10" fontId="7" fillId="0" borderId="12" xfId="2" applyNumberFormat="1" applyFont="1" applyFill="1" applyBorder="1" applyAlignment="1">
      <alignment horizontal="center"/>
    </xf>
    <xf numFmtId="43" fontId="0" fillId="0" borderId="5" xfId="4" applyFont="1" applyFill="1" applyBorder="1"/>
    <xf numFmtId="43" fontId="0" fillId="0" borderId="0" xfId="4" applyFont="1" applyFill="1" applyBorder="1"/>
    <xf numFmtId="166" fontId="7" fillId="0" borderId="5" xfId="2" applyNumberFormat="1" applyFont="1" applyFill="1" applyBorder="1"/>
    <xf numFmtId="166" fontId="7" fillId="0" borderId="0" xfId="2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3" fontId="17" fillId="0" borderId="16" xfId="4" applyFont="1" applyFill="1" applyBorder="1"/>
    <xf numFmtId="166" fontId="17" fillId="0" borderId="16" xfId="2" applyNumberFormat="1" applyFont="1" applyFill="1" applyBorder="1"/>
    <xf numFmtId="165" fontId="17" fillId="0" borderId="0" xfId="4" applyNumberFormat="1" applyFont="1"/>
    <xf numFmtId="166" fontId="17" fillId="0" borderId="0" xfId="2" applyNumberFormat="1" applyFont="1"/>
  </cellXfs>
  <cellStyles count="9">
    <cellStyle name="Comma" xfId="4" builtinId="3"/>
    <cellStyle name="Comma 3" xfId="3" xr:uid="{466F18F6-4B2E-448C-B9CD-722B90156FC0}"/>
    <cellStyle name="Currency" xfId="1" builtinId="4"/>
    <cellStyle name="Normal" xfId="0" builtinId="0"/>
    <cellStyle name="Normal 23" xfId="8" xr:uid="{291F6FC3-4D61-4EEE-AB0D-4700789D6C9B}"/>
    <cellStyle name="Normal 9" xfId="7" xr:uid="{74C92E81-3890-4ACE-B159-0328767B5AAD}"/>
    <cellStyle name="Normal_DEPN2K" xfId="5" xr:uid="{7244B2FE-44A3-4B18-B21A-D6A0174B9FC3}"/>
    <cellStyle name="Normal_Rosario Meters 2006" xfId="6" xr:uid="{6317A43F-F860-4811-9587-DC50FF275084}"/>
    <cellStyle name="Percent" xfId="2" builtinId="5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CTIVE\Cases\UW\UW_240151_Cascadia%20Water%202024%20GRC\1_Filings\Initial_Flngs\9-26-2024%20Test%20and%20Exh\240151-Cascadia-Exh-MJR-WPs-09-26-24\240151-Cascadia-Exh-MJR-1T-WP1-09-26-24.xlsx" TargetMode="External"/><Relationship Id="rId1" Type="http://schemas.openxmlformats.org/officeDocument/2006/relationships/externalLinkPath" Target="/ACTIVE/Cases/UW/UW_240151_Cascadia%20Water%202024%20GRC/1_Filings/Initial_Flngs/9-26-2024%20Test%20and%20Exh/240151-Cascadia-Exh-MJR-WPs-09-26-24/240151-Cascadia-Exh-MJR-1T-WP1-09-26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dates"/>
      <sheetName val="Inputs"/>
      <sheetName val="Capital Structure"/>
      <sheetName val="PFIS"/>
      <sheetName val="Int Sync, NTG, Rev Req"/>
      <sheetName val="Proposed Rates"/>
      <sheetName val="Revenue at Proposed"/>
      <sheetName val="Input by Entity"/>
      <sheetName val="Prelim Adjustments"/>
      <sheetName val="Plant"/>
      <sheetName val="CIAC"/>
      <sheetName val="Payroll Adjustment"/>
      <sheetName val="Rate Case Expen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3">
          <cell r="D43">
            <v>5.0000000000000001E-3</v>
          </cell>
        </row>
        <row r="44">
          <cell r="D44">
            <v>5.0290000000000015E-2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 Villiers, Stefan (ATG)" id="{DECE44A1-D258-42B6-9D32-942FB1B74689}" userId="S::Stefan.deVilliers@atg.wa.gov::77ef75cd-ba01-440b-b29d-a47ae67c0af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9" dT="2025-01-16T17:39:09.76" personId="{DECE44A1-D258-42B6-9D32-942FB1B74689}" id="{E0A8C558-BD50-4047-93C8-FEE51EA49F62}">
    <text>Adjustment has no real effect on Cascadia's total pro forma expenses, which are based on a 0.4% share of pro forma gross revenues. In other words, $281 is removed from EOY operating expenses, but that same amount is added back to pro forma adjustments to get to 0.4%.</text>
  </threadedComment>
</ThreadedComment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C1F8-3545-41BF-BDD5-AEEC5248B6BC}">
  <dimension ref="A1:H27"/>
  <sheetViews>
    <sheetView tabSelected="1" workbookViewId="0">
      <selection activeCell="G11" sqref="G11"/>
    </sheetView>
  </sheetViews>
  <sheetFormatPr defaultRowHeight="14.25" x14ac:dyDescent="0.45"/>
  <cols>
    <col min="1" max="1" width="26.265625" customWidth="1"/>
    <col min="2" max="4" width="10.59765625" customWidth="1"/>
    <col min="5" max="5" width="13" customWidth="1"/>
    <col min="6" max="8" width="10.59765625" customWidth="1"/>
    <col min="9" max="10" width="10" bestFit="1" customWidth="1"/>
  </cols>
  <sheetData>
    <row r="1" spans="1:8" x14ac:dyDescent="0.45">
      <c r="A1" s="26" t="s">
        <v>1129</v>
      </c>
    </row>
    <row r="2" spans="1:8" x14ac:dyDescent="0.45">
      <c r="A2" s="26"/>
    </row>
    <row r="3" spans="1:8" x14ac:dyDescent="0.45">
      <c r="B3" s="139" t="s">
        <v>1117</v>
      </c>
      <c r="C3" s="140"/>
      <c r="D3" s="140"/>
      <c r="E3" s="141"/>
      <c r="F3" s="142" t="s">
        <v>76</v>
      </c>
      <c r="G3" s="142" t="s">
        <v>93</v>
      </c>
      <c r="H3" s="142" t="s">
        <v>80</v>
      </c>
    </row>
    <row r="4" spans="1:8" x14ac:dyDescent="0.45">
      <c r="B4" s="114" t="s">
        <v>1118</v>
      </c>
      <c r="C4" s="115" t="s">
        <v>1128</v>
      </c>
      <c r="D4" s="115" t="s">
        <v>1119</v>
      </c>
      <c r="E4" s="116" t="s">
        <v>1120</v>
      </c>
      <c r="F4" s="143"/>
      <c r="G4" s="143"/>
      <c r="H4" s="143"/>
    </row>
    <row r="5" spans="1:8" x14ac:dyDescent="0.45">
      <c r="A5" s="122" t="s">
        <v>1121</v>
      </c>
      <c r="B5" s="135">
        <f>1118481.49166465/1000000</f>
        <v>1.1184814916646499</v>
      </c>
      <c r="C5" s="136">
        <f>(D5+B5)/2</f>
        <v>1.1547667961228951</v>
      </c>
      <c r="D5" s="136">
        <f>1191052.10058114/1000000</f>
        <v>1.1910521005811401</v>
      </c>
      <c r="E5" s="117">
        <f>1458728.10108512/1000000</f>
        <v>1.4587281010851201</v>
      </c>
      <c r="F5" s="125">
        <f>1472372.9862495/1000000</f>
        <v>1.4723729862494999</v>
      </c>
      <c r="G5" s="147">
        <v>1.51</v>
      </c>
      <c r="H5" s="128">
        <f>1726599.37557518/1000000</f>
        <v>1.7265993755751798</v>
      </c>
    </row>
    <row r="6" spans="1:8" x14ac:dyDescent="0.45">
      <c r="A6" s="123" t="s">
        <v>1116</v>
      </c>
      <c r="B6" s="137">
        <v>0.46972442505026679</v>
      </c>
      <c r="C6" s="138">
        <f>(D6+B6)/2</f>
        <v>0.48496302658408158</v>
      </c>
      <c r="D6" s="138">
        <v>0.50020162811789637</v>
      </c>
      <c r="E6" s="118">
        <v>0.61261650165268622</v>
      </c>
      <c r="F6" s="126">
        <v>0.61834689226395734</v>
      </c>
      <c r="G6" s="148">
        <v>0.63414896635461349</v>
      </c>
      <c r="H6" s="129">
        <v>0.72511338366193501</v>
      </c>
    </row>
    <row r="7" spans="1:8" x14ac:dyDescent="0.45">
      <c r="A7" s="124" t="s">
        <v>78</v>
      </c>
      <c r="B7" s="119">
        <v>5.7200000000000001E-2</v>
      </c>
      <c r="C7" s="133" t="s">
        <v>265</v>
      </c>
      <c r="D7" s="120">
        <v>6.3200000000000006E-2</v>
      </c>
      <c r="E7" s="121">
        <v>6.3200000000000006E-2</v>
      </c>
      <c r="F7" s="127">
        <v>6.4600000000000005E-2</v>
      </c>
      <c r="G7" s="134" t="s">
        <v>265</v>
      </c>
      <c r="H7" s="130">
        <v>8.9700000000000002E-2</v>
      </c>
    </row>
    <row r="9" spans="1:8" x14ac:dyDescent="0.45">
      <c r="A9" s="26" t="s">
        <v>1125</v>
      </c>
    </row>
    <row r="10" spans="1:8" x14ac:dyDescent="0.45">
      <c r="A10" t="s">
        <v>1122</v>
      </c>
      <c r="B10" s="132">
        <f>B15+B20</f>
        <v>3499625.4816646478</v>
      </c>
      <c r="C10" s="132"/>
    </row>
    <row r="11" spans="1:8" x14ac:dyDescent="0.45">
      <c r="A11" t="s">
        <v>1123</v>
      </c>
      <c r="B11" s="132">
        <f>B16+B21</f>
        <v>3572196.0905811437</v>
      </c>
      <c r="C11" s="132"/>
    </row>
    <row r="12" spans="1:8" x14ac:dyDescent="0.45">
      <c r="A12" t="s">
        <v>1124</v>
      </c>
      <c r="B12" s="132">
        <f>(B11+B10)/2</f>
        <v>3535910.7861228958</v>
      </c>
      <c r="C12" s="132"/>
    </row>
    <row r="13" spans="1:8" x14ac:dyDescent="0.45">
      <c r="B13" s="3"/>
      <c r="C13" s="132"/>
    </row>
    <row r="14" spans="1:8" x14ac:dyDescent="0.45">
      <c r="A14" s="26" t="s">
        <v>1126</v>
      </c>
      <c r="B14" s="3"/>
      <c r="C14" s="132"/>
    </row>
    <row r="15" spans="1:8" x14ac:dyDescent="0.45">
      <c r="A15" t="s">
        <v>1122</v>
      </c>
      <c r="B15" s="132">
        <v>2952799.3816776178</v>
      </c>
      <c r="C15" s="132"/>
    </row>
    <row r="16" spans="1:8" x14ac:dyDescent="0.45">
      <c r="A16" t="s">
        <v>1123</v>
      </c>
      <c r="B16" s="132">
        <v>3018378.5226143207</v>
      </c>
      <c r="C16" s="132"/>
    </row>
    <row r="17" spans="1:6" x14ac:dyDescent="0.45">
      <c r="A17" t="s">
        <v>1124</v>
      </c>
      <c r="B17" s="132">
        <f>(B16+B15)/2</f>
        <v>2985588.9521459695</v>
      </c>
      <c r="C17" s="132"/>
    </row>
    <row r="18" spans="1:6" x14ac:dyDescent="0.45">
      <c r="B18" s="3"/>
      <c r="C18" s="132"/>
    </row>
    <row r="19" spans="1:6" x14ac:dyDescent="0.45">
      <c r="A19" s="26" t="s">
        <v>1127</v>
      </c>
      <c r="B19" s="3"/>
      <c r="C19" s="132"/>
    </row>
    <row r="20" spans="1:6" x14ac:dyDescent="0.45">
      <c r="A20" t="s">
        <v>1122</v>
      </c>
      <c r="B20" s="132">
        <v>546826.09998703003</v>
      </c>
      <c r="C20" s="132"/>
    </row>
    <row r="21" spans="1:6" x14ac:dyDescent="0.45">
      <c r="A21" t="s">
        <v>1123</v>
      </c>
      <c r="B21" s="132">
        <v>553817.56796682312</v>
      </c>
      <c r="C21" s="132"/>
    </row>
    <row r="22" spans="1:6" x14ac:dyDescent="0.45">
      <c r="A22" t="s">
        <v>1124</v>
      </c>
      <c r="B22" s="132">
        <f>(B21+B20)/2</f>
        <v>550321.83397692651</v>
      </c>
      <c r="C22" s="132"/>
    </row>
    <row r="24" spans="1:6" x14ac:dyDescent="0.45">
      <c r="A24" s="131" t="s">
        <v>92</v>
      </c>
      <c r="E24" s="61"/>
      <c r="F24" s="61"/>
    </row>
    <row r="27" spans="1:6" x14ac:dyDescent="0.45">
      <c r="F27" s="61"/>
    </row>
  </sheetData>
  <mergeCells count="4">
    <mergeCell ref="B3:E3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37C59-EA53-43AD-9254-897337FB0A4C}">
  <dimension ref="A3:F34"/>
  <sheetViews>
    <sheetView topLeftCell="A5" workbookViewId="0">
      <selection activeCell="B8" sqref="B8"/>
    </sheetView>
  </sheetViews>
  <sheetFormatPr defaultRowHeight="14.25" x14ac:dyDescent="0.45"/>
  <cols>
    <col min="1" max="1" width="29.73046875" customWidth="1"/>
    <col min="2" max="2" width="14.265625" customWidth="1"/>
    <col min="4" max="4" width="9.86328125" bestFit="1" customWidth="1"/>
    <col min="6" max="6" width="10.59765625" bestFit="1" customWidth="1"/>
  </cols>
  <sheetData>
    <row r="3" spans="1:6" x14ac:dyDescent="0.45">
      <c r="A3" s="26" t="s">
        <v>75</v>
      </c>
      <c r="B3" s="57" t="s">
        <v>1115</v>
      </c>
    </row>
    <row r="5" spans="1:6" x14ac:dyDescent="0.45">
      <c r="A5" s="26" t="s">
        <v>3</v>
      </c>
    </row>
    <row r="6" spans="1:6" x14ac:dyDescent="0.45">
      <c r="A6" t="s">
        <v>78</v>
      </c>
      <c r="B6" s="4">
        <f>IF(B3=A30,'WS-Rev Req'!E8,IF(B3=A31,'WS-Rev Req'!K8,(IF(B3=A32,'WS-Rev Req'!Q8,IF(B3=A33,'WS-Rev Req'!W8,'WS-Rev Req'!AC8)))))</f>
        <v>6.3200000000000006E-2</v>
      </c>
    </row>
    <row r="7" spans="1:6" x14ac:dyDescent="0.45">
      <c r="A7" t="s">
        <v>81</v>
      </c>
      <c r="B7" s="3">
        <f>B13+B21</f>
        <v>2381143.9899999998</v>
      </c>
      <c r="D7" s="62"/>
      <c r="E7" s="4"/>
    </row>
    <row r="8" spans="1:6" x14ac:dyDescent="0.45">
      <c r="A8" t="s">
        <v>83</v>
      </c>
      <c r="B8" s="3">
        <f>SUM(B16,B24)</f>
        <v>1458728.1010851187</v>
      </c>
      <c r="F8" s="1"/>
    </row>
    <row r="9" spans="1:6" x14ac:dyDescent="0.45">
      <c r="A9" t="s">
        <v>82</v>
      </c>
      <c r="B9" s="55">
        <f>B8/B7</f>
        <v>0.61261650165268622</v>
      </c>
    </row>
    <row r="10" spans="1:6" x14ac:dyDescent="0.45">
      <c r="A10" t="s">
        <v>91</v>
      </c>
      <c r="B10" s="3">
        <f>B7+B8</f>
        <v>3839872.0910851182</v>
      </c>
      <c r="E10" s="1"/>
    </row>
    <row r="11" spans="1:6" x14ac:dyDescent="0.45">
      <c r="B11" s="3"/>
    </row>
    <row r="12" spans="1:6" x14ac:dyDescent="0.45">
      <c r="A12" s="26" t="s">
        <v>0</v>
      </c>
      <c r="B12" s="3"/>
    </row>
    <row r="13" spans="1:6" x14ac:dyDescent="0.45">
      <c r="A13" t="s">
        <v>81</v>
      </c>
      <c r="B13" s="3">
        <f>'WS-PFIS'!D3</f>
        <v>2086845.2</v>
      </c>
    </row>
    <row r="14" spans="1:6" x14ac:dyDescent="0.45">
      <c r="A14" t="s">
        <v>84</v>
      </c>
      <c r="B14" s="56">
        <f>IF(B3=A30,'WS-Rev Req'!E17,IF(B3=A31,'WS-Rev Req'!K17,IF(B3=A32,'WS-Rev Req'!Q17,IF(B3=A33,'WS-Rev Req'!W17,'WS-Rev Req'!AC17))))</f>
        <v>1199209.3231182955</v>
      </c>
      <c r="D14" s="1"/>
    </row>
    <row r="15" spans="1:6" x14ac:dyDescent="0.45">
      <c r="A15" t="s">
        <v>85</v>
      </c>
      <c r="B15" s="56">
        <f>IF(B3="Company",-72470,0)</f>
        <v>0</v>
      </c>
    </row>
    <row r="16" spans="1:6" x14ac:dyDescent="0.45">
      <c r="A16" t="s">
        <v>83</v>
      </c>
      <c r="B16" s="56">
        <f>B14+B15</f>
        <v>1199209.3231182955</v>
      </c>
      <c r="D16" s="1"/>
    </row>
    <row r="17" spans="1:2" x14ac:dyDescent="0.45">
      <c r="A17" t="s">
        <v>82</v>
      </c>
      <c r="B17" s="55">
        <f>B14/B13</f>
        <v>0.57465178687824836</v>
      </c>
    </row>
    <row r="18" spans="1:2" x14ac:dyDescent="0.45">
      <c r="A18" t="s">
        <v>91</v>
      </c>
      <c r="B18" s="3">
        <f>B13+B16</f>
        <v>3286054.5231182957</v>
      </c>
    </row>
    <row r="19" spans="1:2" x14ac:dyDescent="0.45">
      <c r="B19" s="56"/>
    </row>
    <row r="20" spans="1:2" x14ac:dyDescent="0.45">
      <c r="A20" s="26" t="s">
        <v>1</v>
      </c>
      <c r="B20" s="56"/>
    </row>
    <row r="21" spans="1:2" x14ac:dyDescent="0.45">
      <c r="A21" t="s">
        <v>81</v>
      </c>
      <c r="B21" s="56">
        <f>'PP-PFIS'!D3</f>
        <v>294298.78999999998</v>
      </c>
    </row>
    <row r="22" spans="1:2" x14ac:dyDescent="0.45">
      <c r="A22" t="s">
        <v>84</v>
      </c>
      <c r="B22" s="56">
        <f>IF(B3=A30,'PP-Rev Req'!E17,IF(B3=A31,'PP-Rev Req'!K17,IF(B3=A32,'PP-Rev Req'!Q17,IF(B3=A33,'PP-Rev Req'!W17,'PP-Rev Req'!AC17))))</f>
        <v>259518.77796682314</v>
      </c>
    </row>
    <row r="23" spans="1:2" x14ac:dyDescent="0.45">
      <c r="A23" t="s">
        <v>85</v>
      </c>
      <c r="B23" s="56">
        <f>IF(B3="Company",-19542,0)</f>
        <v>0</v>
      </c>
    </row>
    <row r="24" spans="1:2" x14ac:dyDescent="0.45">
      <c r="A24" t="s">
        <v>83</v>
      </c>
      <c r="B24" s="56">
        <f>B22+B23</f>
        <v>259518.77796682314</v>
      </c>
    </row>
    <row r="25" spans="1:2" x14ac:dyDescent="0.45">
      <c r="A25" t="s">
        <v>82</v>
      </c>
      <c r="B25" s="55">
        <f>B22/B21</f>
        <v>0.88182074403643707</v>
      </c>
    </row>
    <row r="26" spans="1:2" x14ac:dyDescent="0.45">
      <c r="A26" t="s">
        <v>91</v>
      </c>
      <c r="B26" s="3">
        <f>B21+B24</f>
        <v>553817.56796682312</v>
      </c>
    </row>
    <row r="29" spans="1:2" x14ac:dyDescent="0.45">
      <c r="A29" s="26" t="s">
        <v>86</v>
      </c>
    </row>
    <row r="30" spans="1:2" x14ac:dyDescent="0.45">
      <c r="A30" t="s">
        <v>87</v>
      </c>
    </row>
    <row r="31" spans="1:2" x14ac:dyDescent="0.45">
      <c r="A31" t="s">
        <v>88</v>
      </c>
    </row>
    <row r="32" spans="1:2" x14ac:dyDescent="0.45">
      <c r="A32" t="s">
        <v>76</v>
      </c>
    </row>
    <row r="33" spans="1:1" x14ac:dyDescent="0.45">
      <c r="A33" t="s">
        <v>80</v>
      </c>
    </row>
    <row r="34" spans="1:1" x14ac:dyDescent="0.45">
      <c r="A34" t="s">
        <v>1115</v>
      </c>
    </row>
  </sheetData>
  <dataValidations count="1">
    <dataValidation type="list" allowBlank="1" showInputMessage="1" showErrorMessage="1" sqref="B3" xr:uid="{7F6698F1-812D-46C1-8D45-DBA0BF304AB4}">
      <formula1>$A$30:$A$34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0C289-7F35-4FC5-8FAD-4A45A3A6163C}">
  <dimension ref="A4:AC24"/>
  <sheetViews>
    <sheetView topLeftCell="Q1" workbookViewId="0">
      <selection activeCell="C21" sqref="C21"/>
    </sheetView>
  </sheetViews>
  <sheetFormatPr defaultRowHeight="14.25" x14ac:dyDescent="0.45"/>
  <cols>
    <col min="1" max="1" width="9.1328125" customWidth="1"/>
    <col min="2" max="2" width="14.265625" customWidth="1"/>
    <col min="5" max="5" width="14.265625" bestFit="1" customWidth="1"/>
    <col min="8" max="8" width="14.265625" customWidth="1"/>
    <col min="11" max="11" width="14.265625" customWidth="1"/>
    <col min="14" max="14" width="14.265625" customWidth="1"/>
    <col min="17" max="17" width="14.265625" customWidth="1"/>
    <col min="20" max="20" width="14.265625" customWidth="1"/>
    <col min="23" max="23" width="14.265625" customWidth="1"/>
    <col min="26" max="26" width="14.265625" customWidth="1"/>
    <col min="29" max="29" width="14.265625" customWidth="1"/>
  </cols>
  <sheetData>
    <row r="4" spans="1:29" x14ac:dyDescent="0.45">
      <c r="A4" s="144" t="s">
        <v>89</v>
      </c>
      <c r="B4" s="145"/>
      <c r="C4" s="145"/>
      <c r="D4" s="145"/>
      <c r="E4" s="146"/>
      <c r="G4" s="144" t="s">
        <v>90</v>
      </c>
      <c r="H4" s="145"/>
      <c r="I4" s="145"/>
      <c r="J4" s="145"/>
      <c r="K4" s="146"/>
      <c r="M4" s="144" t="s">
        <v>69</v>
      </c>
      <c r="N4" s="145"/>
      <c r="O4" s="145"/>
      <c r="P4" s="145"/>
      <c r="Q4" s="146"/>
      <c r="S4" s="144" t="s">
        <v>79</v>
      </c>
      <c r="T4" s="145"/>
      <c r="U4" s="145"/>
      <c r="V4" s="145"/>
      <c r="W4" s="146"/>
      <c r="Y4" s="144" t="s">
        <v>1114</v>
      </c>
      <c r="Z4" s="145"/>
      <c r="AA4" s="145"/>
      <c r="AB4" s="145"/>
      <c r="AC4" s="146"/>
    </row>
    <row r="5" spans="1:29" x14ac:dyDescent="0.45">
      <c r="A5" s="5"/>
      <c r="B5" s="14" t="s">
        <v>53</v>
      </c>
      <c r="C5" s="14" t="s">
        <v>52</v>
      </c>
      <c r="D5" s="14" t="s">
        <v>54</v>
      </c>
      <c r="E5" s="15" t="s">
        <v>55</v>
      </c>
      <c r="G5" s="5"/>
      <c r="H5" s="14" t="s">
        <v>53</v>
      </c>
      <c r="I5" s="14" t="s">
        <v>52</v>
      </c>
      <c r="J5" s="14" t="s">
        <v>54</v>
      </c>
      <c r="K5" s="15" t="s">
        <v>55</v>
      </c>
      <c r="M5" s="5"/>
      <c r="N5" s="14" t="s">
        <v>53</v>
      </c>
      <c r="O5" s="14" t="s">
        <v>52</v>
      </c>
      <c r="P5" s="14" t="s">
        <v>54</v>
      </c>
      <c r="Q5" s="15" t="s">
        <v>55</v>
      </c>
      <c r="S5" s="5"/>
      <c r="T5" s="14" t="s">
        <v>53</v>
      </c>
      <c r="U5" s="14" t="s">
        <v>52</v>
      </c>
      <c r="V5" s="14" t="s">
        <v>54</v>
      </c>
      <c r="W5" s="15" t="s">
        <v>55</v>
      </c>
      <c r="Y5" s="5"/>
      <c r="Z5" s="14" t="s">
        <v>53</v>
      </c>
      <c r="AA5" s="14" t="s">
        <v>52</v>
      </c>
      <c r="AB5" s="14" t="s">
        <v>54</v>
      </c>
      <c r="AC5" s="15" t="s">
        <v>55</v>
      </c>
    </row>
    <row r="6" spans="1:29" x14ac:dyDescent="0.45">
      <c r="A6" s="8" t="s">
        <v>50</v>
      </c>
      <c r="B6" s="16">
        <f>B8*C6</f>
        <v>5328210.9717335934</v>
      </c>
      <c r="C6" s="21">
        <v>0.53</v>
      </c>
      <c r="D6" s="22">
        <v>3.1699999999999999E-2</v>
      </c>
      <c r="E6" s="9">
        <f>C6*D6</f>
        <v>1.6801E-2</v>
      </c>
      <c r="G6" s="8" t="s">
        <v>50</v>
      </c>
      <c r="H6" s="16">
        <f>H8*I6</f>
        <v>4624484.9943348169</v>
      </c>
      <c r="I6" s="21">
        <v>0.46</v>
      </c>
      <c r="J6" s="22">
        <v>3.1699999999999999E-2</v>
      </c>
      <c r="K6" s="9">
        <f>I6*J6</f>
        <v>1.4581999999999999E-2</v>
      </c>
      <c r="M6" s="8" t="s">
        <v>50</v>
      </c>
      <c r="N6" s="16">
        <f>N8*O6</f>
        <v>5328210.9717335934</v>
      </c>
      <c r="O6" s="21">
        <v>0.53</v>
      </c>
      <c r="P6" s="22">
        <v>3.1699999999999999E-2</v>
      </c>
      <c r="Q6" s="9">
        <f>O6*P6</f>
        <v>1.6801E-2</v>
      </c>
      <c r="S6" s="8" t="s">
        <v>50</v>
      </c>
      <c r="T6" s="16">
        <f>T8*U6</f>
        <v>3418097.6045083427</v>
      </c>
      <c r="U6" s="21">
        <v>0.34</v>
      </c>
      <c r="V6" s="22">
        <v>5.2200000000000003E-2</v>
      </c>
      <c r="W6" s="9">
        <f>U6*V6</f>
        <v>1.7748000000000003E-2</v>
      </c>
      <c r="Y6" s="8" t="s">
        <v>50</v>
      </c>
      <c r="Z6" s="16">
        <f>Z8*AA6</f>
        <v>4624484.9943348169</v>
      </c>
      <c r="AA6" s="21">
        <f>I6</f>
        <v>0.46</v>
      </c>
      <c r="AB6" s="22">
        <f>J6</f>
        <v>3.1699999999999999E-2</v>
      </c>
      <c r="AC6" s="9">
        <f>AA6*AB6</f>
        <v>1.4581999999999999E-2</v>
      </c>
    </row>
    <row r="7" spans="1:29" x14ac:dyDescent="0.45">
      <c r="A7" s="8" t="s">
        <v>51</v>
      </c>
      <c r="B7" s="16">
        <f>B8*C7</f>
        <v>4725017.2768203551</v>
      </c>
      <c r="C7" s="24">
        <f>1-C6</f>
        <v>0.47</v>
      </c>
      <c r="D7" s="22">
        <v>8.5999999999999993E-2</v>
      </c>
      <c r="E7" s="9">
        <f>C7*D7</f>
        <v>4.0419999999999998E-2</v>
      </c>
      <c r="G7" s="8" t="s">
        <v>51</v>
      </c>
      <c r="H7" s="16">
        <f>H8*I7</f>
        <v>5428743.2542191325</v>
      </c>
      <c r="I7" s="24">
        <f>1-I6</f>
        <v>0.54</v>
      </c>
      <c r="J7" s="22">
        <v>0.09</v>
      </c>
      <c r="K7" s="9">
        <f>I7*J7</f>
        <v>4.8600000000000004E-2</v>
      </c>
      <c r="M7" s="8" t="s">
        <v>51</v>
      </c>
      <c r="N7" s="16">
        <f>N8*O7</f>
        <v>4725017.2768203551</v>
      </c>
      <c r="O7" s="24">
        <f>1-O6</f>
        <v>0.47</v>
      </c>
      <c r="P7" s="22">
        <v>0.1018</v>
      </c>
      <c r="Q7" s="9">
        <f>O7*P7</f>
        <v>4.7846E-2</v>
      </c>
      <c r="S7" s="8" t="s">
        <v>51</v>
      </c>
      <c r="T7" s="16">
        <f>T8*U7</f>
        <v>6635130.6440456053</v>
      </c>
      <c r="U7" s="24">
        <f>1-U6</f>
        <v>0.65999999999999992</v>
      </c>
      <c r="V7" s="22">
        <v>0.109</v>
      </c>
      <c r="W7" s="9">
        <f>U7*V7</f>
        <v>7.193999999999999E-2</v>
      </c>
      <c r="Y7" s="8" t="s">
        <v>51</v>
      </c>
      <c r="Z7" s="16">
        <f>Z8*AA7</f>
        <v>5428743.2542191325</v>
      </c>
      <c r="AA7" s="24">
        <f>1-AA6</f>
        <v>0.54</v>
      </c>
      <c r="AB7" s="22">
        <f>J7</f>
        <v>0.09</v>
      </c>
      <c r="AC7" s="9">
        <f>AA7*AB7</f>
        <v>4.8600000000000004E-2</v>
      </c>
    </row>
    <row r="8" spans="1:29" x14ac:dyDescent="0.45">
      <c r="A8" s="12" t="s">
        <v>3</v>
      </c>
      <c r="B8" s="18">
        <f>'WS-PFIS'!H45</f>
        <v>10053228.248553948</v>
      </c>
      <c r="C8" s="13"/>
      <c r="D8" s="13"/>
      <c r="E8" s="19">
        <f>ROUND(SUM(E6:E7),4)</f>
        <v>5.7200000000000001E-2</v>
      </c>
      <c r="G8" s="12" t="s">
        <v>3</v>
      </c>
      <c r="H8" s="18">
        <f>'WS-PFIS'!H45</f>
        <v>10053228.248553948</v>
      </c>
      <c r="I8" s="13"/>
      <c r="J8" s="13"/>
      <c r="K8" s="19">
        <f>ROUND(SUM(K6:K7),4)</f>
        <v>6.3200000000000006E-2</v>
      </c>
      <c r="M8" s="12" t="s">
        <v>3</v>
      </c>
      <c r="N8" s="18">
        <f>'WS-PFIS'!H45</f>
        <v>10053228.248553948</v>
      </c>
      <c r="O8" s="13"/>
      <c r="P8" s="13"/>
      <c r="Q8" s="19">
        <f>ROUND(SUM(Q6:Q7),4)</f>
        <v>6.4600000000000005E-2</v>
      </c>
      <c r="S8" s="12" t="s">
        <v>3</v>
      </c>
      <c r="T8" s="18">
        <f>'WS-PFIS'!H45</f>
        <v>10053228.248553948</v>
      </c>
      <c r="U8" s="13"/>
      <c r="V8" s="13"/>
      <c r="W8" s="19">
        <f>ROUND(SUM(W6:W7),4)</f>
        <v>8.9700000000000002E-2</v>
      </c>
      <c r="Y8" s="12" t="s">
        <v>3</v>
      </c>
      <c r="Z8" s="18">
        <f>'WS-PFIS'!H45</f>
        <v>10053228.248553948</v>
      </c>
      <c r="AA8" s="13"/>
      <c r="AB8" s="13"/>
      <c r="AC8" s="19">
        <f>ROUND(SUM(AC6:AC7),4)</f>
        <v>6.3200000000000006E-2</v>
      </c>
    </row>
    <row r="10" spans="1:29" x14ac:dyDescent="0.45">
      <c r="A10" s="144" t="s">
        <v>67</v>
      </c>
      <c r="B10" s="145"/>
      <c r="C10" s="145"/>
      <c r="D10" s="145"/>
      <c r="E10" s="146"/>
      <c r="G10" s="144" t="s">
        <v>68</v>
      </c>
      <c r="H10" s="145"/>
      <c r="I10" s="145"/>
      <c r="J10" s="145"/>
      <c r="K10" s="146"/>
      <c r="M10" s="144" t="s">
        <v>70</v>
      </c>
      <c r="N10" s="145"/>
      <c r="O10" s="145"/>
      <c r="P10" s="145"/>
      <c r="Q10" s="146"/>
      <c r="S10" s="144" t="s">
        <v>70</v>
      </c>
      <c r="T10" s="145"/>
      <c r="U10" s="145"/>
      <c r="V10" s="145"/>
      <c r="W10" s="146"/>
      <c r="Y10" s="144" t="s">
        <v>70</v>
      </c>
      <c r="Z10" s="145"/>
      <c r="AA10" s="145"/>
      <c r="AB10" s="145"/>
      <c r="AC10" s="146"/>
    </row>
    <row r="11" spans="1:29" x14ac:dyDescent="0.45">
      <c r="A11" s="5" t="s">
        <v>59</v>
      </c>
      <c r="B11" s="6"/>
      <c r="C11" s="6"/>
      <c r="D11" s="6"/>
      <c r="E11" s="7">
        <f>'WS-PFIS'!H45</f>
        <v>10053228.248553948</v>
      </c>
      <c r="G11" s="5" t="s">
        <v>59</v>
      </c>
      <c r="H11" s="6"/>
      <c r="I11" s="6"/>
      <c r="J11" s="6"/>
      <c r="K11" s="7">
        <f>'WS-PFIS'!H45</f>
        <v>10053228.248553948</v>
      </c>
      <c r="M11" s="5" t="s">
        <v>59</v>
      </c>
      <c r="N11" s="6"/>
      <c r="O11" s="6"/>
      <c r="P11" s="6"/>
      <c r="Q11" s="7">
        <f>'WS-PFIS'!H45</f>
        <v>10053228.248553948</v>
      </c>
      <c r="S11" s="5" t="s">
        <v>59</v>
      </c>
      <c r="T11" s="6"/>
      <c r="U11" s="6"/>
      <c r="V11" s="6"/>
      <c r="W11" s="7">
        <f>'WS-PFIS'!H45</f>
        <v>10053228.248553948</v>
      </c>
      <c r="Y11" s="5" t="s">
        <v>59</v>
      </c>
      <c r="Z11" s="6"/>
      <c r="AA11" s="6"/>
      <c r="AB11" s="6"/>
      <c r="AC11" s="7">
        <f>'WS-PFIS'!H45</f>
        <v>10053228.248553948</v>
      </c>
    </row>
    <row r="12" spans="1:29" x14ac:dyDescent="0.45">
      <c r="A12" s="8" t="s">
        <v>60</v>
      </c>
      <c r="E12" s="9">
        <f>'WS-Rev Req'!E8</f>
        <v>5.7200000000000001E-2</v>
      </c>
      <c r="G12" s="8" t="s">
        <v>60</v>
      </c>
      <c r="K12" s="9">
        <f>'WS-Rev Req'!K8</f>
        <v>6.3200000000000006E-2</v>
      </c>
      <c r="M12" s="8" t="s">
        <v>60</v>
      </c>
      <c r="Q12" s="9">
        <f>'WS-Rev Req'!Q8</f>
        <v>6.4600000000000005E-2</v>
      </c>
      <c r="S12" s="8" t="s">
        <v>60</v>
      </c>
      <c r="W12" s="9">
        <f>'WS-Rev Req'!W8</f>
        <v>8.9700000000000002E-2</v>
      </c>
      <c r="Y12" s="8" t="s">
        <v>60</v>
      </c>
      <c r="AC12" s="9">
        <f>'WS-Rev Req'!AC8</f>
        <v>6.3200000000000006E-2</v>
      </c>
    </row>
    <row r="13" spans="1:29" x14ac:dyDescent="0.45">
      <c r="A13" s="8" t="s">
        <v>61</v>
      </c>
      <c r="E13" s="10">
        <f>E11*E12</f>
        <v>575044.65581728588</v>
      </c>
      <c r="G13" s="8" t="s">
        <v>61</v>
      </c>
      <c r="K13" s="10">
        <f>K11*K12</f>
        <v>635364.02530860959</v>
      </c>
      <c r="M13" s="8" t="s">
        <v>61</v>
      </c>
      <c r="Q13" s="10">
        <f>Q11*Q12</f>
        <v>649438.5448565851</v>
      </c>
      <c r="S13" s="8" t="s">
        <v>61</v>
      </c>
      <c r="W13" s="10">
        <f>W11*W12</f>
        <v>901774.57389528921</v>
      </c>
      <c r="Y13" s="8" t="s">
        <v>61</v>
      </c>
      <c r="AC13" s="10">
        <f>AC11*AC12</f>
        <v>635364.02530860959</v>
      </c>
    </row>
    <row r="14" spans="1:29" x14ac:dyDescent="0.45">
      <c r="A14" s="8" t="s">
        <v>62</v>
      </c>
      <c r="E14" s="11">
        <f>'WS-PFIS'!H38</f>
        <v>-255841.45454837364</v>
      </c>
      <c r="G14" s="8" t="s">
        <v>62</v>
      </c>
      <c r="K14" s="11">
        <f>'WS-PFIS'!H38</f>
        <v>-255841.45454837364</v>
      </c>
      <c r="M14" s="8" t="s">
        <v>62</v>
      </c>
      <c r="Q14" s="11">
        <f>'WS-PFIS'!H38</f>
        <v>-255841.45454837364</v>
      </c>
      <c r="S14" s="8" t="s">
        <v>62</v>
      </c>
      <c r="W14" s="11">
        <f>'WS-PFIS'!H38</f>
        <v>-255841.45454837364</v>
      </c>
      <c r="Y14" s="8" t="s">
        <v>62</v>
      </c>
      <c r="AC14" s="11">
        <f>'WS-PFIS'!H38</f>
        <v>-255841.45454837364</v>
      </c>
    </row>
    <row r="15" spans="1:29" x14ac:dyDescent="0.45">
      <c r="A15" s="8" t="s">
        <v>63</v>
      </c>
      <c r="E15" s="10">
        <f>E13-E14</f>
        <v>830886.11036565946</v>
      </c>
      <c r="G15" s="8" t="s">
        <v>63</v>
      </c>
      <c r="K15" s="10">
        <f>K13-K14</f>
        <v>891205.47985698329</v>
      </c>
      <c r="M15" s="8" t="s">
        <v>63</v>
      </c>
      <c r="Q15" s="10">
        <f>Q13-Q14</f>
        <v>905279.99940495868</v>
      </c>
      <c r="S15" s="8" t="s">
        <v>63</v>
      </c>
      <c r="W15" s="10">
        <f>W13-W14</f>
        <v>1157616.0284436629</v>
      </c>
      <c r="Y15" s="8" t="s">
        <v>63</v>
      </c>
      <c r="AC15" s="10">
        <f>AC13-AC14</f>
        <v>891205.47985698329</v>
      </c>
    </row>
    <row r="16" spans="1:29" x14ac:dyDescent="0.45">
      <c r="A16" s="8" t="s">
        <v>2</v>
      </c>
      <c r="E16" s="9">
        <v>0.74316090000000001</v>
      </c>
      <c r="G16" s="8" t="s">
        <v>2</v>
      </c>
      <c r="K16" s="9">
        <v>0.74316090000000001</v>
      </c>
      <c r="M16" s="8" t="s">
        <v>2</v>
      </c>
      <c r="Q16" s="9">
        <v>0.74316090000000001</v>
      </c>
      <c r="S16" s="8" t="s">
        <v>2</v>
      </c>
      <c r="W16" s="9">
        <v>0.74316090000000001</v>
      </c>
      <c r="Y16" s="8" t="s">
        <v>2</v>
      </c>
      <c r="AC16" s="9">
        <v>0.74316090000000001</v>
      </c>
    </row>
    <row r="17" spans="1:29" x14ac:dyDescent="0.45">
      <c r="A17" s="12" t="s">
        <v>64</v>
      </c>
      <c r="B17" s="13"/>
      <c r="C17" s="13"/>
      <c r="D17" s="13"/>
      <c r="E17" s="20">
        <f>E15/E16</f>
        <v>1118043.3609540807</v>
      </c>
      <c r="G17" s="12" t="s">
        <v>64</v>
      </c>
      <c r="H17" s="13"/>
      <c r="I17" s="13"/>
      <c r="J17" s="13"/>
      <c r="K17" s="20">
        <f>K15/K16</f>
        <v>1199209.3231182955</v>
      </c>
      <c r="M17" s="12" t="s">
        <v>64</v>
      </c>
      <c r="N17" s="13"/>
      <c r="O17" s="13"/>
      <c r="P17" s="13"/>
      <c r="Q17" s="20">
        <f>Q15/Q16</f>
        <v>1218148.0476232788</v>
      </c>
      <c r="S17" s="12" t="s">
        <v>64</v>
      </c>
      <c r="T17" s="13"/>
      <c r="U17" s="13"/>
      <c r="V17" s="13"/>
      <c r="W17" s="20">
        <f>W15/W16</f>
        <v>1557692.3226769101</v>
      </c>
      <c r="Y17" s="12" t="s">
        <v>64</v>
      </c>
      <c r="Z17" s="13"/>
      <c r="AA17" s="13"/>
      <c r="AB17" s="13"/>
      <c r="AC17" s="20">
        <f>AC15/AC16</f>
        <v>1199209.3231182955</v>
      </c>
    </row>
    <row r="19" spans="1:29" x14ac:dyDescent="0.45">
      <c r="E19" s="1"/>
    </row>
    <row r="20" spans="1:29" x14ac:dyDescent="0.45">
      <c r="B20" s="5" t="s">
        <v>77</v>
      </c>
      <c r="C20" s="58">
        <f>IF(Scenarios!B3=Scenarios!A30,E6,IF(Scenarios!B3=Scenarios!A31,K6,IF(Scenarios!B3=Scenarios!A32,Q6,IF(Scenarios!B3=Scenarios!A33,W6,AC6))))</f>
        <v>1.4581999999999999E-2</v>
      </c>
    </row>
    <row r="21" spans="1:29" x14ac:dyDescent="0.45">
      <c r="B21" s="8" t="s">
        <v>71</v>
      </c>
      <c r="C21" s="25">
        <v>4.0000000000000001E-3</v>
      </c>
    </row>
    <row r="22" spans="1:29" x14ac:dyDescent="0.45">
      <c r="B22" s="8" t="s">
        <v>73</v>
      </c>
      <c r="C22" s="25">
        <v>5.0000000000000001E-3</v>
      </c>
    </row>
    <row r="23" spans="1:29" x14ac:dyDescent="0.45">
      <c r="B23" s="8" t="s">
        <v>74</v>
      </c>
      <c r="C23" s="25">
        <v>5.0290000000000015E-2</v>
      </c>
    </row>
    <row r="24" spans="1:29" x14ac:dyDescent="0.45">
      <c r="B24" s="12" t="s">
        <v>72</v>
      </c>
      <c r="C24" s="17">
        <v>0.19754909999999998</v>
      </c>
    </row>
  </sheetData>
  <mergeCells count="10">
    <mergeCell ref="Y4:AC4"/>
    <mergeCell ref="Y10:AC10"/>
    <mergeCell ref="S4:W4"/>
    <mergeCell ref="S10:W10"/>
    <mergeCell ref="A10:E10"/>
    <mergeCell ref="A4:E4"/>
    <mergeCell ref="G4:K4"/>
    <mergeCell ref="G10:K10"/>
    <mergeCell ref="M4:Q4"/>
    <mergeCell ref="M10:Q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E644-323D-4E83-86E6-2CBBA537894F}">
  <dimension ref="A4:AC24"/>
  <sheetViews>
    <sheetView topLeftCell="L1" workbookViewId="0">
      <selection activeCell="K8" sqref="K8"/>
    </sheetView>
  </sheetViews>
  <sheetFormatPr defaultRowHeight="14.25" x14ac:dyDescent="0.45"/>
  <cols>
    <col min="2" max="2" width="14.265625" customWidth="1"/>
    <col min="5" max="5" width="14.265625" bestFit="1" customWidth="1"/>
    <col min="8" max="8" width="14.265625" customWidth="1"/>
    <col min="11" max="11" width="14.265625" customWidth="1"/>
    <col min="14" max="14" width="14.265625" customWidth="1"/>
    <col min="17" max="17" width="14.265625" customWidth="1"/>
    <col min="20" max="20" width="14.265625" customWidth="1"/>
    <col min="23" max="23" width="14.265625" customWidth="1"/>
    <col min="26" max="26" width="14.1328125" customWidth="1"/>
    <col min="29" max="29" width="14.1328125" customWidth="1"/>
  </cols>
  <sheetData>
    <row r="4" spans="1:29" x14ac:dyDescent="0.45">
      <c r="A4" s="144" t="s">
        <v>89</v>
      </c>
      <c r="B4" s="145"/>
      <c r="C4" s="145"/>
      <c r="D4" s="145"/>
      <c r="E4" s="146"/>
      <c r="G4" s="144" t="s">
        <v>90</v>
      </c>
      <c r="H4" s="145"/>
      <c r="I4" s="145"/>
      <c r="J4" s="145"/>
      <c r="K4" s="146"/>
      <c r="M4" s="144" t="s">
        <v>69</v>
      </c>
      <c r="N4" s="145"/>
      <c r="O4" s="145"/>
      <c r="P4" s="145"/>
      <c r="Q4" s="146"/>
      <c r="S4" s="144" t="s">
        <v>79</v>
      </c>
      <c r="T4" s="145"/>
      <c r="U4" s="145"/>
      <c r="V4" s="145"/>
      <c r="W4" s="146"/>
      <c r="Y4" s="144" t="s">
        <v>1114</v>
      </c>
      <c r="Z4" s="145"/>
      <c r="AA4" s="145"/>
      <c r="AB4" s="145"/>
      <c r="AC4" s="146"/>
    </row>
    <row r="5" spans="1:29" x14ac:dyDescent="0.45">
      <c r="A5" s="5"/>
      <c r="B5" s="14" t="s">
        <v>53</v>
      </c>
      <c r="C5" s="14" t="s">
        <v>52</v>
      </c>
      <c r="D5" s="14" t="s">
        <v>54</v>
      </c>
      <c r="E5" s="15" t="s">
        <v>55</v>
      </c>
      <c r="G5" s="5"/>
      <c r="H5" s="14" t="s">
        <v>53</v>
      </c>
      <c r="I5" s="14" t="s">
        <v>52</v>
      </c>
      <c r="J5" s="14" t="s">
        <v>54</v>
      </c>
      <c r="K5" s="15" t="s">
        <v>55</v>
      </c>
      <c r="M5" s="5"/>
      <c r="N5" s="14" t="s">
        <v>53</v>
      </c>
      <c r="O5" s="14" t="s">
        <v>52</v>
      </c>
      <c r="P5" s="14" t="s">
        <v>54</v>
      </c>
      <c r="Q5" s="15" t="s">
        <v>55</v>
      </c>
      <c r="S5" s="5"/>
      <c r="T5" s="14" t="s">
        <v>53</v>
      </c>
      <c r="U5" s="14" t="s">
        <v>52</v>
      </c>
      <c r="V5" s="14" t="s">
        <v>54</v>
      </c>
      <c r="W5" s="15" t="s">
        <v>55</v>
      </c>
      <c r="Y5" s="5"/>
      <c r="Z5" s="14" t="s">
        <v>53</v>
      </c>
      <c r="AA5" s="14" t="s">
        <v>52</v>
      </c>
      <c r="AB5" s="14" t="s">
        <v>54</v>
      </c>
      <c r="AC5" s="15" t="s">
        <v>55</v>
      </c>
    </row>
    <row r="6" spans="1:29" x14ac:dyDescent="0.45">
      <c r="A6" s="8" t="s">
        <v>50</v>
      </c>
      <c r="B6" s="16">
        <f>B8*C6</f>
        <v>425884.72719222354</v>
      </c>
      <c r="C6" s="21">
        <f>'WS-Rev Req'!C6</f>
        <v>0.53</v>
      </c>
      <c r="D6" s="22">
        <f>'WS-Rev Req'!D6</f>
        <v>3.1699999999999999E-2</v>
      </c>
      <c r="E6" s="9">
        <f>C6*D6</f>
        <v>1.6801E-2</v>
      </c>
      <c r="G6" s="8" t="s">
        <v>50</v>
      </c>
      <c r="H6" s="16">
        <f>H8*I6</f>
        <v>369635.80095928838</v>
      </c>
      <c r="I6" s="21">
        <f>'WS-Rev Req'!I6</f>
        <v>0.46</v>
      </c>
      <c r="J6" s="22">
        <f>'WS-Rev Req'!J6</f>
        <v>3.1699999999999999E-2</v>
      </c>
      <c r="K6" s="9">
        <f>I6*J6</f>
        <v>1.4581999999999999E-2</v>
      </c>
      <c r="M6" s="8" t="s">
        <v>50</v>
      </c>
      <c r="N6" s="16">
        <f>N8*O6</f>
        <v>425884.72719222354</v>
      </c>
      <c r="O6" s="21">
        <f>'WS-Rev Req'!O6</f>
        <v>0.53</v>
      </c>
      <c r="P6" s="22">
        <f>'WS-Rev Req'!P6</f>
        <v>3.1699999999999999E-2</v>
      </c>
      <c r="Q6" s="9">
        <f>O6*P6</f>
        <v>1.6801E-2</v>
      </c>
      <c r="S6" s="8" t="s">
        <v>50</v>
      </c>
      <c r="T6" s="16">
        <f>T8*U6</f>
        <v>273209.07027425664</v>
      </c>
      <c r="U6" s="21">
        <f>'WS-Rev Req'!U6</f>
        <v>0.34</v>
      </c>
      <c r="V6" s="22">
        <f>'WS-Rev Req'!V6</f>
        <v>5.2200000000000003E-2</v>
      </c>
      <c r="W6" s="9">
        <f>U6*V6</f>
        <v>1.7748000000000003E-2</v>
      </c>
      <c r="Y6" s="8" t="s">
        <v>50</v>
      </c>
      <c r="Z6" s="16">
        <f>Z8*AA6</f>
        <v>369635.80095928838</v>
      </c>
      <c r="AA6" s="21">
        <f>I6</f>
        <v>0.46</v>
      </c>
      <c r="AB6" s="22">
        <f>J6</f>
        <v>3.1699999999999999E-2</v>
      </c>
      <c r="AC6" s="9">
        <f>AA6*AB6</f>
        <v>1.4581999999999999E-2</v>
      </c>
    </row>
    <row r="7" spans="1:29" x14ac:dyDescent="0.45">
      <c r="A7" s="8" t="s">
        <v>51</v>
      </c>
      <c r="B7" s="16">
        <f>B8*C7</f>
        <v>377671.36184970767</v>
      </c>
      <c r="C7" s="24">
        <f>1-C6</f>
        <v>0.47</v>
      </c>
      <c r="D7" s="22">
        <f>'WS-Rev Req'!D7</f>
        <v>8.5999999999999993E-2</v>
      </c>
      <c r="E7" s="9">
        <f>C7*D7</f>
        <v>4.0419999999999998E-2</v>
      </c>
      <c r="G7" s="8" t="s">
        <v>51</v>
      </c>
      <c r="H7" s="16">
        <f>H8*I7</f>
        <v>433920.28808264289</v>
      </c>
      <c r="I7" s="24">
        <f>1-I6</f>
        <v>0.54</v>
      </c>
      <c r="J7" s="22">
        <f>'WS-Rev Req'!J7</f>
        <v>0.09</v>
      </c>
      <c r="K7" s="9">
        <f>I7*J7</f>
        <v>4.8600000000000004E-2</v>
      </c>
      <c r="M7" s="8" t="s">
        <v>51</v>
      </c>
      <c r="N7" s="16">
        <f>N8*O7</f>
        <v>377671.36184970767</v>
      </c>
      <c r="O7" s="24">
        <f>1-O6</f>
        <v>0.47</v>
      </c>
      <c r="P7" s="22">
        <f>'WS-Rev Req'!P7</f>
        <v>0.1018</v>
      </c>
      <c r="Q7" s="9">
        <f>O7*P7</f>
        <v>4.7846E-2</v>
      </c>
      <c r="S7" s="8" t="s">
        <v>51</v>
      </c>
      <c r="T7" s="16">
        <f>T8*U7</f>
        <v>530347.01876767457</v>
      </c>
      <c r="U7" s="24">
        <f>1-U6</f>
        <v>0.65999999999999992</v>
      </c>
      <c r="V7" s="22">
        <f>'WS-Rev Req'!V7</f>
        <v>0.109</v>
      </c>
      <c r="W7" s="9">
        <f>U7*V7</f>
        <v>7.193999999999999E-2</v>
      </c>
      <c r="Y7" s="8" t="s">
        <v>51</v>
      </c>
      <c r="Z7" s="16">
        <f>Z8*AA7</f>
        <v>433920.28808264289</v>
      </c>
      <c r="AA7" s="24">
        <f>1-AA6</f>
        <v>0.54</v>
      </c>
      <c r="AB7" s="22">
        <f>J7</f>
        <v>0.09</v>
      </c>
      <c r="AC7" s="9">
        <f>AA7*AB7</f>
        <v>4.8600000000000004E-2</v>
      </c>
    </row>
    <row r="8" spans="1:29" x14ac:dyDescent="0.45">
      <c r="A8" s="12" t="s">
        <v>3</v>
      </c>
      <c r="B8" s="18">
        <f>'PP-PFIS'!H45</f>
        <v>803556.08904193121</v>
      </c>
      <c r="C8" s="13"/>
      <c r="D8" s="13"/>
      <c r="E8" s="19">
        <f>ROUND(SUM(E6:E7),4)</f>
        <v>5.7200000000000001E-2</v>
      </c>
      <c r="G8" s="12" t="s">
        <v>3</v>
      </c>
      <c r="H8" s="18">
        <f>'PP-PFIS'!H45</f>
        <v>803556.08904193121</v>
      </c>
      <c r="I8" s="13"/>
      <c r="J8" s="13"/>
      <c r="K8" s="19">
        <f>ROUND(SUM(K6:K7),4)</f>
        <v>6.3200000000000006E-2</v>
      </c>
      <c r="M8" s="12" t="s">
        <v>3</v>
      </c>
      <c r="N8" s="18">
        <f>'PP-PFIS'!H45</f>
        <v>803556.08904193121</v>
      </c>
      <c r="O8" s="13"/>
      <c r="P8" s="13"/>
      <c r="Q8" s="19">
        <f>ROUND(SUM(Q6:Q7),4)</f>
        <v>6.4600000000000005E-2</v>
      </c>
      <c r="S8" s="12" t="s">
        <v>3</v>
      </c>
      <c r="T8" s="18">
        <f>'PP-PFIS'!H45</f>
        <v>803556.08904193121</v>
      </c>
      <c r="U8" s="13"/>
      <c r="V8" s="13"/>
      <c r="W8" s="19">
        <f>ROUND(SUM(W6:W7),4)</f>
        <v>8.9700000000000002E-2</v>
      </c>
      <c r="Y8" s="12" t="s">
        <v>3</v>
      </c>
      <c r="Z8" s="18">
        <f>'PP-PFIS'!H45</f>
        <v>803556.08904193121</v>
      </c>
      <c r="AA8" s="13"/>
      <c r="AB8" s="13"/>
      <c r="AC8" s="19">
        <f>ROUND(SUM(AC6:AC7),4)</f>
        <v>6.3200000000000006E-2</v>
      </c>
    </row>
    <row r="10" spans="1:29" x14ac:dyDescent="0.45">
      <c r="A10" s="144" t="s">
        <v>67</v>
      </c>
      <c r="B10" s="145"/>
      <c r="C10" s="145"/>
      <c r="D10" s="145"/>
      <c r="E10" s="146"/>
      <c r="G10" s="144" t="s">
        <v>68</v>
      </c>
      <c r="H10" s="145"/>
      <c r="I10" s="145"/>
      <c r="J10" s="145"/>
      <c r="K10" s="146"/>
      <c r="M10" s="144" t="s">
        <v>70</v>
      </c>
      <c r="N10" s="145"/>
      <c r="O10" s="145"/>
      <c r="P10" s="145"/>
      <c r="Q10" s="146"/>
      <c r="S10" s="144" t="s">
        <v>70</v>
      </c>
      <c r="T10" s="145"/>
      <c r="U10" s="145"/>
      <c r="V10" s="145"/>
      <c r="W10" s="146"/>
      <c r="Y10" s="144" t="s">
        <v>70</v>
      </c>
      <c r="Z10" s="145"/>
      <c r="AA10" s="145"/>
      <c r="AB10" s="145"/>
      <c r="AC10" s="146"/>
    </row>
    <row r="11" spans="1:29" x14ac:dyDescent="0.45">
      <c r="A11" s="5" t="s">
        <v>59</v>
      </c>
      <c r="B11" s="6"/>
      <c r="C11" s="6"/>
      <c r="D11" s="6"/>
      <c r="E11" s="7">
        <f>'PP-PFIS'!H45</f>
        <v>803556.08904193121</v>
      </c>
      <c r="G11" s="5" t="s">
        <v>59</v>
      </c>
      <c r="H11" s="6"/>
      <c r="I11" s="6"/>
      <c r="J11" s="6"/>
      <c r="K11" s="7">
        <f>'PP-PFIS'!H45</f>
        <v>803556.08904193121</v>
      </c>
      <c r="M11" s="5" t="s">
        <v>59</v>
      </c>
      <c r="N11" s="6"/>
      <c r="O11" s="6"/>
      <c r="P11" s="6"/>
      <c r="Q11" s="7">
        <f>'PP-PFIS'!H45</f>
        <v>803556.08904193121</v>
      </c>
      <c r="S11" s="5" t="s">
        <v>59</v>
      </c>
      <c r="T11" s="6"/>
      <c r="U11" s="6"/>
      <c r="V11" s="6"/>
      <c r="W11" s="7">
        <f>'PP-PFIS'!H45</f>
        <v>803556.08904193121</v>
      </c>
      <c r="Y11" s="5" t="s">
        <v>59</v>
      </c>
      <c r="Z11" s="6"/>
      <c r="AA11" s="6"/>
      <c r="AB11" s="6"/>
      <c r="AC11" s="7">
        <f>'PP-PFIS'!H45</f>
        <v>803556.08904193121</v>
      </c>
    </row>
    <row r="12" spans="1:29" x14ac:dyDescent="0.45">
      <c r="A12" s="8" t="s">
        <v>60</v>
      </c>
      <c r="E12" s="9">
        <f>'PP-Rev Req'!E8</f>
        <v>5.7200000000000001E-2</v>
      </c>
      <c r="G12" s="8" t="s">
        <v>60</v>
      </c>
      <c r="K12" s="9">
        <f>'PP-Rev Req'!K8</f>
        <v>6.3200000000000006E-2</v>
      </c>
      <c r="M12" s="8" t="s">
        <v>60</v>
      </c>
      <c r="Q12" s="9">
        <f>'PP-Rev Req'!Q8</f>
        <v>6.4600000000000005E-2</v>
      </c>
      <c r="S12" s="8" t="s">
        <v>60</v>
      </c>
      <c r="W12" s="9">
        <f>'PP-Rev Req'!W8</f>
        <v>8.9700000000000002E-2</v>
      </c>
      <c r="Y12" s="8" t="s">
        <v>60</v>
      </c>
      <c r="AC12" s="9">
        <f>'PP-Rev Req'!AC8</f>
        <v>6.3200000000000006E-2</v>
      </c>
    </row>
    <row r="13" spans="1:29" x14ac:dyDescent="0.45">
      <c r="A13" s="8" t="s">
        <v>61</v>
      </c>
      <c r="E13" s="10">
        <f>E11*E12</f>
        <v>45963.408293198467</v>
      </c>
      <c r="G13" s="8" t="s">
        <v>61</v>
      </c>
      <c r="K13" s="10">
        <f>K11*K12</f>
        <v>50784.744827450057</v>
      </c>
      <c r="M13" s="8" t="s">
        <v>61</v>
      </c>
      <c r="Q13" s="10">
        <f>Q11*Q12</f>
        <v>51909.723352108762</v>
      </c>
      <c r="S13" s="8" t="s">
        <v>61</v>
      </c>
      <c r="W13" s="10">
        <f>W11*W12</f>
        <v>72078.981187061232</v>
      </c>
      <c r="Y13" s="8" t="s">
        <v>61</v>
      </c>
      <c r="AC13" s="10">
        <f>AC11*AC12</f>
        <v>50784.744827450057</v>
      </c>
    </row>
    <row r="14" spans="1:29" x14ac:dyDescent="0.45">
      <c r="A14" s="8" t="s">
        <v>62</v>
      </c>
      <c r="E14" s="11">
        <f>'PP-PFIS'!H38</f>
        <v>-142079.46377327442</v>
      </c>
      <c r="G14" s="8" t="s">
        <v>62</v>
      </c>
      <c r="K14" s="11">
        <f>'PP-PFIS'!H38</f>
        <v>-142079.46377327442</v>
      </c>
      <c r="M14" s="8" t="s">
        <v>62</v>
      </c>
      <c r="Q14" s="11">
        <f>'PP-PFIS'!H38</f>
        <v>-142079.46377327442</v>
      </c>
      <c r="S14" s="8" t="s">
        <v>62</v>
      </c>
      <c r="W14" s="11">
        <f>'PP-PFIS'!H38</f>
        <v>-142079.46377327442</v>
      </c>
      <c r="Y14" s="8" t="s">
        <v>62</v>
      </c>
      <c r="AC14" s="11">
        <f>'PP-PFIS'!H38</f>
        <v>-142079.46377327442</v>
      </c>
    </row>
    <row r="15" spans="1:29" x14ac:dyDescent="0.45">
      <c r="A15" s="8" t="s">
        <v>63</v>
      </c>
      <c r="E15" s="10">
        <f>E13-E14</f>
        <v>188042.87206647289</v>
      </c>
      <c r="G15" s="8" t="s">
        <v>63</v>
      </c>
      <c r="K15" s="10">
        <f>K13-K14</f>
        <v>192864.20860072447</v>
      </c>
      <c r="M15" s="8" t="s">
        <v>63</v>
      </c>
      <c r="Q15" s="10">
        <f>Q13-Q14</f>
        <v>193989.18712538318</v>
      </c>
      <c r="S15" s="8" t="s">
        <v>63</v>
      </c>
      <c r="W15" s="10">
        <f>W13-W14</f>
        <v>214158.44496033565</v>
      </c>
      <c r="Y15" s="8" t="s">
        <v>63</v>
      </c>
      <c r="AC15" s="10">
        <f>AC13-AC14</f>
        <v>192864.20860072447</v>
      </c>
    </row>
    <row r="16" spans="1:29" x14ac:dyDescent="0.45">
      <c r="A16" s="8" t="s">
        <v>2</v>
      </c>
      <c r="E16" s="9">
        <v>0.74316090000000001</v>
      </c>
      <c r="G16" s="8" t="s">
        <v>2</v>
      </c>
      <c r="K16" s="9">
        <v>0.74316090000000001</v>
      </c>
      <c r="M16" s="8" t="s">
        <v>2</v>
      </c>
      <c r="Q16" s="9">
        <v>0.74316090000000001</v>
      </c>
      <c r="S16" s="8" t="s">
        <v>2</v>
      </c>
      <c r="W16" s="9">
        <v>0.74316090000000001</v>
      </c>
      <c r="Y16" s="8" t="s">
        <v>2</v>
      </c>
      <c r="AC16" s="9">
        <v>0.74316090000000001</v>
      </c>
    </row>
    <row r="17" spans="1:29" x14ac:dyDescent="0.45">
      <c r="A17" s="12" t="s">
        <v>64</v>
      </c>
      <c r="B17" s="13"/>
      <c r="C17" s="13"/>
      <c r="D17" s="13"/>
      <c r="E17" s="20">
        <f>E15/E16</f>
        <v>253031.17005546563</v>
      </c>
      <c r="G17" s="12" t="s">
        <v>64</v>
      </c>
      <c r="H17" s="13"/>
      <c r="I17" s="13"/>
      <c r="J17" s="13"/>
      <c r="K17" s="20">
        <f>K15/K16</f>
        <v>259518.77796682314</v>
      </c>
      <c r="M17" s="12" t="s">
        <v>64</v>
      </c>
      <c r="N17" s="13"/>
      <c r="O17" s="13"/>
      <c r="P17" s="13"/>
      <c r="Q17" s="20">
        <f>Q15/Q16</f>
        <v>261032.55314613992</v>
      </c>
      <c r="S17" s="12" t="s">
        <v>64</v>
      </c>
      <c r="T17" s="13"/>
      <c r="U17" s="13"/>
      <c r="V17" s="13"/>
      <c r="W17" s="20">
        <f>W15/W16</f>
        <v>288172.37957531895</v>
      </c>
      <c r="Y17" s="12" t="s">
        <v>64</v>
      </c>
      <c r="Z17" s="13"/>
      <c r="AA17" s="13"/>
      <c r="AB17" s="13"/>
      <c r="AC17" s="20">
        <f>AC15/AC16</f>
        <v>259518.77796682314</v>
      </c>
    </row>
    <row r="20" spans="1:29" x14ac:dyDescent="0.45">
      <c r="B20" s="5" t="s">
        <v>77</v>
      </c>
      <c r="C20" s="58">
        <f>'WS-Rev Req'!C20</f>
        <v>1.4581999999999999E-2</v>
      </c>
    </row>
    <row r="21" spans="1:29" x14ac:dyDescent="0.45">
      <c r="B21" s="8" t="s">
        <v>71</v>
      </c>
      <c r="C21" s="25">
        <v>4.0000000000000001E-3</v>
      </c>
      <c r="E21" s="1"/>
    </row>
    <row r="22" spans="1:29" x14ac:dyDescent="0.45">
      <c r="B22" s="8" t="s">
        <v>73</v>
      </c>
      <c r="C22" s="25">
        <v>5.0000000000000001E-3</v>
      </c>
    </row>
    <row r="23" spans="1:29" x14ac:dyDescent="0.45">
      <c r="B23" s="8" t="s">
        <v>74</v>
      </c>
      <c r="C23" s="25">
        <v>5.0290000000000015E-2</v>
      </c>
    </row>
    <row r="24" spans="1:29" x14ac:dyDescent="0.45">
      <c r="B24" s="12" t="s">
        <v>72</v>
      </c>
      <c r="C24" s="17">
        <v>0.19754909999999998</v>
      </c>
    </row>
  </sheetData>
  <mergeCells count="10">
    <mergeCell ref="Y4:AC4"/>
    <mergeCell ref="Y10:AC10"/>
    <mergeCell ref="S4:W4"/>
    <mergeCell ref="S10:W10"/>
    <mergeCell ref="A4:E4"/>
    <mergeCell ref="G4:K4"/>
    <mergeCell ref="M4:Q4"/>
    <mergeCell ref="A10:E10"/>
    <mergeCell ref="G10:K10"/>
    <mergeCell ref="M10:Q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6EF3-3004-49FA-B328-EB127D6BF829}">
  <dimension ref="A2:N49"/>
  <sheetViews>
    <sheetView topLeftCell="E1" zoomScaleNormal="100" workbookViewId="0">
      <selection activeCell="N3" sqref="N3:N4"/>
    </sheetView>
  </sheetViews>
  <sheetFormatPr defaultRowHeight="14.25" x14ac:dyDescent="0.45"/>
  <cols>
    <col min="4" max="8" width="14.265625" style="3" customWidth="1"/>
    <col min="9" max="9" width="14.265625" style="2" customWidth="1"/>
    <col min="10" max="10" width="14.265625" customWidth="1"/>
    <col min="12" max="12" width="12.265625" bestFit="1" customWidth="1"/>
    <col min="14" max="14" width="12.265625" bestFit="1" customWidth="1"/>
  </cols>
  <sheetData>
    <row r="2" spans="1:14" x14ac:dyDescent="0.45">
      <c r="D2" s="23" t="s">
        <v>4</v>
      </c>
      <c r="E2" s="23" t="s">
        <v>1111</v>
      </c>
      <c r="F2" s="23" t="s">
        <v>56</v>
      </c>
      <c r="G2" s="23" t="s">
        <v>57</v>
      </c>
      <c r="H2" s="23" t="s">
        <v>58</v>
      </c>
      <c r="I2" s="23" t="s">
        <v>65</v>
      </c>
      <c r="J2" s="23" t="s">
        <v>66</v>
      </c>
      <c r="L2" s="23" t="s">
        <v>94</v>
      </c>
      <c r="N2" s="23" t="s">
        <v>96</v>
      </c>
    </row>
    <row r="3" spans="1:14" x14ac:dyDescent="0.45">
      <c r="A3" s="41" t="s">
        <v>33</v>
      </c>
      <c r="B3" s="42"/>
      <c r="C3" s="42"/>
      <c r="D3" s="43">
        <v>2086845.2</v>
      </c>
      <c r="E3" s="43"/>
      <c r="F3" s="43"/>
      <c r="G3" s="43"/>
      <c r="H3" s="43">
        <f>SUM(D3:G3)</f>
        <v>2086845.2</v>
      </c>
      <c r="I3" s="52">
        <f>Scenarios!B14</f>
        <v>1199209.3231182955</v>
      </c>
      <c r="J3" s="44">
        <f>SUM(H3:I3)</f>
        <v>3286054.5231182957</v>
      </c>
      <c r="L3" s="149">
        <v>1273255.508982036</v>
      </c>
      <c r="N3" s="149">
        <v>1510000</v>
      </c>
    </row>
    <row r="4" spans="1:14" x14ac:dyDescent="0.45">
      <c r="L4" s="150">
        <f>L3/H3</f>
        <v>0.61013414362600349</v>
      </c>
      <c r="N4" s="150">
        <f>N3/SUM(H3,'PP-PFIS'!H3)</f>
        <v>0.63414896635461349</v>
      </c>
    </row>
    <row r="5" spans="1:14" x14ac:dyDescent="0.45">
      <c r="A5" s="5" t="s">
        <v>6</v>
      </c>
      <c r="B5" s="6"/>
      <c r="C5" s="6"/>
      <c r="D5" s="27">
        <v>496318.17999999993</v>
      </c>
      <c r="E5" s="27">
        <v>-35897</v>
      </c>
      <c r="F5" s="27"/>
      <c r="G5" s="27"/>
      <c r="H5" s="27">
        <f>SUM(D5:G5)</f>
        <v>460421.17999999993</v>
      </c>
      <c r="I5" s="28"/>
      <c r="J5" s="39">
        <f t="shared" ref="J5:J29" si="0">H5+I5</f>
        <v>460421.17999999993</v>
      </c>
    </row>
    <row r="6" spans="1:14" x14ac:dyDescent="0.45">
      <c r="A6" s="8" t="s">
        <v>7</v>
      </c>
      <c r="D6" s="16">
        <v>0</v>
      </c>
      <c r="E6" s="16"/>
      <c r="F6" s="16"/>
      <c r="G6" s="16"/>
      <c r="H6" s="16">
        <f>SUM(D6:G6)</f>
        <v>0</v>
      </c>
      <c r="I6" s="29"/>
      <c r="J6" s="10">
        <f t="shared" si="0"/>
        <v>0</v>
      </c>
    </row>
    <row r="7" spans="1:14" x14ac:dyDescent="0.45">
      <c r="A7" s="8" t="s">
        <v>8</v>
      </c>
      <c r="D7" s="16">
        <v>56739.690000000039</v>
      </c>
      <c r="E7" s="16">
        <v>-50.94</v>
      </c>
      <c r="F7" s="16"/>
      <c r="G7" s="16">
        <v>203634.23919999989</v>
      </c>
      <c r="H7" s="16">
        <f t="shared" ref="H7:H31" si="1">SUM(D7:G7)</f>
        <v>260322.98919999992</v>
      </c>
      <c r="I7" s="29"/>
      <c r="J7" s="10">
        <f t="shared" si="0"/>
        <v>260322.98919999992</v>
      </c>
    </row>
    <row r="8" spans="1:14" x14ac:dyDescent="0.45">
      <c r="A8" s="8" t="s">
        <v>9</v>
      </c>
      <c r="D8" s="16">
        <v>100479.83</v>
      </c>
      <c r="E8" s="16"/>
      <c r="F8" s="16"/>
      <c r="G8" s="16"/>
      <c r="H8" s="16">
        <f t="shared" si="1"/>
        <v>100479.83</v>
      </c>
      <c r="I8" s="29"/>
      <c r="J8" s="10">
        <f t="shared" si="0"/>
        <v>100479.83</v>
      </c>
      <c r="L8" s="1"/>
    </row>
    <row r="9" spans="1:14" x14ac:dyDescent="0.45">
      <c r="A9" s="8" t="s">
        <v>10</v>
      </c>
      <c r="D9" s="16">
        <v>43829.9</v>
      </c>
      <c r="E9" s="16"/>
      <c r="F9" s="16"/>
      <c r="G9" s="16"/>
      <c r="H9" s="16">
        <f t="shared" si="1"/>
        <v>43829.9</v>
      </c>
      <c r="I9" s="29"/>
      <c r="J9" s="10">
        <f t="shared" si="0"/>
        <v>43829.9</v>
      </c>
    </row>
    <row r="10" spans="1:14" x14ac:dyDescent="0.45">
      <c r="A10" s="8" t="s">
        <v>11</v>
      </c>
      <c r="D10" s="16">
        <v>8376.869999999999</v>
      </c>
      <c r="E10" s="16"/>
      <c r="F10" s="16"/>
      <c r="G10" s="16"/>
      <c r="H10" s="16">
        <f t="shared" si="1"/>
        <v>8376.869999999999</v>
      </c>
      <c r="I10" s="29"/>
      <c r="J10" s="10">
        <f t="shared" si="0"/>
        <v>8376.869999999999</v>
      </c>
    </row>
    <row r="11" spans="1:14" x14ac:dyDescent="0.45">
      <c r="A11" s="8" t="s">
        <v>12</v>
      </c>
      <c r="D11" s="16">
        <v>3587.5</v>
      </c>
      <c r="E11" s="16"/>
      <c r="F11" s="16"/>
      <c r="G11" s="16"/>
      <c r="H11" s="16">
        <f t="shared" si="1"/>
        <v>3587.5</v>
      </c>
      <c r="I11" s="29"/>
      <c r="J11" s="10">
        <f t="shared" si="0"/>
        <v>3587.5</v>
      </c>
    </row>
    <row r="12" spans="1:14" x14ac:dyDescent="0.45">
      <c r="A12" s="8" t="s">
        <v>13</v>
      </c>
      <c r="D12" s="16">
        <v>17776.41</v>
      </c>
      <c r="E12" s="16"/>
      <c r="F12" s="16"/>
      <c r="G12" s="16"/>
      <c r="H12" s="16">
        <f t="shared" si="1"/>
        <v>17776.41</v>
      </c>
      <c r="I12" s="29"/>
      <c r="J12" s="10">
        <f t="shared" si="0"/>
        <v>17776.41</v>
      </c>
    </row>
    <row r="13" spans="1:14" x14ac:dyDescent="0.45">
      <c r="A13" s="8" t="s">
        <v>14</v>
      </c>
      <c r="D13" s="16">
        <v>0</v>
      </c>
      <c r="E13" s="16"/>
      <c r="F13" s="16"/>
      <c r="G13" s="16"/>
      <c r="H13" s="16">
        <f t="shared" si="1"/>
        <v>0</v>
      </c>
      <c r="I13" s="29"/>
      <c r="J13" s="10">
        <f t="shared" si="0"/>
        <v>0</v>
      </c>
    </row>
    <row r="14" spans="1:14" x14ac:dyDescent="0.45">
      <c r="A14" s="8" t="s">
        <v>15</v>
      </c>
      <c r="D14" s="16">
        <v>0</v>
      </c>
      <c r="E14" s="16"/>
      <c r="F14" s="16"/>
      <c r="G14" s="16"/>
      <c r="H14" s="16">
        <f t="shared" si="1"/>
        <v>0</v>
      </c>
      <c r="I14" s="29"/>
      <c r="J14" s="10">
        <f t="shared" si="0"/>
        <v>0</v>
      </c>
    </row>
    <row r="15" spans="1:14" x14ac:dyDescent="0.45">
      <c r="A15" s="8" t="s">
        <v>16</v>
      </c>
      <c r="D15" s="16">
        <v>0</v>
      </c>
      <c r="E15" s="16"/>
      <c r="F15" s="16"/>
      <c r="G15" s="16"/>
      <c r="H15" s="16">
        <f t="shared" si="1"/>
        <v>0</v>
      </c>
      <c r="I15" s="29"/>
      <c r="J15" s="10">
        <f t="shared" si="0"/>
        <v>0</v>
      </c>
    </row>
    <row r="16" spans="1:14" x14ac:dyDescent="0.45">
      <c r="A16" s="8" t="s">
        <v>17</v>
      </c>
      <c r="D16" s="16">
        <v>9000</v>
      </c>
      <c r="E16" s="16"/>
      <c r="F16" s="16"/>
      <c r="G16" s="16"/>
      <c r="H16" s="16">
        <f t="shared" si="1"/>
        <v>9000</v>
      </c>
      <c r="I16" s="29"/>
      <c r="J16" s="10">
        <f t="shared" si="0"/>
        <v>9000</v>
      </c>
    </row>
    <row r="17" spans="1:12" x14ac:dyDescent="0.45">
      <c r="A17" s="8" t="s">
        <v>18</v>
      </c>
      <c r="D17" s="16">
        <v>42418.950000000004</v>
      </c>
      <c r="E17" s="16"/>
      <c r="F17" s="16"/>
      <c r="G17" s="16"/>
      <c r="H17" s="16">
        <f t="shared" si="1"/>
        <v>42418.950000000004</v>
      </c>
      <c r="I17" s="29"/>
      <c r="J17" s="10">
        <f t="shared" si="0"/>
        <v>42418.950000000004</v>
      </c>
    </row>
    <row r="18" spans="1:12" x14ac:dyDescent="0.45">
      <c r="A18" s="8" t="s">
        <v>19</v>
      </c>
      <c r="D18" s="16">
        <v>49726.430000000015</v>
      </c>
      <c r="E18" s="16"/>
      <c r="F18" s="16"/>
      <c r="G18" s="16"/>
      <c r="H18" s="16">
        <f t="shared" si="1"/>
        <v>49726.430000000015</v>
      </c>
      <c r="I18" s="29"/>
      <c r="J18" s="10">
        <f t="shared" si="0"/>
        <v>49726.430000000015</v>
      </c>
    </row>
    <row r="19" spans="1:12" x14ac:dyDescent="0.45">
      <c r="A19" s="8" t="s">
        <v>20</v>
      </c>
      <c r="D19" s="16">
        <v>1836.0399999999997</v>
      </c>
      <c r="E19" s="16">
        <v>-281.10000000000002</v>
      </c>
      <c r="F19" s="16"/>
      <c r="G19" s="51">
        <f>IF(Scenarios!B3=Scenarios!A33,6511.34079999999,6792.44079999999)</f>
        <v>6792.4407999999903</v>
      </c>
      <c r="H19" s="16">
        <f>SUM(D19:G19)</f>
        <v>8347.3807999999899</v>
      </c>
      <c r="I19" s="40">
        <f>I3*'WS-Rev Req'!C21</f>
        <v>4796.8372924731821</v>
      </c>
      <c r="J19" s="10">
        <f t="shared" si="0"/>
        <v>13144.218092473173</v>
      </c>
      <c r="L19" s="1"/>
    </row>
    <row r="20" spans="1:12" x14ac:dyDescent="0.45">
      <c r="A20" s="8" t="s">
        <v>21</v>
      </c>
      <c r="D20" s="16">
        <v>75337.5</v>
      </c>
      <c r="E20" s="16"/>
      <c r="F20" s="16"/>
      <c r="G20" s="16"/>
      <c r="H20" s="16">
        <f t="shared" si="1"/>
        <v>75337.5</v>
      </c>
      <c r="I20" s="29"/>
      <c r="J20" s="10">
        <f t="shared" si="0"/>
        <v>75337.5</v>
      </c>
    </row>
    <row r="21" spans="1:12" x14ac:dyDescent="0.45">
      <c r="A21" s="8" t="s">
        <v>22</v>
      </c>
      <c r="D21" s="16">
        <v>26825.729999999996</v>
      </c>
      <c r="E21" s="16">
        <v>-4587</v>
      </c>
      <c r="F21" s="16"/>
      <c r="G21" s="16"/>
      <c r="H21" s="16">
        <f t="shared" si="1"/>
        <v>22238.729999999996</v>
      </c>
      <c r="I21" s="29"/>
      <c r="J21" s="10">
        <f t="shared" si="0"/>
        <v>22238.729999999996</v>
      </c>
    </row>
    <row r="22" spans="1:12" x14ac:dyDescent="0.45">
      <c r="A22" s="8" t="s">
        <v>23</v>
      </c>
      <c r="D22" s="16">
        <v>83453.87</v>
      </c>
      <c r="E22" s="16">
        <v>-5377.34</v>
      </c>
      <c r="F22" s="16"/>
      <c r="G22" s="16"/>
      <c r="H22" s="16">
        <f t="shared" si="1"/>
        <v>78076.53</v>
      </c>
      <c r="I22" s="29"/>
      <c r="J22" s="10">
        <f t="shared" si="0"/>
        <v>78076.53</v>
      </c>
    </row>
    <row r="23" spans="1:12" x14ac:dyDescent="0.45">
      <c r="A23" s="8" t="s">
        <v>24</v>
      </c>
      <c r="D23" s="16">
        <v>10420.31</v>
      </c>
      <c r="E23" s="16"/>
      <c r="F23" s="16">
        <v>13.915999999986525</v>
      </c>
      <c r="G23" s="16"/>
      <c r="H23" s="16">
        <f t="shared" si="1"/>
        <v>10434.225999999986</v>
      </c>
      <c r="I23" s="40">
        <f>I3*'WS-Rev Req'!C22</f>
        <v>5996.0466155914773</v>
      </c>
      <c r="J23" s="10">
        <f t="shared" si="0"/>
        <v>16430.272615591464</v>
      </c>
    </row>
    <row r="24" spans="1:12" x14ac:dyDescent="0.45">
      <c r="A24" s="8" t="s">
        <v>25</v>
      </c>
      <c r="D24" s="16">
        <v>190518.86000000004</v>
      </c>
      <c r="E24" s="16"/>
      <c r="F24" s="16"/>
      <c r="G24" s="16"/>
      <c r="H24" s="16">
        <f t="shared" si="1"/>
        <v>190518.86000000004</v>
      </c>
      <c r="I24" s="29"/>
      <c r="J24" s="10">
        <f t="shared" si="0"/>
        <v>190518.86000000004</v>
      </c>
    </row>
    <row r="25" spans="1:12" x14ac:dyDescent="0.45">
      <c r="A25" s="8" t="s">
        <v>26</v>
      </c>
      <c r="D25" s="16">
        <v>401363.30950254528</v>
      </c>
      <c r="E25" s="16">
        <f>28498.3025+IF(OR(Scenarios!B3=Scenarios!A30,Scenarios!B3=Scenarios!A31),-'PC Rate Base Adjustments'!C3,0)</f>
        <v>28498.302500000002</v>
      </c>
      <c r="F25" s="16"/>
      <c r="G25" s="50">
        <v>114718.47183571399</v>
      </c>
      <c r="H25" s="16">
        <f t="shared" si="1"/>
        <v>544580.08383825922</v>
      </c>
      <c r="I25" s="29"/>
      <c r="J25" s="10">
        <f t="shared" si="0"/>
        <v>544580.08383825922</v>
      </c>
    </row>
    <row r="26" spans="1:12" x14ac:dyDescent="0.45">
      <c r="A26" s="8" t="s">
        <v>27</v>
      </c>
      <c r="D26" s="16">
        <v>0</v>
      </c>
      <c r="E26" s="16"/>
      <c r="F26" s="16">
        <v>104947.44510799988</v>
      </c>
      <c r="G26" s="16"/>
      <c r="H26" s="16">
        <f t="shared" si="1"/>
        <v>104947.44510799988</v>
      </c>
      <c r="I26" s="40">
        <f>I3*'WS-Rev Req'!C23</f>
        <v>60308.236859619101</v>
      </c>
      <c r="J26" s="10">
        <f t="shared" si="0"/>
        <v>165255.68196761899</v>
      </c>
    </row>
    <row r="27" spans="1:12" x14ac:dyDescent="0.45">
      <c r="A27" s="8" t="s">
        <v>28</v>
      </c>
      <c r="D27" s="16">
        <v>32911.049999999996</v>
      </c>
      <c r="E27" s="16"/>
      <c r="F27" s="16"/>
      <c r="G27" s="16"/>
      <c r="H27" s="16">
        <f t="shared" si="1"/>
        <v>32911.049999999996</v>
      </c>
      <c r="I27" s="29"/>
      <c r="J27" s="10">
        <f t="shared" si="0"/>
        <v>32911.049999999996</v>
      </c>
    </row>
    <row r="28" spans="1:12" x14ac:dyDescent="0.45">
      <c r="A28" s="8" t="s">
        <v>29</v>
      </c>
      <c r="D28" s="16">
        <v>52590.869999999988</v>
      </c>
      <c r="E28" s="16"/>
      <c r="F28" s="16"/>
      <c r="G28" s="16">
        <v>15170.75082039999</v>
      </c>
      <c r="H28" s="16">
        <f t="shared" si="1"/>
        <v>67761.620820399985</v>
      </c>
      <c r="I28" s="29"/>
      <c r="J28" s="10">
        <f t="shared" si="0"/>
        <v>67761.620820399985</v>
      </c>
    </row>
    <row r="29" spans="1:12" x14ac:dyDescent="0.45">
      <c r="A29" s="8" t="s">
        <v>30</v>
      </c>
      <c r="D29" s="16">
        <v>4394.0599999999995</v>
      </c>
      <c r="E29" s="16">
        <v>-675</v>
      </c>
      <c r="F29" s="16"/>
      <c r="G29" s="16"/>
      <c r="H29" s="16">
        <f t="shared" si="1"/>
        <v>3719.0599999999995</v>
      </c>
      <c r="I29" s="29"/>
      <c r="J29" s="10">
        <f t="shared" si="0"/>
        <v>3719.0599999999995</v>
      </c>
    </row>
    <row r="30" spans="1:12" x14ac:dyDescent="0.45">
      <c r="A30" s="8" t="s">
        <v>31</v>
      </c>
      <c r="D30" s="16">
        <v>314851.20000000001</v>
      </c>
      <c r="E30" s="16"/>
      <c r="F30" s="16"/>
      <c r="G30" s="16"/>
      <c r="H30" s="16">
        <f t="shared" si="1"/>
        <v>314851.20000000001</v>
      </c>
      <c r="I30" s="29"/>
      <c r="J30" s="10">
        <f>H30+I30</f>
        <v>314851.20000000001</v>
      </c>
    </row>
    <row r="31" spans="1:12" x14ac:dyDescent="0.45">
      <c r="A31" s="34" t="s">
        <v>5</v>
      </c>
      <c r="B31" s="35"/>
      <c r="C31" s="35"/>
      <c r="D31" s="36">
        <f>SUM(D5:D30)</f>
        <v>2022756.5595025453</v>
      </c>
      <c r="E31" s="59">
        <f>IF(Scenarios!B3=Scenarios!A33,0,SUM(E5:E30))</f>
        <v>-18370.077500000003</v>
      </c>
      <c r="F31" s="36">
        <f>SUM(F5:F30)</f>
        <v>104961.36110799987</v>
      </c>
      <c r="G31" s="36">
        <f>SUM(G5:G30)</f>
        <v>340315.90265611385</v>
      </c>
      <c r="H31" s="36">
        <f t="shared" si="1"/>
        <v>2449663.7457666588</v>
      </c>
      <c r="I31" s="36">
        <f>SUM(I5:I30)</f>
        <v>71101.120767683766</v>
      </c>
      <c r="J31" s="20">
        <f>H31+I31</f>
        <v>2520764.8665343425</v>
      </c>
    </row>
    <row r="33" spans="1:10" x14ac:dyDescent="0.45">
      <c r="A33" s="5" t="s">
        <v>34</v>
      </c>
      <c r="B33" s="6"/>
      <c r="C33" s="6"/>
      <c r="D33" s="27">
        <f>D3-D31</f>
        <v>64088.640497454675</v>
      </c>
      <c r="E33" s="27"/>
      <c r="F33" s="27"/>
      <c r="G33" s="27"/>
      <c r="H33" s="27">
        <f>H3-H31</f>
        <v>-362818.54576665885</v>
      </c>
      <c r="I33" s="28"/>
      <c r="J33" s="7">
        <f>J3-J31</f>
        <v>765289.65658395318</v>
      </c>
    </row>
    <row r="34" spans="1:10" x14ac:dyDescent="0.45">
      <c r="A34" s="8" t="s">
        <v>35</v>
      </c>
      <c r="D34" s="51">
        <f>D49*'WS-Rev Req'!C20</f>
        <v>85534.153230547876</v>
      </c>
      <c r="E34" s="16"/>
      <c r="F34" s="16"/>
      <c r="G34" s="16">
        <f>H34-D34</f>
        <v>61062.021089865797</v>
      </c>
      <c r="H34" s="51">
        <f>H45*'WS-Rev Req'!C20</f>
        <v>146596.17432041367</v>
      </c>
      <c r="I34" s="29"/>
      <c r="J34" s="53">
        <f>J45*'WS-Rev Req'!C20</f>
        <v>146596.17432041367</v>
      </c>
    </row>
    <row r="35" spans="1:10" x14ac:dyDescent="0.45">
      <c r="A35" s="8" t="s">
        <v>36</v>
      </c>
      <c r="D35" s="16"/>
      <c r="E35" s="16"/>
      <c r="F35" s="16">
        <f>(D33-D34)*0.21-D35</f>
        <v>-4503.5576739495718</v>
      </c>
      <c r="G35" s="16">
        <f>(H33-H34)*0.21-F35</f>
        <v>-102473.53354433565</v>
      </c>
      <c r="H35" s="16">
        <f>F35+G35</f>
        <v>-106977.09121828522</v>
      </c>
      <c r="I35" s="40">
        <f>I3*'WS-Rev Req'!C24</f>
        <v>236902.72249362845</v>
      </c>
      <c r="J35" s="10">
        <f>SUM(H35:I35)</f>
        <v>129925.63127534323</v>
      </c>
    </row>
    <row r="36" spans="1:10" x14ac:dyDescent="0.45">
      <c r="A36" s="30" t="s">
        <v>37</v>
      </c>
      <c r="B36" s="26"/>
      <c r="C36" s="26"/>
      <c r="D36" s="31">
        <f>D31+D34+D35</f>
        <v>2108290.7127330932</v>
      </c>
      <c r="E36" s="31"/>
      <c r="F36" s="31"/>
      <c r="G36" s="31"/>
      <c r="H36" s="31">
        <f>H31+H34+H35</f>
        <v>2489282.8288687873</v>
      </c>
      <c r="I36" s="32"/>
      <c r="J36" s="33">
        <f>J31+J34+J35</f>
        <v>2797286.6721300995</v>
      </c>
    </row>
    <row r="37" spans="1:10" x14ac:dyDescent="0.45">
      <c r="A37" s="30" t="s">
        <v>38</v>
      </c>
      <c r="B37" s="26"/>
      <c r="C37" s="26"/>
      <c r="D37" s="31">
        <f>D3-D36</f>
        <v>-21445.51273309323</v>
      </c>
      <c r="E37" s="31"/>
      <c r="F37" s="31"/>
      <c r="G37" s="31"/>
      <c r="H37" s="31">
        <f>H3-H36</f>
        <v>-402437.62886878732</v>
      </c>
      <c r="I37" s="32"/>
      <c r="J37" s="33">
        <f>J3-J36</f>
        <v>488767.85098819621</v>
      </c>
    </row>
    <row r="38" spans="1:10" x14ac:dyDescent="0.45">
      <c r="A38" s="34" t="s">
        <v>39</v>
      </c>
      <c r="B38" s="35"/>
      <c r="C38" s="35"/>
      <c r="D38" s="36">
        <f>D33-D35</f>
        <v>64088.640497454675</v>
      </c>
      <c r="E38" s="36"/>
      <c r="F38" s="36"/>
      <c r="G38" s="36"/>
      <c r="H38" s="36">
        <f>H33-H35</f>
        <v>-255841.45454837364</v>
      </c>
      <c r="I38" s="37"/>
      <c r="J38" s="38">
        <f>J33-J35</f>
        <v>635364.02530860994</v>
      </c>
    </row>
    <row r="40" spans="1:10" x14ac:dyDescent="0.45">
      <c r="A40" s="5" t="s">
        <v>40</v>
      </c>
      <c r="B40" s="6"/>
      <c r="C40" s="6"/>
      <c r="D40" s="27">
        <v>11581427.889999991</v>
      </c>
      <c r="E40" s="60">
        <f>IF(Scenarios!B3=Scenarios!A33,0,341979.63)+IF(OR(Scenarios!B3=Scenarios!A30,Scenarios!B3=Scenarios!A31),-'PC Rate Base Adjustments'!A3,0)</f>
        <v>341979.63</v>
      </c>
      <c r="F40" s="27"/>
      <c r="G40" s="113">
        <v>3885902.47</v>
      </c>
      <c r="H40" s="27">
        <f>SUM(D40:G40)</f>
        <v>15809309.989999993</v>
      </c>
      <c r="I40" s="28"/>
      <c r="J40" s="39">
        <f>SUM(H40:I40)</f>
        <v>15809309.989999993</v>
      </c>
    </row>
    <row r="41" spans="1:10" x14ac:dyDescent="0.45">
      <c r="A41" s="8" t="s">
        <v>41</v>
      </c>
      <c r="D41" s="16">
        <v>-5279806.197537913</v>
      </c>
      <c r="E41" s="51">
        <f>IF(OR(Scenarios!B3=Scenarios!A30,Scenarios!B3=Scenarios!A31),'PC Rate Base Adjustments'!B3,0)</f>
        <v>0</v>
      </c>
      <c r="F41" s="16"/>
      <c r="G41" s="50">
        <v>-57359.235917856917</v>
      </c>
      <c r="H41" s="16">
        <f>SUM(D41:G41)</f>
        <v>-5337165.4334557699</v>
      </c>
      <c r="I41" s="29"/>
      <c r="J41" s="10">
        <f t="shared" ref="J41:J44" si="2">SUM(H41:I41)</f>
        <v>-5337165.4334557699</v>
      </c>
    </row>
    <row r="42" spans="1:10" x14ac:dyDescent="0.45">
      <c r="A42" s="8" t="s">
        <v>42</v>
      </c>
      <c r="D42" s="16">
        <v>16970.010000000002</v>
      </c>
      <c r="E42" s="16"/>
      <c r="F42" s="16"/>
      <c r="G42" s="16"/>
      <c r="H42" s="16">
        <f t="shared" ref="H42:H44" si="3">SUM(D42:G42)</f>
        <v>16970.010000000002</v>
      </c>
      <c r="I42" s="29"/>
      <c r="J42" s="10">
        <f t="shared" si="2"/>
        <v>16970.010000000002</v>
      </c>
    </row>
    <row r="43" spans="1:10" x14ac:dyDescent="0.45">
      <c r="A43" s="8" t="s">
        <v>43</v>
      </c>
      <c r="D43" s="16">
        <v>-629333.57586801599</v>
      </c>
      <c r="E43" s="16"/>
      <c r="F43" s="16"/>
      <c r="G43" s="16"/>
      <c r="H43" s="16">
        <f t="shared" si="3"/>
        <v>-629333.57586801599</v>
      </c>
      <c r="I43" s="29"/>
      <c r="J43" s="10">
        <f t="shared" si="2"/>
        <v>-629333.57586801599</v>
      </c>
    </row>
    <row r="44" spans="1:10" x14ac:dyDescent="0.45">
      <c r="A44" s="8" t="s">
        <v>44</v>
      </c>
      <c r="D44" s="16">
        <v>193447.25787774372</v>
      </c>
      <c r="E44" s="16"/>
      <c r="F44" s="16"/>
      <c r="G44" s="16"/>
      <c r="H44" s="16">
        <f t="shared" si="3"/>
        <v>193447.25787774372</v>
      </c>
      <c r="I44" s="29"/>
      <c r="J44" s="10">
        <f t="shared" si="2"/>
        <v>193447.25787774372</v>
      </c>
    </row>
    <row r="45" spans="1:10" x14ac:dyDescent="0.45">
      <c r="A45" s="30" t="s">
        <v>45</v>
      </c>
      <c r="B45" s="26"/>
      <c r="C45" s="26"/>
      <c r="D45" s="31">
        <f>SUM(D40:D44)</f>
        <v>5882705.3844718058</v>
      </c>
      <c r="E45" s="31"/>
      <c r="F45" s="31"/>
      <c r="G45" s="31"/>
      <c r="H45" s="31">
        <f>SUM(H40:H44)</f>
        <v>10053228.248553948</v>
      </c>
      <c r="I45" s="32"/>
      <c r="J45" s="33">
        <f>SUM(J40:J44)</f>
        <v>10053228.248553948</v>
      </c>
    </row>
    <row r="46" spans="1:10" x14ac:dyDescent="0.45">
      <c r="A46" s="30" t="s">
        <v>46</v>
      </c>
      <c r="B46" s="26"/>
      <c r="C46" s="26"/>
      <c r="D46" s="48">
        <f>D38/D45</f>
        <v>1.089441614169992E-2</v>
      </c>
      <c r="E46" s="31"/>
      <c r="F46" s="31"/>
      <c r="G46" s="31"/>
      <c r="H46" s="48">
        <f>H38/H45</f>
        <v>-2.5448686553513171E-2</v>
      </c>
      <c r="I46" s="32"/>
      <c r="J46" s="49">
        <f>J38/J45</f>
        <v>6.3200000000000034E-2</v>
      </c>
    </row>
    <row r="47" spans="1:10" x14ac:dyDescent="0.45">
      <c r="A47" s="8" t="s">
        <v>47</v>
      </c>
      <c r="D47" s="16">
        <f>SUM(D40:D41)</f>
        <v>6301621.6924620783</v>
      </c>
      <c r="E47" s="16"/>
      <c r="F47" s="16"/>
      <c r="G47" s="16"/>
      <c r="H47" s="16">
        <f>SUM(H40:H41)</f>
        <v>10472144.556544222</v>
      </c>
      <c r="I47" s="29"/>
      <c r="J47" s="11">
        <f>SUM(J40:J41)</f>
        <v>10472144.556544222</v>
      </c>
    </row>
    <row r="48" spans="1:10" x14ac:dyDescent="0.45">
      <c r="A48" s="8" t="s">
        <v>48</v>
      </c>
      <c r="D48" s="16">
        <f>SUM(D43:D44)</f>
        <v>-435886.31799027231</v>
      </c>
      <c r="E48" s="16"/>
      <c r="F48" s="16"/>
      <c r="G48" s="16"/>
      <c r="H48" s="16">
        <f>SUM(H43:H44)</f>
        <v>-435886.31799027231</v>
      </c>
      <c r="I48" s="29"/>
      <c r="J48" s="11">
        <f>SUM(J43:J44)</f>
        <v>-435886.31799027231</v>
      </c>
    </row>
    <row r="49" spans="1:10" x14ac:dyDescent="0.45">
      <c r="A49" s="12" t="s">
        <v>49</v>
      </c>
      <c r="B49" s="13"/>
      <c r="C49" s="13"/>
      <c r="D49" s="45">
        <f>SUM(D47:D48)</f>
        <v>5865735.374471806</v>
      </c>
      <c r="E49" s="45"/>
      <c r="F49" s="45"/>
      <c r="G49" s="45"/>
      <c r="H49" s="45">
        <f>SUM(H47:H48)</f>
        <v>10036258.238553949</v>
      </c>
      <c r="I49" s="46"/>
      <c r="J49" s="47">
        <f>SUM(J47:J48)</f>
        <v>10036258.238553949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24C5-ABA5-422C-BE87-23C76E5344F2}">
  <dimension ref="A2:L49"/>
  <sheetViews>
    <sheetView topLeftCell="D1" workbookViewId="0">
      <selection activeCell="M12" sqref="M12"/>
    </sheetView>
  </sheetViews>
  <sheetFormatPr defaultRowHeight="14.25" x14ac:dyDescent="0.45"/>
  <cols>
    <col min="4" max="10" width="14.265625" customWidth="1"/>
    <col min="12" max="12" width="12.265625" bestFit="1" customWidth="1"/>
  </cols>
  <sheetData>
    <row r="2" spans="1:12" x14ac:dyDescent="0.45">
      <c r="D2" s="23" t="s">
        <v>4</v>
      </c>
      <c r="E2" s="23" t="s">
        <v>32</v>
      </c>
      <c r="F2" s="23" t="s">
        <v>56</v>
      </c>
      <c r="G2" s="23" t="s">
        <v>57</v>
      </c>
      <c r="H2" s="23" t="s">
        <v>58</v>
      </c>
      <c r="I2" s="23" t="s">
        <v>65</v>
      </c>
      <c r="J2" s="23" t="s">
        <v>66</v>
      </c>
      <c r="L2" s="23" t="s">
        <v>95</v>
      </c>
    </row>
    <row r="3" spans="1:12" x14ac:dyDescent="0.45">
      <c r="A3" s="41" t="s">
        <v>33</v>
      </c>
      <c r="B3" s="42"/>
      <c r="C3" s="42"/>
      <c r="D3" s="54">
        <v>294298.78999999998</v>
      </c>
      <c r="E3" s="43"/>
      <c r="F3" s="43"/>
      <c r="G3" s="43"/>
      <c r="H3" s="43">
        <f>SUM(D3:G3)</f>
        <v>294298.78999999998</v>
      </c>
      <c r="I3" s="52">
        <f>Scenarios!B22</f>
        <v>259518.77796682314</v>
      </c>
      <c r="J3" s="44">
        <f>SUM(H3:I3)</f>
        <v>553817.56796682312</v>
      </c>
      <c r="L3" s="149">
        <f>'WS-PFIS'!N3-'WS-PFIS'!L3</f>
        <v>236744.49101796397</v>
      </c>
    </row>
    <row r="4" spans="1:12" x14ac:dyDescent="0.45">
      <c r="D4" s="3"/>
      <c r="E4" s="3"/>
      <c r="F4" s="3"/>
      <c r="G4" s="3"/>
      <c r="H4" s="3"/>
      <c r="I4" s="2"/>
      <c r="L4" s="150">
        <f>L3/H3</f>
        <v>0.80443582869628516</v>
      </c>
    </row>
    <row r="5" spans="1:12" x14ac:dyDescent="0.45">
      <c r="A5" s="5" t="s">
        <v>6</v>
      </c>
      <c r="B5" s="6"/>
      <c r="C5" s="6"/>
      <c r="D5" s="27">
        <v>138998</v>
      </c>
      <c r="E5" s="27">
        <v>-2627</v>
      </c>
      <c r="F5" s="27">
        <v>0</v>
      </c>
      <c r="G5" s="27">
        <v>5559.92</v>
      </c>
      <c r="H5" s="27">
        <f>SUM(D5:G5)</f>
        <v>141930.92000000001</v>
      </c>
      <c r="I5" s="28"/>
      <c r="J5" s="39">
        <f t="shared" ref="J5:J29" si="0">H5+I5</f>
        <v>141930.92000000001</v>
      </c>
    </row>
    <row r="6" spans="1:12" x14ac:dyDescent="0.45">
      <c r="A6" s="8" t="s">
        <v>7</v>
      </c>
      <c r="D6" s="16">
        <v>0</v>
      </c>
      <c r="F6" s="16">
        <v>0</v>
      </c>
      <c r="G6" s="16">
        <v>0</v>
      </c>
      <c r="H6" s="16">
        <f>SUM(D6:G6)</f>
        <v>0</v>
      </c>
      <c r="I6" s="29"/>
      <c r="J6" s="10">
        <f t="shared" si="0"/>
        <v>0</v>
      </c>
    </row>
    <row r="7" spans="1:12" x14ac:dyDescent="0.45">
      <c r="A7" s="8" t="s">
        <v>8</v>
      </c>
      <c r="D7" s="16">
        <v>51708</v>
      </c>
      <c r="F7" s="16">
        <v>0</v>
      </c>
      <c r="G7" s="16">
        <v>0</v>
      </c>
      <c r="H7" s="16">
        <f t="shared" ref="H7:H30" si="1">SUM(D7:G7)</f>
        <v>51708</v>
      </c>
      <c r="I7" s="29"/>
      <c r="J7" s="10">
        <f t="shared" si="0"/>
        <v>51708</v>
      </c>
    </row>
    <row r="8" spans="1:12" x14ac:dyDescent="0.45">
      <c r="A8" s="8" t="s">
        <v>9</v>
      </c>
      <c r="D8" s="16">
        <v>14522</v>
      </c>
      <c r="F8" s="16">
        <v>2639</v>
      </c>
      <c r="G8" s="16">
        <v>0</v>
      </c>
      <c r="H8" s="16">
        <f t="shared" si="1"/>
        <v>17161</v>
      </c>
      <c r="I8" s="29"/>
      <c r="J8" s="10">
        <f t="shared" si="0"/>
        <v>17161</v>
      </c>
    </row>
    <row r="9" spans="1:12" x14ac:dyDescent="0.45">
      <c r="A9" s="8" t="s">
        <v>10</v>
      </c>
      <c r="D9" s="16">
        <v>1677</v>
      </c>
      <c r="F9" s="16">
        <v>0</v>
      </c>
      <c r="G9" s="16">
        <v>0</v>
      </c>
      <c r="H9" s="16">
        <f t="shared" si="1"/>
        <v>1677</v>
      </c>
      <c r="I9" s="29"/>
      <c r="J9" s="10">
        <f t="shared" si="0"/>
        <v>1677</v>
      </c>
    </row>
    <row r="10" spans="1:12" x14ac:dyDescent="0.45">
      <c r="A10" s="8" t="s">
        <v>11</v>
      </c>
      <c r="D10" s="16">
        <v>3588</v>
      </c>
      <c r="F10" s="16">
        <v>0</v>
      </c>
      <c r="G10" s="16">
        <v>0</v>
      </c>
      <c r="H10" s="16">
        <f t="shared" si="1"/>
        <v>3588</v>
      </c>
      <c r="I10" s="29"/>
      <c r="J10" s="10">
        <f t="shared" si="0"/>
        <v>3588</v>
      </c>
    </row>
    <row r="11" spans="1:12" x14ac:dyDescent="0.45">
      <c r="A11" s="8" t="s">
        <v>12</v>
      </c>
      <c r="D11" s="16">
        <v>0</v>
      </c>
      <c r="F11" s="16">
        <v>0</v>
      </c>
      <c r="G11" s="16">
        <v>0</v>
      </c>
      <c r="H11" s="16">
        <f t="shared" si="1"/>
        <v>0</v>
      </c>
      <c r="I11" s="29"/>
      <c r="J11" s="10">
        <f t="shared" si="0"/>
        <v>0</v>
      </c>
    </row>
    <row r="12" spans="1:12" x14ac:dyDescent="0.45">
      <c r="A12" s="8" t="s">
        <v>13</v>
      </c>
      <c r="D12" s="16">
        <v>115</v>
      </c>
      <c r="F12" s="16">
        <v>0</v>
      </c>
      <c r="G12" s="16">
        <v>0</v>
      </c>
      <c r="H12" s="16">
        <f t="shared" si="1"/>
        <v>115</v>
      </c>
      <c r="I12" s="29"/>
      <c r="J12" s="10">
        <f t="shared" si="0"/>
        <v>115</v>
      </c>
    </row>
    <row r="13" spans="1:12" x14ac:dyDescent="0.45">
      <c r="A13" s="8" t="s">
        <v>14</v>
      </c>
      <c r="D13" s="16">
        <v>0</v>
      </c>
      <c r="F13" s="16">
        <v>0</v>
      </c>
      <c r="G13" s="16">
        <v>0</v>
      </c>
      <c r="H13" s="16">
        <f t="shared" si="1"/>
        <v>0</v>
      </c>
      <c r="I13" s="29"/>
      <c r="J13" s="10">
        <f t="shared" si="0"/>
        <v>0</v>
      </c>
    </row>
    <row r="14" spans="1:12" x14ac:dyDescent="0.45">
      <c r="A14" s="8" t="s">
        <v>15</v>
      </c>
      <c r="D14" s="16">
        <v>50222.61</v>
      </c>
      <c r="F14" s="16">
        <v>-22058</v>
      </c>
      <c r="G14" s="16">
        <v>0</v>
      </c>
      <c r="H14" s="16">
        <f t="shared" si="1"/>
        <v>28164.61</v>
      </c>
      <c r="I14" s="29"/>
      <c r="J14" s="10">
        <f t="shared" si="0"/>
        <v>28164.61</v>
      </c>
    </row>
    <row r="15" spans="1:12" x14ac:dyDescent="0.45">
      <c r="A15" s="8" t="s">
        <v>16</v>
      </c>
      <c r="D15" s="16">
        <v>0</v>
      </c>
      <c r="F15" s="16">
        <v>0</v>
      </c>
      <c r="G15" s="16">
        <v>0</v>
      </c>
      <c r="H15" s="16">
        <f t="shared" si="1"/>
        <v>0</v>
      </c>
      <c r="I15" s="29"/>
      <c r="J15" s="10">
        <f t="shared" si="0"/>
        <v>0</v>
      </c>
    </row>
    <row r="16" spans="1:12" x14ac:dyDescent="0.45">
      <c r="A16" s="8" t="s">
        <v>17</v>
      </c>
      <c r="D16" s="16">
        <v>14157</v>
      </c>
      <c r="F16" s="16">
        <v>-94</v>
      </c>
      <c r="G16" s="16">
        <v>0</v>
      </c>
      <c r="H16" s="16">
        <f t="shared" si="1"/>
        <v>14063</v>
      </c>
      <c r="I16" s="29"/>
      <c r="J16" s="10">
        <f t="shared" si="0"/>
        <v>14063</v>
      </c>
    </row>
    <row r="17" spans="1:10" x14ac:dyDescent="0.45">
      <c r="A17" s="8" t="s">
        <v>18</v>
      </c>
      <c r="D17" s="16">
        <v>10517.01</v>
      </c>
      <c r="F17" s="16">
        <v>-446</v>
      </c>
      <c r="G17" s="16">
        <v>0</v>
      </c>
      <c r="H17" s="16">
        <f t="shared" si="1"/>
        <v>10071.01</v>
      </c>
      <c r="I17" s="29"/>
      <c r="J17" s="10">
        <f t="shared" si="0"/>
        <v>10071.01</v>
      </c>
    </row>
    <row r="18" spans="1:10" x14ac:dyDescent="0.45">
      <c r="A18" s="8" t="s">
        <v>19</v>
      </c>
      <c r="D18" s="16">
        <v>13954</v>
      </c>
      <c r="F18" s="16">
        <v>0</v>
      </c>
      <c r="G18" s="16">
        <v>0</v>
      </c>
      <c r="H18" s="16">
        <f t="shared" si="1"/>
        <v>13954</v>
      </c>
      <c r="I18" s="29"/>
      <c r="J18" s="10">
        <f t="shared" si="0"/>
        <v>13954</v>
      </c>
    </row>
    <row r="19" spans="1:10" x14ac:dyDescent="0.45">
      <c r="A19" s="8" t="s">
        <v>20</v>
      </c>
      <c r="D19" s="16">
        <v>0</v>
      </c>
      <c r="F19" s="16">
        <v>0</v>
      </c>
      <c r="G19" s="51">
        <f>H3*'PP-Rev Req'!C21-D19</f>
        <v>1177.19516</v>
      </c>
      <c r="H19" s="16">
        <f t="shared" si="1"/>
        <v>1177.19516</v>
      </c>
      <c r="I19" s="40">
        <f>I3*'PP-Rev Req'!C21</f>
        <v>1038.0751118672927</v>
      </c>
      <c r="J19" s="10">
        <f t="shared" si="0"/>
        <v>2215.2702718672926</v>
      </c>
    </row>
    <row r="20" spans="1:10" x14ac:dyDescent="0.45">
      <c r="A20" s="8" t="s">
        <v>21</v>
      </c>
      <c r="D20" s="16">
        <v>0</v>
      </c>
      <c r="F20" s="16">
        <v>0</v>
      </c>
      <c r="G20" s="16">
        <v>12162.500000000002</v>
      </c>
      <c r="H20" s="16">
        <f t="shared" si="1"/>
        <v>12162.500000000002</v>
      </c>
      <c r="I20" s="29"/>
      <c r="J20" s="10">
        <f t="shared" si="0"/>
        <v>12162.500000000002</v>
      </c>
    </row>
    <row r="21" spans="1:10" x14ac:dyDescent="0.45">
      <c r="A21" s="8" t="s">
        <v>22</v>
      </c>
      <c r="D21" s="16">
        <v>1212</v>
      </c>
      <c r="F21" s="16">
        <v>-17</v>
      </c>
      <c r="G21" s="16">
        <v>0</v>
      </c>
      <c r="H21" s="16">
        <f t="shared" si="1"/>
        <v>1195</v>
      </c>
      <c r="I21" s="29"/>
      <c r="J21" s="10">
        <f t="shared" si="0"/>
        <v>1195</v>
      </c>
    </row>
    <row r="22" spans="1:10" x14ac:dyDescent="0.45">
      <c r="A22" s="8" t="s">
        <v>23</v>
      </c>
      <c r="D22" s="16">
        <v>28134.85</v>
      </c>
      <c r="F22" s="16">
        <v>-6758</v>
      </c>
      <c r="G22" s="16">
        <v>0</v>
      </c>
      <c r="H22" s="16">
        <f t="shared" si="1"/>
        <v>21376.85</v>
      </c>
      <c r="I22" s="29"/>
      <c r="J22" s="10">
        <f t="shared" si="0"/>
        <v>21376.85</v>
      </c>
    </row>
    <row r="23" spans="1:10" x14ac:dyDescent="0.45">
      <c r="A23" s="8" t="s">
        <v>24</v>
      </c>
      <c r="D23" s="16">
        <v>0</v>
      </c>
      <c r="F23" s="51">
        <f>D3*'PP-Rev Req'!C22-D23</f>
        <v>1471.4939499999998</v>
      </c>
      <c r="G23" s="16">
        <v>0</v>
      </c>
      <c r="H23" s="16">
        <f t="shared" si="1"/>
        <v>1471.4939499999998</v>
      </c>
      <c r="I23" s="40">
        <f>I3*'PP-Rev Req'!C22</f>
        <v>1297.5938898341158</v>
      </c>
      <c r="J23" s="10">
        <f t="shared" si="0"/>
        <v>2769.0878398341156</v>
      </c>
    </row>
    <row r="24" spans="1:10" x14ac:dyDescent="0.45">
      <c r="A24" s="8" t="s">
        <v>25</v>
      </c>
      <c r="D24" s="16">
        <v>2400</v>
      </c>
      <c r="F24" s="16">
        <v>0</v>
      </c>
      <c r="G24" s="16">
        <v>0</v>
      </c>
      <c r="H24" s="16">
        <f t="shared" si="1"/>
        <v>2400</v>
      </c>
      <c r="I24" s="29"/>
      <c r="J24" s="10">
        <f t="shared" si="0"/>
        <v>2400</v>
      </c>
    </row>
    <row r="25" spans="1:10" x14ac:dyDescent="0.45">
      <c r="A25" s="8" t="s">
        <v>26</v>
      </c>
      <c r="D25" s="16">
        <v>41433.048328571422</v>
      </c>
      <c r="F25" s="16">
        <v>0</v>
      </c>
      <c r="G25" s="50">
        <v>13070.065399999999</v>
      </c>
      <c r="H25" s="16">
        <f t="shared" si="1"/>
        <v>54503.113728571421</v>
      </c>
      <c r="I25" s="29"/>
      <c r="J25" s="10">
        <f t="shared" si="0"/>
        <v>54503.113728571421</v>
      </c>
    </row>
    <row r="26" spans="1:10" x14ac:dyDescent="0.45">
      <c r="A26" s="8" t="s">
        <v>27</v>
      </c>
      <c r="D26" s="16">
        <v>14892</v>
      </c>
      <c r="F26" s="16">
        <v>0</v>
      </c>
      <c r="G26" s="51">
        <f>H3*'PP-Rev Req'!C23-D26</f>
        <v>-91.713850899996032</v>
      </c>
      <c r="H26" s="16">
        <f t="shared" si="1"/>
        <v>14800.286149100004</v>
      </c>
      <c r="I26" s="40">
        <f>I3*'PP-Rev Req'!C23</f>
        <v>13051.199343951539</v>
      </c>
      <c r="J26" s="10">
        <f t="shared" si="0"/>
        <v>27851.485493051543</v>
      </c>
    </row>
    <row r="27" spans="1:10" x14ac:dyDescent="0.45">
      <c r="A27" s="8" t="s">
        <v>28</v>
      </c>
      <c r="D27" s="16">
        <v>1147</v>
      </c>
      <c r="F27" s="16">
        <v>0</v>
      </c>
      <c r="G27" s="16">
        <v>0</v>
      </c>
      <c r="H27" s="16">
        <f t="shared" si="1"/>
        <v>1147</v>
      </c>
      <c r="I27" s="29"/>
      <c r="J27" s="10">
        <f t="shared" si="0"/>
        <v>1147</v>
      </c>
    </row>
    <row r="28" spans="1:10" x14ac:dyDescent="0.45">
      <c r="A28" s="8" t="s">
        <v>29</v>
      </c>
      <c r="D28" s="16">
        <v>11055</v>
      </c>
      <c r="F28" s="16">
        <v>0</v>
      </c>
      <c r="G28" s="16">
        <v>0</v>
      </c>
      <c r="H28" s="16">
        <f t="shared" si="1"/>
        <v>11055</v>
      </c>
      <c r="I28" s="29"/>
      <c r="J28" s="10">
        <f t="shared" si="0"/>
        <v>11055</v>
      </c>
    </row>
    <row r="29" spans="1:10" x14ac:dyDescent="0.45">
      <c r="A29" s="8" t="s">
        <v>30</v>
      </c>
      <c r="D29" s="16">
        <v>0</v>
      </c>
      <c r="F29" s="16">
        <v>0</v>
      </c>
      <c r="G29" s="16">
        <v>0</v>
      </c>
      <c r="H29" s="16">
        <f t="shared" si="1"/>
        <v>0</v>
      </c>
      <c r="I29" s="29"/>
      <c r="J29" s="10">
        <f t="shared" si="0"/>
        <v>0</v>
      </c>
    </row>
    <row r="30" spans="1:10" x14ac:dyDescent="0.45">
      <c r="A30" s="8" t="s">
        <v>31</v>
      </c>
      <c r="D30" s="16">
        <v>72293</v>
      </c>
      <c r="F30" s="16">
        <v>1247</v>
      </c>
      <c r="G30" s="16">
        <v>0</v>
      </c>
      <c r="H30" s="16">
        <f t="shared" si="1"/>
        <v>73540</v>
      </c>
      <c r="I30" s="29"/>
      <c r="J30" s="10">
        <f>H30+I30</f>
        <v>73540</v>
      </c>
    </row>
    <row r="31" spans="1:10" x14ac:dyDescent="0.45">
      <c r="A31" s="34" t="s">
        <v>5</v>
      </c>
      <c r="B31" s="35"/>
      <c r="C31" s="35"/>
      <c r="D31" s="36">
        <f>SUM(D5:D30)</f>
        <v>472025.5183285714</v>
      </c>
      <c r="E31" s="59">
        <f>IF(Scenarios!B3=Scenarios!A33,0,SUM(E5:E30))</f>
        <v>-2627</v>
      </c>
      <c r="F31" s="36">
        <f>SUM(F5:F30)</f>
        <v>-24015.50605</v>
      </c>
      <c r="G31" s="36">
        <f>SUM(G5:G30)</f>
        <v>31877.966709100005</v>
      </c>
      <c r="H31" s="36">
        <f>SUM(D31:G31)</f>
        <v>477260.97898767138</v>
      </c>
      <c r="I31" s="36">
        <f>SUM(I5:I30)</f>
        <v>15386.868345652947</v>
      </c>
      <c r="J31" s="20">
        <f>H31+I31</f>
        <v>492647.84733332432</v>
      </c>
    </row>
    <row r="32" spans="1:10" x14ac:dyDescent="0.45">
      <c r="D32" s="3"/>
      <c r="E32" s="3"/>
      <c r="F32" s="3"/>
      <c r="G32" s="3"/>
      <c r="H32" s="3"/>
      <c r="I32" s="2"/>
    </row>
    <row r="33" spans="1:10" x14ac:dyDescent="0.45">
      <c r="A33" s="5" t="s">
        <v>34</v>
      </c>
      <c r="B33" s="6"/>
      <c r="C33" s="6"/>
      <c r="D33" s="27">
        <f>D3-D31</f>
        <v>-177726.72832857142</v>
      </c>
      <c r="E33" s="27"/>
      <c r="F33" s="27"/>
      <c r="G33" s="27"/>
      <c r="H33" s="27">
        <f>H3-H31</f>
        <v>-182962.1889876714</v>
      </c>
      <c r="I33" s="28"/>
      <c r="J33" s="7">
        <f>J3-J31</f>
        <v>61169.7206334988</v>
      </c>
    </row>
    <row r="34" spans="1:10" x14ac:dyDescent="0.45">
      <c r="A34" s="8" t="s">
        <v>35</v>
      </c>
      <c r="D34" s="16"/>
      <c r="E34" s="16"/>
      <c r="F34" s="16"/>
      <c r="G34" s="16">
        <f>H34-D34</f>
        <v>11717.454890409441</v>
      </c>
      <c r="H34" s="51">
        <f>H45*'PP-Rev Req'!C20</f>
        <v>11717.454890409441</v>
      </c>
      <c r="I34" s="29"/>
      <c r="J34" s="53">
        <f>J45*'PP-Rev Req'!C20</f>
        <v>11717.454890409441</v>
      </c>
    </row>
    <row r="35" spans="1:10" x14ac:dyDescent="0.45">
      <c r="A35" s="8" t="s">
        <v>36</v>
      </c>
      <c r="D35" s="16"/>
      <c r="E35" s="16"/>
      <c r="F35" s="16">
        <f>(D33-D34)*0.21-D35</f>
        <v>-37322.612948999995</v>
      </c>
      <c r="G35" s="16">
        <f>(H33-H34)*0.21-F35</f>
        <v>-3560.1122653969796</v>
      </c>
      <c r="H35" s="16">
        <f>F35+G35</f>
        <v>-40882.725214396974</v>
      </c>
      <c r="I35" s="40">
        <f>I3*'PP-Rev Req'!C24</f>
        <v>51267.701020445733</v>
      </c>
      <c r="J35" s="10">
        <f>SUM(H35:I35)</f>
        <v>10384.975806048758</v>
      </c>
    </row>
    <row r="36" spans="1:10" x14ac:dyDescent="0.45">
      <c r="A36" s="30" t="s">
        <v>37</v>
      </c>
      <c r="B36" s="26"/>
      <c r="C36" s="26"/>
      <c r="D36" s="31">
        <f>D31+D34+D35</f>
        <v>472025.5183285714</v>
      </c>
      <c r="E36" s="31"/>
      <c r="F36" s="31"/>
      <c r="G36" s="31"/>
      <c r="H36" s="31">
        <f>H31+H34+H35</f>
        <v>448095.70866368385</v>
      </c>
      <c r="I36" s="32"/>
      <c r="J36" s="33">
        <f>J31+J34+J35</f>
        <v>514750.27802978252</v>
      </c>
    </row>
    <row r="37" spans="1:10" x14ac:dyDescent="0.45">
      <c r="A37" s="30" t="s">
        <v>38</v>
      </c>
      <c r="B37" s="26"/>
      <c r="C37" s="26"/>
      <c r="D37" s="31">
        <f>D3-D36</f>
        <v>-177726.72832857142</v>
      </c>
      <c r="E37" s="31"/>
      <c r="F37" s="31"/>
      <c r="G37" s="31"/>
      <c r="H37" s="31">
        <f>H3-H36</f>
        <v>-153796.91866368387</v>
      </c>
      <c r="I37" s="32"/>
      <c r="J37" s="33">
        <f>J3-J36</f>
        <v>39067.289937040594</v>
      </c>
    </row>
    <row r="38" spans="1:10" x14ac:dyDescent="0.45">
      <c r="A38" s="34" t="s">
        <v>39</v>
      </c>
      <c r="B38" s="35"/>
      <c r="C38" s="35"/>
      <c r="D38" s="36">
        <f>D33-D35</f>
        <v>-177726.72832857142</v>
      </c>
      <c r="E38" s="36"/>
      <c r="F38" s="36"/>
      <c r="G38" s="36"/>
      <c r="H38" s="36">
        <f>H33-H35</f>
        <v>-142079.46377327442</v>
      </c>
      <c r="I38" s="37"/>
      <c r="J38" s="38">
        <f>J33-J35</f>
        <v>50784.744827450042</v>
      </c>
    </row>
    <row r="39" spans="1:10" x14ac:dyDescent="0.45">
      <c r="D39" s="3"/>
      <c r="E39" s="3"/>
      <c r="F39" s="3"/>
      <c r="G39" s="3"/>
      <c r="H39" s="3"/>
      <c r="I39" s="2"/>
    </row>
    <row r="40" spans="1:10" x14ac:dyDescent="0.45">
      <c r="A40" s="5" t="s">
        <v>40</v>
      </c>
      <c r="B40" s="6"/>
      <c r="C40" s="6"/>
      <c r="D40" s="27">
        <v>961317.25999999989</v>
      </c>
      <c r="E40" s="27"/>
      <c r="F40" s="27"/>
      <c r="G40" s="27">
        <v>281300.88</v>
      </c>
      <c r="H40" s="27">
        <f>SUM(D40:G40)</f>
        <v>1242618.1399999999</v>
      </c>
      <c r="I40" s="28"/>
      <c r="J40" s="39">
        <f>SUM(H40:I40)</f>
        <v>1242618.1399999999</v>
      </c>
    </row>
    <row r="41" spans="1:10" x14ac:dyDescent="0.45">
      <c r="A41" s="8" t="s">
        <v>41</v>
      </c>
      <c r="D41" s="16">
        <v>-400272.06992473529</v>
      </c>
      <c r="E41" s="16"/>
      <c r="F41" s="16"/>
      <c r="G41" s="16">
        <v>-6535.0327000000007</v>
      </c>
      <c r="H41" s="16">
        <f>SUM(D41:G41)</f>
        <v>-406807.10262473527</v>
      </c>
      <c r="I41" s="29"/>
      <c r="J41" s="10">
        <f t="shared" ref="J41:J44" si="2">SUM(H41:I41)</f>
        <v>-406807.10262473527</v>
      </c>
    </row>
    <row r="42" spans="1:10" x14ac:dyDescent="0.45">
      <c r="A42" s="8" t="s">
        <v>42</v>
      </c>
      <c r="D42" s="16">
        <v>3006.51</v>
      </c>
      <c r="E42" s="16"/>
      <c r="F42" s="16"/>
      <c r="G42" s="16"/>
      <c r="H42" s="16">
        <f t="shared" ref="H42:H44" si="3">SUM(D42:G42)</f>
        <v>3006.51</v>
      </c>
      <c r="I42" s="29"/>
      <c r="J42" s="10">
        <f t="shared" si="2"/>
        <v>3006.51</v>
      </c>
    </row>
    <row r="43" spans="1:10" x14ac:dyDescent="0.45">
      <c r="A43" s="8" t="s">
        <v>43</v>
      </c>
      <c r="D43" s="16">
        <v>-111750</v>
      </c>
      <c r="E43" s="16"/>
      <c r="F43" s="16"/>
      <c r="G43" s="16"/>
      <c r="H43" s="16">
        <f t="shared" si="3"/>
        <v>-111750</v>
      </c>
      <c r="I43" s="29"/>
      <c r="J43" s="10">
        <f t="shared" si="2"/>
        <v>-111750</v>
      </c>
    </row>
    <row r="44" spans="1:10" x14ac:dyDescent="0.45">
      <c r="A44" s="8" t="s">
        <v>44</v>
      </c>
      <c r="D44" s="16">
        <v>76488.541666666642</v>
      </c>
      <c r="E44" s="16"/>
      <c r="F44" s="16"/>
      <c r="G44" s="16"/>
      <c r="H44" s="16">
        <f t="shared" si="3"/>
        <v>76488.541666666642</v>
      </c>
      <c r="I44" s="29"/>
      <c r="J44" s="10">
        <f t="shared" si="2"/>
        <v>76488.541666666642</v>
      </c>
    </row>
    <row r="45" spans="1:10" x14ac:dyDescent="0.45">
      <c r="A45" s="30" t="s">
        <v>45</v>
      </c>
      <c r="B45" s="26"/>
      <c r="C45" s="26"/>
      <c r="D45" s="31">
        <f>SUM(D40:D44)</f>
        <v>528790.24174193118</v>
      </c>
      <c r="E45" s="31"/>
      <c r="F45" s="31"/>
      <c r="G45" s="31"/>
      <c r="H45" s="31">
        <f>SUM(H40:H44)</f>
        <v>803556.08904193121</v>
      </c>
      <c r="I45" s="32"/>
      <c r="J45" s="33">
        <f>SUM(J40:J44)</f>
        <v>803556.08904193121</v>
      </c>
    </row>
    <row r="46" spans="1:10" x14ac:dyDescent="0.45">
      <c r="A46" s="30" t="s">
        <v>46</v>
      </c>
      <c r="B46" s="26"/>
      <c r="C46" s="26"/>
      <c r="D46" s="48">
        <f>D38/D45</f>
        <v>-0.33610062043336364</v>
      </c>
      <c r="E46" s="31"/>
      <c r="F46" s="31"/>
      <c r="G46" s="31"/>
      <c r="H46" s="48">
        <f>H38/H45</f>
        <v>-0.17681337458679927</v>
      </c>
      <c r="I46" s="32"/>
      <c r="J46" s="49">
        <f>J38/J45</f>
        <v>6.3199999999999992E-2</v>
      </c>
    </row>
    <row r="47" spans="1:10" x14ac:dyDescent="0.45">
      <c r="A47" s="8" t="s">
        <v>47</v>
      </c>
      <c r="D47" s="16">
        <f>SUM(D40:D41)</f>
        <v>561045.19007526455</v>
      </c>
      <c r="E47" s="16"/>
      <c r="F47" s="16"/>
      <c r="G47" s="16"/>
      <c r="H47" s="16">
        <f>SUM(H40:H41)</f>
        <v>835811.03737526457</v>
      </c>
      <c r="I47" s="29"/>
      <c r="J47" s="11">
        <f>SUM(J40:J41)</f>
        <v>835811.03737526457</v>
      </c>
    </row>
    <row r="48" spans="1:10" x14ac:dyDescent="0.45">
      <c r="A48" s="8" t="s">
        <v>48</v>
      </c>
      <c r="D48" s="16">
        <f>SUM(D43:D44)</f>
        <v>-35261.458333333358</v>
      </c>
      <c r="E48" s="16"/>
      <c r="F48" s="16"/>
      <c r="G48" s="16"/>
      <c r="H48" s="16">
        <f>SUM(H43:H44)</f>
        <v>-35261.458333333358</v>
      </c>
      <c r="I48" s="29"/>
      <c r="J48" s="11">
        <f>SUM(J43:J44)</f>
        <v>-35261.458333333358</v>
      </c>
    </row>
    <row r="49" spans="1:10" x14ac:dyDescent="0.45">
      <c r="A49" s="12" t="s">
        <v>49</v>
      </c>
      <c r="B49" s="13"/>
      <c r="C49" s="13"/>
      <c r="D49" s="45">
        <f>SUM(D47:D48)</f>
        <v>525783.73174193117</v>
      </c>
      <c r="E49" s="45"/>
      <c r="F49" s="45"/>
      <c r="G49" s="45"/>
      <c r="H49" s="45">
        <f>SUM(H47:H48)</f>
        <v>800549.5790419312</v>
      </c>
      <c r="I49" s="46"/>
      <c r="J49" s="47">
        <f>SUM(J47:J48)</f>
        <v>800549.5790419312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D233-E899-4E54-94D1-B571D2F36C65}">
  <dimension ref="A1:H17"/>
  <sheetViews>
    <sheetView workbookViewId="0">
      <selection activeCell="H15" sqref="H15"/>
    </sheetView>
  </sheetViews>
  <sheetFormatPr defaultRowHeight="14.25" x14ac:dyDescent="0.45"/>
  <cols>
    <col min="1" max="1" width="12.86328125" customWidth="1"/>
    <col min="2" max="2" width="12.265625" bestFit="1" customWidth="1"/>
    <col min="3" max="3" width="11.59765625" customWidth="1"/>
  </cols>
  <sheetData>
    <row r="1" spans="1:8" x14ac:dyDescent="0.45">
      <c r="A1" s="26" t="s">
        <v>1106</v>
      </c>
    </row>
    <row r="2" spans="1:8" x14ac:dyDescent="0.45">
      <c r="A2" s="131" t="s">
        <v>117</v>
      </c>
      <c r="B2" s="131" t="s">
        <v>1112</v>
      </c>
      <c r="C2" s="131" t="s">
        <v>1113</v>
      </c>
    </row>
    <row r="3" spans="1:8" x14ac:dyDescent="0.45">
      <c r="A3" s="1">
        <f>B9+B14+B17</f>
        <v>2542003.31</v>
      </c>
      <c r="B3" s="1">
        <f>C9+C14+C17</f>
        <v>26035.929425545972</v>
      </c>
      <c r="C3" s="1">
        <f>SUM(D9,D14,C17)</f>
        <v>60280.56281363537</v>
      </c>
      <c r="H3" s="1"/>
    </row>
    <row r="5" spans="1:8" x14ac:dyDescent="0.45">
      <c r="A5" s="131" t="s">
        <v>97</v>
      </c>
      <c r="B5" s="131" t="s">
        <v>117</v>
      </c>
      <c r="C5" s="131" t="s">
        <v>1112</v>
      </c>
      <c r="D5" s="131" t="s">
        <v>1113</v>
      </c>
    </row>
    <row r="6" spans="1:8" x14ac:dyDescent="0.45">
      <c r="A6" s="26" t="s">
        <v>1108</v>
      </c>
    </row>
    <row r="7" spans="1:8" x14ac:dyDescent="0.45">
      <c r="A7" t="s">
        <v>100</v>
      </c>
      <c r="B7" s="3">
        <f>SUM('WS Assets'!E494,'WS Assets'!E499,'WS Assets'!E508,'WS Assets'!E509,'WS Assets'!E558,'WS Assets'!E1187)</f>
        <v>1093301.71</v>
      </c>
      <c r="C7" s="3">
        <f>SUM('WS Assets'!K494,'WS Assets'!K499,'WS Assets'!K508,'WS Assets'!K509,'WS Assets'!K558,'WS Assets'!K1187)</f>
        <v>9698.8997357142725</v>
      </c>
      <c r="D7" s="3">
        <f>SUM('WS Assets'!I494,'WS Assets'!I499,'WS Assets'!I508,'WS Assets'!I509,'WS Assets'!I558,'WS Assets'!I1187)</f>
        <v>30918.770828571433</v>
      </c>
    </row>
    <row r="8" spans="1:8" x14ac:dyDescent="0.45">
      <c r="A8" t="s">
        <v>1110</v>
      </c>
      <c r="B8" s="3">
        <v>75000</v>
      </c>
      <c r="C8" s="1">
        <f>B8/B7*C7</f>
        <v>665.3401101682814</v>
      </c>
      <c r="D8" s="1">
        <f>B8/B7*D7</f>
        <v>2121.0136149360428</v>
      </c>
    </row>
    <row r="9" spans="1:8" x14ac:dyDescent="0.45">
      <c r="A9" t="s">
        <v>99</v>
      </c>
      <c r="B9" s="1">
        <f>B7-B8</f>
        <v>1018301.71</v>
      </c>
      <c r="C9" s="1">
        <f t="shared" ref="C9:D9" si="0">C7-C8</f>
        <v>9033.5596255459914</v>
      </c>
      <c r="D9" s="1">
        <f t="shared" si="0"/>
        <v>28797.757213635388</v>
      </c>
    </row>
    <row r="11" spans="1:8" x14ac:dyDescent="0.45">
      <c r="A11" s="26" t="s">
        <v>1107</v>
      </c>
    </row>
    <row r="12" spans="1:8" x14ac:dyDescent="0.45">
      <c r="A12" t="s">
        <v>100</v>
      </c>
      <c r="B12" s="3">
        <f>SUM('WS Assets'!E1194)</f>
        <v>1548043.58</v>
      </c>
      <c r="C12" s="3">
        <f>SUM('WS Assets'!K1194)</f>
        <v>15480.435800000001</v>
      </c>
      <c r="D12" s="3">
        <f>SUM('WS Assets'!I1194)</f>
        <v>30960.871600000002</v>
      </c>
    </row>
    <row r="13" spans="1:8" x14ac:dyDescent="0.45">
      <c r="A13" t="s">
        <v>98</v>
      </c>
      <c r="B13" s="3">
        <v>100000</v>
      </c>
      <c r="C13" s="1">
        <f>B13/B12*C12</f>
        <v>999.99999999999989</v>
      </c>
      <c r="D13" s="1">
        <f>B13/B12*D12</f>
        <v>1999.9999999999998</v>
      </c>
    </row>
    <row r="14" spans="1:8" x14ac:dyDescent="0.45">
      <c r="A14" t="s">
        <v>99</v>
      </c>
      <c r="B14" s="1">
        <f>B12-B13</f>
        <v>1448043.58</v>
      </c>
      <c r="C14" s="1">
        <f t="shared" ref="C14:D14" si="1">C12-C13</f>
        <v>14480.435800000001</v>
      </c>
      <c r="D14" s="1">
        <f t="shared" si="1"/>
        <v>28960.871600000002</v>
      </c>
    </row>
    <row r="16" spans="1:8" x14ac:dyDescent="0.45">
      <c r="A16" s="26" t="s">
        <v>1109</v>
      </c>
    </row>
    <row r="17" spans="1:4" x14ac:dyDescent="0.45">
      <c r="A17" t="s">
        <v>99</v>
      </c>
      <c r="B17" s="1">
        <f>SUM('WS Assets'!E12,'WS Assets'!E121)</f>
        <v>75658.02</v>
      </c>
      <c r="C17" s="1">
        <f>SUM('WS Assets'!K12,'WS Assets'!K121)</f>
        <v>2521.9339999999793</v>
      </c>
      <c r="D17" s="1">
        <f>SUM('WS Assets'!I12,'WS Assets'!I121)</f>
        <v>5043.8679999999995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E6E4A-684D-4ED2-81E3-2953C26DCAB9}">
  <dimension ref="A1:L1205"/>
  <sheetViews>
    <sheetView workbookViewId="0">
      <selection activeCell="E121" sqref="E121"/>
    </sheetView>
  </sheetViews>
  <sheetFormatPr defaultRowHeight="14.25" x14ac:dyDescent="0.45"/>
  <cols>
    <col min="3" max="3" width="53.86328125" customWidth="1"/>
    <col min="4" max="4" width="16.73046875" customWidth="1"/>
    <col min="5" max="5" width="12.86328125" customWidth="1"/>
    <col min="9" max="9" width="16" customWidth="1"/>
    <col min="11" max="11" width="13.1328125" customWidth="1"/>
    <col min="12" max="12" width="12" customWidth="1"/>
  </cols>
  <sheetData>
    <row r="1" spans="1:12" x14ac:dyDescent="0.45">
      <c r="A1" s="63" t="s">
        <v>101</v>
      </c>
      <c r="B1" s="64"/>
      <c r="C1" s="65"/>
      <c r="D1" s="66"/>
      <c r="E1" s="67"/>
      <c r="F1" s="68"/>
      <c r="G1" s="68"/>
      <c r="H1" s="68"/>
      <c r="I1" s="67"/>
      <c r="J1" s="109"/>
      <c r="K1" s="69"/>
      <c r="L1" s="65">
        <v>45565</v>
      </c>
    </row>
    <row r="2" spans="1:12" x14ac:dyDescent="0.45">
      <c r="A2" s="70"/>
      <c r="B2" s="70" t="s">
        <v>102</v>
      </c>
      <c r="C2" s="71" t="s">
        <v>103</v>
      </c>
      <c r="D2" s="71" t="s">
        <v>104</v>
      </c>
      <c r="E2" s="72" t="s">
        <v>105</v>
      </c>
      <c r="F2" s="73" t="s">
        <v>106</v>
      </c>
      <c r="G2" s="74" t="s">
        <v>107</v>
      </c>
      <c r="H2" s="73" t="s">
        <v>108</v>
      </c>
      <c r="I2" s="73" t="s">
        <v>109</v>
      </c>
      <c r="J2" s="73" t="s">
        <v>110</v>
      </c>
      <c r="K2" s="73" t="s">
        <v>111</v>
      </c>
      <c r="L2" s="75" t="s">
        <v>112</v>
      </c>
    </row>
    <row r="3" spans="1:12" ht="39" x14ac:dyDescent="0.45">
      <c r="A3" s="76" t="s">
        <v>113</v>
      </c>
      <c r="B3" s="76" t="s">
        <v>114</v>
      </c>
      <c r="C3" s="76" t="s">
        <v>115</v>
      </c>
      <c r="D3" s="77" t="s">
        <v>116</v>
      </c>
      <c r="E3" s="78" t="s">
        <v>117</v>
      </c>
      <c r="F3" s="79" t="s">
        <v>118</v>
      </c>
      <c r="G3" s="80" t="s">
        <v>119</v>
      </c>
      <c r="H3" s="79" t="s">
        <v>120</v>
      </c>
      <c r="I3" s="78" t="s">
        <v>121</v>
      </c>
      <c r="J3" s="78" t="s">
        <v>122</v>
      </c>
      <c r="K3" s="78" t="s">
        <v>123</v>
      </c>
      <c r="L3" s="78" t="s">
        <v>124</v>
      </c>
    </row>
    <row r="4" spans="1:12" x14ac:dyDescent="0.45">
      <c r="A4" s="81"/>
      <c r="B4" s="81" t="s">
        <v>125</v>
      </c>
      <c r="C4" s="82" t="s">
        <v>126</v>
      </c>
      <c r="D4" s="83" t="s">
        <v>127</v>
      </c>
      <c r="E4" s="84" t="s">
        <v>128</v>
      </c>
      <c r="F4" s="84" t="s">
        <v>128</v>
      </c>
      <c r="G4" s="85" t="s">
        <v>129</v>
      </c>
      <c r="H4" s="85" t="s">
        <v>129</v>
      </c>
      <c r="I4" s="84" t="s">
        <v>130</v>
      </c>
      <c r="J4" s="84" t="s">
        <v>131</v>
      </c>
      <c r="K4" s="84" t="s">
        <v>132</v>
      </c>
      <c r="L4" s="86" t="s">
        <v>128</v>
      </c>
    </row>
    <row r="5" spans="1:12" x14ac:dyDescent="0.45">
      <c r="A5" s="87"/>
      <c r="B5" s="88"/>
      <c r="C5" s="88"/>
      <c r="D5" s="89"/>
      <c r="E5" s="90">
        <v>15467330.359999992</v>
      </c>
      <c r="F5" s="90"/>
      <c r="G5" s="91"/>
      <c r="H5" s="110"/>
      <c r="I5" s="90">
        <v>537522.61880714388</v>
      </c>
      <c r="J5" s="90">
        <v>0</v>
      </c>
      <c r="K5" s="90">
        <v>5337165.4334557699</v>
      </c>
      <c r="L5" s="90">
        <v>10244883.398379935</v>
      </c>
    </row>
    <row r="6" spans="1:12" x14ac:dyDescent="0.45">
      <c r="A6" s="87"/>
      <c r="B6" s="92"/>
      <c r="C6" s="87"/>
      <c r="D6" s="93"/>
      <c r="E6" s="94"/>
      <c r="F6" s="74"/>
      <c r="G6" s="84"/>
      <c r="H6" s="95"/>
      <c r="I6" s="96"/>
      <c r="J6" s="96"/>
      <c r="K6" s="96"/>
      <c r="L6" s="97"/>
    </row>
    <row r="7" spans="1:12" x14ac:dyDescent="0.45">
      <c r="A7" s="98" t="s">
        <v>133</v>
      </c>
      <c r="B7" s="87">
        <v>311</v>
      </c>
      <c r="C7" s="98" t="s">
        <v>134</v>
      </c>
      <c r="D7" s="93">
        <v>44883</v>
      </c>
      <c r="E7" s="99">
        <v>4963.87</v>
      </c>
      <c r="F7" s="100"/>
      <c r="G7" s="101">
        <v>25</v>
      </c>
      <c r="H7" s="102">
        <v>2</v>
      </c>
      <c r="I7" s="99">
        <v>198.5548</v>
      </c>
      <c r="J7" s="99">
        <v>0</v>
      </c>
      <c r="K7" s="99">
        <v>231.64726666666866</v>
      </c>
      <c r="L7" s="103">
        <v>4732.2227333333312</v>
      </c>
    </row>
    <row r="8" spans="1:12" x14ac:dyDescent="0.45">
      <c r="A8" s="98" t="s">
        <v>133</v>
      </c>
      <c r="B8" s="87">
        <v>346</v>
      </c>
      <c r="C8" s="98" t="s">
        <v>135</v>
      </c>
      <c r="D8" s="93">
        <v>44977</v>
      </c>
      <c r="E8" s="99">
        <v>11590.06</v>
      </c>
      <c r="F8" s="100"/>
      <c r="G8" s="101">
        <v>10</v>
      </c>
      <c r="H8" s="102">
        <v>2</v>
      </c>
      <c r="I8" s="99">
        <v>1159.0059999999999</v>
      </c>
      <c r="J8" s="99">
        <v>0</v>
      </c>
      <c r="K8" s="99">
        <v>1062.4221666666745</v>
      </c>
      <c r="L8" s="103">
        <v>10527.637833333325</v>
      </c>
    </row>
    <row r="9" spans="1:12" x14ac:dyDescent="0.45">
      <c r="A9" s="98" t="s">
        <v>133</v>
      </c>
      <c r="B9" s="87">
        <v>346</v>
      </c>
      <c r="C9" s="98" t="s">
        <v>136</v>
      </c>
      <c r="D9" s="93">
        <v>45184</v>
      </c>
      <c r="E9" s="99">
        <v>7767.12</v>
      </c>
      <c r="F9" s="100"/>
      <c r="G9" s="101">
        <v>10</v>
      </c>
      <c r="H9" s="102">
        <v>2</v>
      </c>
      <c r="I9" s="99">
        <v>776.71199999999999</v>
      </c>
      <c r="J9" s="99">
        <v>0</v>
      </c>
      <c r="K9" s="99">
        <v>258.90399999999863</v>
      </c>
      <c r="L9" s="103">
        <v>7508.2160000000013</v>
      </c>
    </row>
    <row r="10" spans="1:12" x14ac:dyDescent="0.45">
      <c r="A10" s="98" t="s">
        <v>133</v>
      </c>
      <c r="B10" s="87">
        <v>346</v>
      </c>
      <c r="C10" s="98" t="s">
        <v>137</v>
      </c>
      <c r="D10" s="93">
        <v>44980</v>
      </c>
      <c r="E10" s="99">
        <v>11399.84</v>
      </c>
      <c r="F10" s="100"/>
      <c r="G10" s="101">
        <v>10</v>
      </c>
      <c r="H10" s="102">
        <v>2</v>
      </c>
      <c r="I10" s="99">
        <v>1139.9839999999999</v>
      </c>
      <c r="J10" s="99">
        <v>0</v>
      </c>
      <c r="K10" s="99">
        <v>1044.9853333333303</v>
      </c>
      <c r="L10" s="103">
        <v>10354.85466666667</v>
      </c>
    </row>
    <row r="11" spans="1:12" x14ac:dyDescent="0.45">
      <c r="A11" s="98" t="s">
        <v>133</v>
      </c>
      <c r="B11" s="87">
        <v>310</v>
      </c>
      <c r="C11" s="98" t="s">
        <v>138</v>
      </c>
      <c r="D11" s="93">
        <v>45219</v>
      </c>
      <c r="E11" s="99">
        <v>27011.9</v>
      </c>
      <c r="F11" s="100"/>
      <c r="G11" s="101">
        <v>15</v>
      </c>
      <c r="H11" s="102">
        <v>1</v>
      </c>
      <c r="I11" s="99">
        <v>1800.7933333333335</v>
      </c>
      <c r="J11" s="99">
        <v>0</v>
      </c>
      <c r="K11" s="99">
        <v>450.19833333333372</v>
      </c>
      <c r="L11" s="103">
        <v>26561.701666666668</v>
      </c>
    </row>
    <row r="12" spans="1:12" x14ac:dyDescent="0.45">
      <c r="A12" s="98" t="s">
        <v>133</v>
      </c>
      <c r="B12" s="87">
        <v>310</v>
      </c>
      <c r="C12" s="98" t="s">
        <v>139</v>
      </c>
      <c r="D12" s="93">
        <v>45131</v>
      </c>
      <c r="E12" s="99">
        <v>50446.36</v>
      </c>
      <c r="F12" s="100"/>
      <c r="G12" s="101">
        <v>15</v>
      </c>
      <c r="H12" s="102">
        <v>2</v>
      </c>
      <c r="I12" s="99">
        <v>3363.0906666666665</v>
      </c>
      <c r="J12" s="99">
        <v>0</v>
      </c>
      <c r="K12" s="99">
        <v>1681.5453333333135</v>
      </c>
      <c r="L12" s="103">
        <v>48764.814666666687</v>
      </c>
    </row>
    <row r="13" spans="1:12" x14ac:dyDescent="0.45">
      <c r="A13" s="98" t="s">
        <v>133</v>
      </c>
      <c r="B13" s="87">
        <v>310</v>
      </c>
      <c r="C13" s="98" t="s">
        <v>140</v>
      </c>
      <c r="D13" s="93">
        <v>45131</v>
      </c>
      <c r="E13" s="99">
        <v>31198.63</v>
      </c>
      <c r="F13" s="100"/>
      <c r="G13" s="101">
        <v>15</v>
      </c>
      <c r="H13" s="102">
        <v>2</v>
      </c>
      <c r="I13" s="99">
        <v>2079.9086666666667</v>
      </c>
      <c r="J13" s="99">
        <v>0</v>
      </c>
      <c r="K13" s="99">
        <v>1039.9543333333422</v>
      </c>
      <c r="L13" s="103">
        <v>30158.675666666659</v>
      </c>
    </row>
    <row r="14" spans="1:12" x14ac:dyDescent="0.45">
      <c r="A14" s="98" t="s">
        <v>133</v>
      </c>
      <c r="B14" s="87">
        <v>334</v>
      </c>
      <c r="C14" s="98" t="s">
        <v>141</v>
      </c>
      <c r="D14" s="93">
        <v>44958</v>
      </c>
      <c r="E14" s="99">
        <v>1219.98</v>
      </c>
      <c r="F14" s="100"/>
      <c r="G14" s="101">
        <v>25</v>
      </c>
      <c r="H14" s="102">
        <v>2</v>
      </c>
      <c r="I14" s="99">
        <v>48.799199999999999</v>
      </c>
      <c r="J14" s="99">
        <v>0</v>
      </c>
      <c r="K14" s="99">
        <v>44.732600000001185</v>
      </c>
      <c r="L14" s="103">
        <v>1175.2473999999988</v>
      </c>
    </row>
    <row r="15" spans="1:12" x14ac:dyDescent="0.45">
      <c r="A15" s="98" t="s">
        <v>133</v>
      </c>
      <c r="B15" s="87">
        <v>334</v>
      </c>
      <c r="C15" s="98" t="s">
        <v>141</v>
      </c>
      <c r="D15" s="93">
        <v>44963</v>
      </c>
      <c r="E15" s="99">
        <v>5.77</v>
      </c>
      <c r="F15" s="100"/>
      <c r="G15" s="101">
        <v>25</v>
      </c>
      <c r="H15" s="102">
        <v>2</v>
      </c>
      <c r="I15" s="99">
        <v>0.23079999999999998</v>
      </c>
      <c r="J15" s="99">
        <v>0</v>
      </c>
      <c r="K15" s="99">
        <v>0.21156666666666535</v>
      </c>
      <c r="L15" s="103">
        <v>5.5584333333333342</v>
      </c>
    </row>
    <row r="16" spans="1:12" x14ac:dyDescent="0.45">
      <c r="A16" s="98" t="s">
        <v>133</v>
      </c>
      <c r="B16" s="87">
        <v>334</v>
      </c>
      <c r="C16" s="98" t="s">
        <v>141</v>
      </c>
      <c r="D16" s="93">
        <v>45184</v>
      </c>
      <c r="E16" s="99">
        <v>164.28</v>
      </c>
      <c r="F16" s="100"/>
      <c r="G16" s="101">
        <v>25</v>
      </c>
      <c r="H16" s="102">
        <v>2</v>
      </c>
      <c r="I16" s="99">
        <v>6.5712000000000002</v>
      </c>
      <c r="J16" s="99">
        <v>0</v>
      </c>
      <c r="K16" s="99">
        <v>2.1903999999999542</v>
      </c>
      <c r="L16" s="103">
        <v>162.08960000000005</v>
      </c>
    </row>
    <row r="17" spans="1:12" x14ac:dyDescent="0.45">
      <c r="A17" s="98" t="s">
        <v>133</v>
      </c>
      <c r="B17" s="87">
        <v>334</v>
      </c>
      <c r="C17" s="98" t="s">
        <v>141</v>
      </c>
      <c r="D17" s="93">
        <v>45196</v>
      </c>
      <c r="E17" s="99">
        <v>559.9</v>
      </c>
      <c r="F17" s="100"/>
      <c r="G17" s="101">
        <v>25</v>
      </c>
      <c r="H17" s="102">
        <v>2</v>
      </c>
      <c r="I17" s="99">
        <v>22.396000000000001</v>
      </c>
      <c r="J17" s="99">
        <v>0</v>
      </c>
      <c r="K17" s="99">
        <v>7.4653333333335468</v>
      </c>
      <c r="L17" s="103">
        <v>552.43466666666643</v>
      </c>
    </row>
    <row r="18" spans="1:12" x14ac:dyDescent="0.45">
      <c r="A18" s="98" t="s">
        <v>133</v>
      </c>
      <c r="B18" s="87">
        <v>334</v>
      </c>
      <c r="C18" s="98" t="s">
        <v>141</v>
      </c>
      <c r="D18" s="93">
        <v>45202</v>
      </c>
      <c r="E18" s="99">
        <v>175.2</v>
      </c>
      <c r="F18" s="100"/>
      <c r="G18" s="101">
        <v>25</v>
      </c>
      <c r="H18" s="102">
        <v>1</v>
      </c>
      <c r="I18" s="99">
        <v>7.0079999999999991</v>
      </c>
      <c r="J18" s="99">
        <v>0</v>
      </c>
      <c r="K18" s="99">
        <v>1.7520000000000095</v>
      </c>
      <c r="L18" s="103">
        <v>173.44799999999998</v>
      </c>
    </row>
    <row r="19" spans="1:12" x14ac:dyDescent="0.45">
      <c r="A19" s="98" t="s">
        <v>133</v>
      </c>
      <c r="B19" s="87">
        <v>334</v>
      </c>
      <c r="C19" s="98" t="s">
        <v>141</v>
      </c>
      <c r="D19" s="93">
        <v>45226</v>
      </c>
      <c r="E19" s="99">
        <v>657.99</v>
      </c>
      <c r="F19" s="100"/>
      <c r="G19" s="101">
        <v>25</v>
      </c>
      <c r="H19" s="102">
        <v>1</v>
      </c>
      <c r="I19" s="99">
        <v>26.319600000000001</v>
      </c>
      <c r="J19" s="99">
        <v>0</v>
      </c>
      <c r="K19" s="99">
        <v>6.579900000000066</v>
      </c>
      <c r="L19" s="103">
        <v>651.41009999999994</v>
      </c>
    </row>
    <row r="20" spans="1:12" x14ac:dyDescent="0.45">
      <c r="A20" s="98" t="s">
        <v>133</v>
      </c>
      <c r="B20" s="87">
        <v>334</v>
      </c>
      <c r="C20" s="98" t="s">
        <v>141</v>
      </c>
      <c r="D20" s="93">
        <v>45229</v>
      </c>
      <c r="E20" s="99">
        <v>61.04</v>
      </c>
      <c r="F20" s="100"/>
      <c r="G20" s="101">
        <v>25</v>
      </c>
      <c r="H20" s="102">
        <v>1</v>
      </c>
      <c r="I20" s="99">
        <v>2.4415999999999998</v>
      </c>
      <c r="J20" s="99">
        <v>0</v>
      </c>
      <c r="K20" s="99">
        <v>0.61039999999999139</v>
      </c>
      <c r="L20" s="103">
        <v>60.429600000000008</v>
      </c>
    </row>
    <row r="21" spans="1:12" x14ac:dyDescent="0.45">
      <c r="A21" s="98" t="s">
        <v>133</v>
      </c>
      <c r="B21" s="87">
        <v>334</v>
      </c>
      <c r="C21" s="98" t="s">
        <v>141</v>
      </c>
      <c r="D21" s="93">
        <v>45231</v>
      </c>
      <c r="E21" s="99">
        <v>65.19</v>
      </c>
      <c r="F21" s="100"/>
      <c r="G21" s="101">
        <v>25</v>
      </c>
      <c r="H21" s="102">
        <v>1</v>
      </c>
      <c r="I21" s="99">
        <v>2.6075999999999997</v>
      </c>
      <c r="J21" s="99">
        <v>0</v>
      </c>
      <c r="K21" s="99">
        <v>0.434599999999989</v>
      </c>
      <c r="L21" s="103">
        <v>64.755400000000009</v>
      </c>
    </row>
    <row r="22" spans="1:12" x14ac:dyDescent="0.45">
      <c r="A22" s="98" t="s">
        <v>133</v>
      </c>
      <c r="B22" s="87">
        <v>334</v>
      </c>
      <c r="C22" s="98" t="s">
        <v>141</v>
      </c>
      <c r="D22" s="93">
        <v>45236</v>
      </c>
      <c r="E22" s="99">
        <v>58.93</v>
      </c>
      <c r="F22" s="100"/>
      <c r="G22" s="101">
        <v>25</v>
      </c>
      <c r="H22" s="102">
        <v>1</v>
      </c>
      <c r="I22" s="99">
        <v>2.3572000000000002</v>
      </c>
      <c r="J22" s="99">
        <v>0</v>
      </c>
      <c r="K22" s="99">
        <v>0.39286666666666292</v>
      </c>
      <c r="L22" s="103">
        <v>58.537133333333337</v>
      </c>
    </row>
    <row r="23" spans="1:12" x14ac:dyDescent="0.45">
      <c r="A23" s="98" t="s">
        <v>133</v>
      </c>
      <c r="B23" s="87">
        <v>334</v>
      </c>
      <c r="C23" s="98" t="s">
        <v>141</v>
      </c>
      <c r="D23" s="93">
        <v>45238</v>
      </c>
      <c r="E23" s="99">
        <v>687.85</v>
      </c>
      <c r="F23" s="100"/>
      <c r="G23" s="101">
        <v>25</v>
      </c>
      <c r="H23" s="102">
        <v>1</v>
      </c>
      <c r="I23" s="99">
        <v>27.513999999999999</v>
      </c>
      <c r="J23" s="99">
        <v>0</v>
      </c>
      <c r="K23" s="99">
        <v>4.5856666666666115</v>
      </c>
      <c r="L23" s="103">
        <v>683.26433333333341</v>
      </c>
    </row>
    <row r="24" spans="1:12" x14ac:dyDescent="0.45">
      <c r="A24" s="98" t="s">
        <v>133</v>
      </c>
      <c r="B24" s="87">
        <v>334</v>
      </c>
      <c r="C24" s="98" t="s">
        <v>141</v>
      </c>
      <c r="D24" s="93">
        <v>45245</v>
      </c>
      <c r="E24" s="99">
        <v>755.6</v>
      </c>
      <c r="F24" s="100"/>
      <c r="G24" s="101">
        <v>25</v>
      </c>
      <c r="H24" s="102">
        <v>1</v>
      </c>
      <c r="I24" s="99">
        <v>30.224</v>
      </c>
      <c r="J24" s="99">
        <v>0</v>
      </c>
      <c r="K24" s="99">
        <v>5.0373333333334358</v>
      </c>
      <c r="L24" s="103">
        <v>750.56266666666659</v>
      </c>
    </row>
    <row r="25" spans="1:12" x14ac:dyDescent="0.45">
      <c r="A25" s="98" t="s">
        <v>133</v>
      </c>
      <c r="B25" s="87">
        <v>335</v>
      </c>
      <c r="C25" s="98" t="s">
        <v>142</v>
      </c>
      <c r="D25" s="93">
        <v>45184</v>
      </c>
      <c r="E25" s="99">
        <v>58.4</v>
      </c>
      <c r="F25" s="100"/>
      <c r="G25" s="101">
        <v>50</v>
      </c>
      <c r="H25" s="102">
        <v>2</v>
      </c>
      <c r="I25" s="99">
        <v>1.1679999999999999</v>
      </c>
      <c r="J25" s="99">
        <v>0</v>
      </c>
      <c r="K25" s="99">
        <v>0.38933333333332598</v>
      </c>
      <c r="L25" s="103">
        <v>58.010666666666673</v>
      </c>
    </row>
    <row r="26" spans="1:12" x14ac:dyDescent="0.45">
      <c r="A26" s="98" t="s">
        <v>133</v>
      </c>
      <c r="B26" s="87">
        <v>346</v>
      </c>
      <c r="C26" s="98" t="s">
        <v>143</v>
      </c>
      <c r="D26" s="93">
        <v>44978</v>
      </c>
      <c r="E26" s="99">
        <v>15138.2</v>
      </c>
      <c r="F26" s="100"/>
      <c r="G26" s="101">
        <v>10</v>
      </c>
      <c r="H26" s="102">
        <v>2</v>
      </c>
      <c r="I26" s="99">
        <v>1513.8200000000002</v>
      </c>
      <c r="J26" s="99">
        <v>0</v>
      </c>
      <c r="K26" s="99">
        <v>1387.6683333333331</v>
      </c>
      <c r="L26" s="103">
        <v>13750.531666666668</v>
      </c>
    </row>
    <row r="27" spans="1:12" x14ac:dyDescent="0.45">
      <c r="A27" s="98" t="s">
        <v>133</v>
      </c>
      <c r="B27" s="87">
        <v>348</v>
      </c>
      <c r="C27" s="98" t="s">
        <v>144</v>
      </c>
      <c r="D27" s="93">
        <v>45223</v>
      </c>
      <c r="E27" s="99">
        <v>4356.6400000000003</v>
      </c>
      <c r="F27" s="100"/>
      <c r="G27" s="101">
        <v>10</v>
      </c>
      <c r="H27" s="102">
        <v>1</v>
      </c>
      <c r="I27" s="99">
        <v>435.66400000000004</v>
      </c>
      <c r="J27" s="99">
        <v>0</v>
      </c>
      <c r="K27" s="99">
        <v>108.91600000000108</v>
      </c>
      <c r="L27" s="103">
        <v>4247.7239999999993</v>
      </c>
    </row>
    <row r="28" spans="1:12" x14ac:dyDescent="0.45">
      <c r="A28" s="98" t="s">
        <v>133</v>
      </c>
      <c r="B28" s="87">
        <v>348</v>
      </c>
      <c r="C28" s="98" t="s">
        <v>145</v>
      </c>
      <c r="D28" s="93">
        <v>45231</v>
      </c>
      <c r="E28" s="99">
        <v>33319.040000000001</v>
      </c>
      <c r="F28" s="100"/>
      <c r="G28" s="101">
        <v>10</v>
      </c>
      <c r="H28" s="102">
        <v>1</v>
      </c>
      <c r="I28" s="99">
        <v>3331.904</v>
      </c>
      <c r="J28" s="99">
        <v>0</v>
      </c>
      <c r="K28" s="99">
        <v>555.31733333333614</v>
      </c>
      <c r="L28" s="103">
        <v>32763.722666666665</v>
      </c>
    </row>
    <row r="29" spans="1:12" x14ac:dyDescent="0.45">
      <c r="A29" s="98" t="s">
        <v>133</v>
      </c>
      <c r="B29" s="87">
        <v>348</v>
      </c>
      <c r="C29" s="98" t="s">
        <v>146</v>
      </c>
      <c r="D29" s="93">
        <v>45078</v>
      </c>
      <c r="E29" s="99">
        <v>5603.16</v>
      </c>
      <c r="F29" s="100"/>
      <c r="G29" s="101">
        <v>10</v>
      </c>
      <c r="H29" s="102">
        <v>2</v>
      </c>
      <c r="I29" s="99">
        <v>560.31600000000003</v>
      </c>
      <c r="J29" s="99">
        <v>0</v>
      </c>
      <c r="K29" s="99">
        <v>326.85100000000148</v>
      </c>
      <c r="L29" s="103">
        <v>5276.3089999999984</v>
      </c>
    </row>
    <row r="30" spans="1:12" x14ac:dyDescent="0.45">
      <c r="A30" s="98" t="s">
        <v>133</v>
      </c>
      <c r="B30" s="87">
        <v>348</v>
      </c>
      <c r="C30" s="98" t="s">
        <v>147</v>
      </c>
      <c r="D30" s="93">
        <v>44805</v>
      </c>
      <c r="E30" s="99">
        <v>15220</v>
      </c>
      <c r="F30" s="100"/>
      <c r="G30" s="101">
        <v>10</v>
      </c>
      <c r="H30" s="102">
        <v>3</v>
      </c>
      <c r="I30" s="99">
        <v>1522</v>
      </c>
      <c r="J30" s="99">
        <v>0</v>
      </c>
      <c r="K30" s="99">
        <v>2029.333333333343</v>
      </c>
      <c r="L30" s="103">
        <v>13190.666666666657</v>
      </c>
    </row>
    <row r="31" spans="1:12" x14ac:dyDescent="0.45">
      <c r="A31" s="98" t="s">
        <v>133</v>
      </c>
      <c r="B31" s="87">
        <v>333</v>
      </c>
      <c r="C31" s="98" t="s">
        <v>148</v>
      </c>
      <c r="D31" s="93">
        <v>44985</v>
      </c>
      <c r="E31" s="99">
        <v>1619.68</v>
      </c>
      <c r="F31" s="100"/>
      <c r="G31" s="101">
        <v>50</v>
      </c>
      <c r="H31" s="102">
        <v>2</v>
      </c>
      <c r="I31" s="99">
        <v>32.393599999999999</v>
      </c>
      <c r="J31" s="99">
        <v>0</v>
      </c>
      <c r="K31" s="99">
        <v>29.694133333333639</v>
      </c>
      <c r="L31" s="103">
        <v>1589.9858666666664</v>
      </c>
    </row>
    <row r="32" spans="1:12" x14ac:dyDescent="0.45">
      <c r="A32" s="98" t="s">
        <v>133</v>
      </c>
      <c r="B32" s="87">
        <v>303</v>
      </c>
      <c r="C32" s="98" t="s">
        <v>149</v>
      </c>
      <c r="D32" s="93">
        <v>44985</v>
      </c>
      <c r="E32" s="99">
        <v>2303.87</v>
      </c>
      <c r="F32" s="100"/>
      <c r="G32" s="101">
        <v>0</v>
      </c>
      <c r="H32" s="102">
        <v>0</v>
      </c>
      <c r="I32" s="99">
        <v>0</v>
      </c>
      <c r="J32" s="99">
        <v>0</v>
      </c>
      <c r="K32" s="99">
        <v>0</v>
      </c>
      <c r="L32" s="103">
        <v>2303.87</v>
      </c>
    </row>
    <row r="33" spans="1:12" x14ac:dyDescent="0.45">
      <c r="A33" s="98" t="s">
        <v>133</v>
      </c>
      <c r="B33" s="87">
        <v>334</v>
      </c>
      <c r="C33" s="98" t="s">
        <v>150</v>
      </c>
      <c r="D33" s="93">
        <v>44951</v>
      </c>
      <c r="E33" s="99">
        <v>380.97</v>
      </c>
      <c r="F33" s="100"/>
      <c r="G33" s="101">
        <v>25</v>
      </c>
      <c r="H33" s="102">
        <v>2</v>
      </c>
      <c r="I33" s="99">
        <v>15.238800000000001</v>
      </c>
      <c r="J33" s="99">
        <v>0</v>
      </c>
      <c r="K33" s="99">
        <v>15.238800000000083</v>
      </c>
      <c r="L33" s="103">
        <v>365.73119999999994</v>
      </c>
    </row>
    <row r="34" spans="1:12" x14ac:dyDescent="0.45">
      <c r="A34" s="98" t="s">
        <v>133</v>
      </c>
      <c r="B34" s="87">
        <v>335</v>
      </c>
      <c r="C34" s="98" t="s">
        <v>151</v>
      </c>
      <c r="D34" s="93">
        <v>45078</v>
      </c>
      <c r="E34" s="99">
        <v>1142.4000000000001</v>
      </c>
      <c r="F34" s="100"/>
      <c r="G34" s="101">
        <v>50</v>
      </c>
      <c r="H34" s="102">
        <v>2</v>
      </c>
      <c r="I34" s="99">
        <v>22.848000000000003</v>
      </c>
      <c r="J34" s="99">
        <v>0</v>
      </c>
      <c r="K34" s="99">
        <v>13.327999999999975</v>
      </c>
      <c r="L34" s="103">
        <v>1129.0720000000001</v>
      </c>
    </row>
    <row r="35" spans="1:12" x14ac:dyDescent="0.45">
      <c r="A35" s="98" t="s">
        <v>133</v>
      </c>
      <c r="B35" s="87">
        <v>304</v>
      </c>
      <c r="C35" s="98" t="s">
        <v>152</v>
      </c>
      <c r="D35" s="93">
        <v>45096</v>
      </c>
      <c r="E35" s="99">
        <v>4791.03</v>
      </c>
      <c r="F35" s="100"/>
      <c r="G35" s="101">
        <v>35</v>
      </c>
      <c r="H35" s="102">
        <v>2</v>
      </c>
      <c r="I35" s="99">
        <v>136.88657142857141</v>
      </c>
      <c r="J35" s="99">
        <v>0</v>
      </c>
      <c r="K35" s="99">
        <v>79.850499999997737</v>
      </c>
      <c r="L35" s="103">
        <v>4711.179500000002</v>
      </c>
    </row>
    <row r="36" spans="1:12" x14ac:dyDescent="0.45">
      <c r="A36" s="98" t="s">
        <v>153</v>
      </c>
      <c r="B36" s="87">
        <v>341</v>
      </c>
      <c r="C36" s="98" t="s">
        <v>154</v>
      </c>
      <c r="D36" s="93">
        <v>39264</v>
      </c>
      <c r="E36" s="99">
        <v>33573</v>
      </c>
      <c r="F36" s="100"/>
      <c r="G36" s="101">
        <v>5</v>
      </c>
      <c r="H36" s="102">
        <v>5</v>
      </c>
      <c r="I36" s="99">
        <v>0</v>
      </c>
      <c r="J36" s="99">
        <v>0</v>
      </c>
      <c r="K36" s="99">
        <v>33573</v>
      </c>
      <c r="L36" s="103">
        <v>0</v>
      </c>
    </row>
    <row r="37" spans="1:12" x14ac:dyDescent="0.45">
      <c r="A37" s="98" t="s">
        <v>153</v>
      </c>
      <c r="B37" s="87">
        <v>341</v>
      </c>
      <c r="C37" s="98" t="s">
        <v>154</v>
      </c>
      <c r="D37" s="93">
        <v>38534</v>
      </c>
      <c r="E37" s="99">
        <v>7912</v>
      </c>
      <c r="F37" s="100"/>
      <c r="G37" s="101">
        <v>5</v>
      </c>
      <c r="H37" s="102">
        <v>5</v>
      </c>
      <c r="I37" s="99">
        <v>0</v>
      </c>
      <c r="J37" s="99">
        <v>0</v>
      </c>
      <c r="K37" s="99">
        <v>7912</v>
      </c>
      <c r="L37" s="103">
        <v>0</v>
      </c>
    </row>
    <row r="38" spans="1:12" x14ac:dyDescent="0.45">
      <c r="A38" s="98" t="s">
        <v>153</v>
      </c>
      <c r="B38" s="87">
        <v>341</v>
      </c>
      <c r="C38" s="98" t="s">
        <v>155</v>
      </c>
      <c r="D38" s="93">
        <v>37073</v>
      </c>
      <c r="E38" s="99">
        <v>25655</v>
      </c>
      <c r="F38" s="100"/>
      <c r="G38" s="101">
        <v>5</v>
      </c>
      <c r="H38" s="102">
        <v>5</v>
      </c>
      <c r="I38" s="99">
        <v>0</v>
      </c>
      <c r="J38" s="99">
        <v>0</v>
      </c>
      <c r="K38" s="99">
        <v>25655</v>
      </c>
      <c r="L38" s="103">
        <v>0</v>
      </c>
    </row>
    <row r="39" spans="1:12" x14ac:dyDescent="0.45">
      <c r="A39" s="98" t="s">
        <v>153</v>
      </c>
      <c r="B39" s="87">
        <v>340</v>
      </c>
      <c r="C39" s="98" t="s">
        <v>156</v>
      </c>
      <c r="D39" s="93">
        <v>37438</v>
      </c>
      <c r="E39" s="99">
        <v>2660</v>
      </c>
      <c r="F39" s="100"/>
      <c r="G39" s="101">
        <v>5</v>
      </c>
      <c r="H39" s="102">
        <v>5</v>
      </c>
      <c r="I39" s="99">
        <v>0</v>
      </c>
      <c r="J39" s="99">
        <v>0</v>
      </c>
      <c r="K39" s="99">
        <v>2660</v>
      </c>
      <c r="L39" s="103">
        <v>0</v>
      </c>
    </row>
    <row r="40" spans="1:12" x14ac:dyDescent="0.45">
      <c r="A40" s="98" t="s">
        <v>153</v>
      </c>
      <c r="B40" s="87">
        <v>343</v>
      </c>
      <c r="C40" s="98" t="s">
        <v>157</v>
      </c>
      <c r="D40" s="93">
        <v>37803</v>
      </c>
      <c r="E40" s="99">
        <v>538</v>
      </c>
      <c r="F40" s="100"/>
      <c r="G40" s="101">
        <v>7</v>
      </c>
      <c r="H40" s="102">
        <v>7</v>
      </c>
      <c r="I40" s="99">
        <v>0</v>
      </c>
      <c r="J40" s="99">
        <v>0</v>
      </c>
      <c r="K40" s="99">
        <v>538</v>
      </c>
      <c r="L40" s="103">
        <v>0</v>
      </c>
    </row>
    <row r="41" spans="1:12" x14ac:dyDescent="0.45">
      <c r="A41" s="98" t="s">
        <v>153</v>
      </c>
      <c r="B41" s="87">
        <v>311</v>
      </c>
      <c r="C41" s="98" t="s">
        <v>158</v>
      </c>
      <c r="D41" s="93">
        <v>38169</v>
      </c>
      <c r="E41" s="99">
        <v>17341</v>
      </c>
      <c r="F41" s="100"/>
      <c r="G41" s="101">
        <v>25</v>
      </c>
      <c r="H41" s="102">
        <v>21</v>
      </c>
      <c r="I41" s="99">
        <v>693.64</v>
      </c>
      <c r="J41" s="99">
        <v>0</v>
      </c>
      <c r="K41" s="99">
        <v>13535.333769627337</v>
      </c>
      <c r="L41" s="103">
        <v>3805.6662303726625</v>
      </c>
    </row>
    <row r="42" spans="1:12" x14ac:dyDescent="0.45">
      <c r="A42" s="98" t="s">
        <v>153</v>
      </c>
      <c r="B42" s="87">
        <v>343</v>
      </c>
      <c r="C42" s="98" t="s">
        <v>159</v>
      </c>
      <c r="D42" s="93">
        <v>39995</v>
      </c>
      <c r="E42" s="99">
        <v>12265</v>
      </c>
      <c r="F42" s="100"/>
      <c r="G42" s="101">
        <v>7</v>
      </c>
      <c r="H42" s="102">
        <v>7</v>
      </c>
      <c r="I42" s="99">
        <v>0</v>
      </c>
      <c r="J42" s="99">
        <v>0</v>
      </c>
      <c r="K42" s="99">
        <v>12265</v>
      </c>
      <c r="L42" s="103">
        <v>0</v>
      </c>
    </row>
    <row r="43" spans="1:12" x14ac:dyDescent="0.45">
      <c r="A43" s="98" t="s">
        <v>153</v>
      </c>
      <c r="B43" s="87">
        <v>339</v>
      </c>
      <c r="C43" s="98" t="s">
        <v>160</v>
      </c>
      <c r="D43" s="93">
        <v>40360</v>
      </c>
      <c r="E43" s="99">
        <v>9522</v>
      </c>
      <c r="F43" s="100"/>
      <c r="G43" s="101">
        <v>30</v>
      </c>
      <c r="H43" s="102">
        <v>15</v>
      </c>
      <c r="I43" s="99">
        <v>317.39999999999998</v>
      </c>
      <c r="J43" s="99">
        <v>0</v>
      </c>
      <c r="K43" s="99">
        <v>5059.1142916482513</v>
      </c>
      <c r="L43" s="103">
        <v>4462.8857083517487</v>
      </c>
    </row>
    <row r="44" spans="1:12" x14ac:dyDescent="0.45">
      <c r="A44" s="98" t="s">
        <v>153</v>
      </c>
      <c r="B44" s="87">
        <v>343</v>
      </c>
      <c r="C44" s="98" t="s">
        <v>161</v>
      </c>
      <c r="D44" s="93">
        <v>40360</v>
      </c>
      <c r="E44" s="99">
        <v>2060</v>
      </c>
      <c r="F44" s="100"/>
      <c r="G44" s="101">
        <v>5</v>
      </c>
      <c r="H44" s="102">
        <v>5</v>
      </c>
      <c r="I44" s="99">
        <v>0</v>
      </c>
      <c r="J44" s="99">
        <v>0</v>
      </c>
      <c r="K44" s="99">
        <v>2060</v>
      </c>
      <c r="L44" s="103">
        <v>0</v>
      </c>
    </row>
    <row r="45" spans="1:12" x14ac:dyDescent="0.45">
      <c r="A45" s="98" t="s">
        <v>153</v>
      </c>
      <c r="B45" s="87">
        <v>340</v>
      </c>
      <c r="C45" s="98" t="s">
        <v>162</v>
      </c>
      <c r="D45" s="93">
        <v>40360</v>
      </c>
      <c r="E45" s="99">
        <v>888</v>
      </c>
      <c r="F45" s="100"/>
      <c r="G45" s="101">
        <v>5</v>
      </c>
      <c r="H45" s="102">
        <v>5</v>
      </c>
      <c r="I45" s="99">
        <v>0</v>
      </c>
      <c r="J45" s="99">
        <v>0</v>
      </c>
      <c r="K45" s="99">
        <v>888</v>
      </c>
      <c r="L45" s="103">
        <v>0</v>
      </c>
    </row>
    <row r="46" spans="1:12" x14ac:dyDescent="0.45">
      <c r="A46" s="98" t="s">
        <v>153</v>
      </c>
      <c r="B46" s="87">
        <v>340</v>
      </c>
      <c r="C46" s="98" t="s">
        <v>163</v>
      </c>
      <c r="D46" s="93">
        <v>40360</v>
      </c>
      <c r="E46" s="99">
        <v>197</v>
      </c>
      <c r="F46" s="100"/>
      <c r="G46" s="101">
        <v>7</v>
      </c>
      <c r="H46" s="102">
        <v>7</v>
      </c>
      <c r="I46" s="99">
        <v>0</v>
      </c>
      <c r="J46" s="99">
        <v>0</v>
      </c>
      <c r="K46" s="99">
        <v>197</v>
      </c>
      <c r="L46" s="103">
        <v>0</v>
      </c>
    </row>
    <row r="47" spans="1:12" x14ac:dyDescent="0.45">
      <c r="A47" s="98" t="s">
        <v>153</v>
      </c>
      <c r="B47" s="87">
        <v>339</v>
      </c>
      <c r="C47" s="98" t="s">
        <v>164</v>
      </c>
      <c r="D47" s="93">
        <v>40725</v>
      </c>
      <c r="E47" s="99">
        <v>11699</v>
      </c>
      <c r="F47" s="100"/>
      <c r="G47" s="101">
        <v>30</v>
      </c>
      <c r="H47" s="102">
        <v>14</v>
      </c>
      <c r="I47" s="99">
        <v>389.96666666666664</v>
      </c>
      <c r="J47" s="99">
        <v>0</v>
      </c>
      <c r="K47" s="99">
        <v>5747.8116969116709</v>
      </c>
      <c r="L47" s="103">
        <v>5951.1883030883291</v>
      </c>
    </row>
    <row r="48" spans="1:12" x14ac:dyDescent="0.45">
      <c r="A48" s="98" t="s">
        <v>153</v>
      </c>
      <c r="B48" s="87">
        <v>339</v>
      </c>
      <c r="C48" s="98" t="s">
        <v>165</v>
      </c>
      <c r="D48" s="93">
        <v>41091</v>
      </c>
      <c r="E48" s="99">
        <v>2027646.56</v>
      </c>
      <c r="F48" s="100"/>
      <c r="G48" s="101">
        <v>20</v>
      </c>
      <c r="H48" s="102">
        <v>13</v>
      </c>
      <c r="I48" s="99">
        <v>101382.32800000001</v>
      </c>
      <c r="J48" s="99">
        <v>0</v>
      </c>
      <c r="K48" s="99">
        <v>970754.05560259335</v>
      </c>
      <c r="L48" s="103">
        <v>1056892.5043974067</v>
      </c>
    </row>
    <row r="49" spans="1:12" x14ac:dyDescent="0.45">
      <c r="A49" s="98" t="s">
        <v>153</v>
      </c>
      <c r="B49" s="87">
        <v>339</v>
      </c>
      <c r="C49" s="98" t="s">
        <v>166</v>
      </c>
      <c r="D49" s="93">
        <v>41091</v>
      </c>
      <c r="E49" s="99">
        <v>23873</v>
      </c>
      <c r="F49" s="100"/>
      <c r="G49" s="101">
        <v>30</v>
      </c>
      <c r="H49" s="102">
        <v>13</v>
      </c>
      <c r="I49" s="99">
        <v>795.76666666666665</v>
      </c>
      <c r="J49" s="99">
        <v>0</v>
      </c>
      <c r="K49" s="99">
        <v>10771.45845048364</v>
      </c>
      <c r="L49" s="103">
        <v>13101.54154951636</v>
      </c>
    </row>
    <row r="50" spans="1:12" x14ac:dyDescent="0.45">
      <c r="A50" s="98" t="s">
        <v>153</v>
      </c>
      <c r="B50" s="87">
        <v>339</v>
      </c>
      <c r="C50" s="98" t="s">
        <v>167</v>
      </c>
      <c r="D50" s="93">
        <v>41091</v>
      </c>
      <c r="E50" s="99">
        <v>24024</v>
      </c>
      <c r="F50" s="100"/>
      <c r="G50" s="101">
        <v>30</v>
      </c>
      <c r="H50" s="102">
        <v>13</v>
      </c>
      <c r="I50" s="99">
        <v>800.8</v>
      </c>
      <c r="J50" s="99">
        <v>0</v>
      </c>
      <c r="K50" s="99">
        <v>10839.589402857568</v>
      </c>
      <c r="L50" s="103">
        <v>13184.410597142432</v>
      </c>
    </row>
    <row r="51" spans="1:12" x14ac:dyDescent="0.45">
      <c r="A51" s="98" t="s">
        <v>153</v>
      </c>
      <c r="B51" s="87">
        <v>333</v>
      </c>
      <c r="C51" s="98" t="s">
        <v>168</v>
      </c>
      <c r="D51" s="93">
        <v>41456</v>
      </c>
      <c r="E51" s="99">
        <v>1320</v>
      </c>
      <c r="F51" s="100"/>
      <c r="G51" s="101">
        <v>25</v>
      </c>
      <c r="H51" s="102">
        <v>12</v>
      </c>
      <c r="I51" s="99">
        <v>52.8</v>
      </c>
      <c r="J51" s="99">
        <v>0</v>
      </c>
      <c r="K51" s="99">
        <v>554.82269553689764</v>
      </c>
      <c r="L51" s="103">
        <v>765.17730446310236</v>
      </c>
    </row>
    <row r="52" spans="1:12" x14ac:dyDescent="0.45">
      <c r="A52" s="98" t="s">
        <v>153</v>
      </c>
      <c r="B52" s="87">
        <v>331</v>
      </c>
      <c r="C52" s="98" t="s">
        <v>169</v>
      </c>
      <c r="D52" s="93">
        <v>41456</v>
      </c>
      <c r="E52" s="99">
        <v>502</v>
      </c>
      <c r="F52" s="100"/>
      <c r="G52" s="101">
        <v>25</v>
      </c>
      <c r="H52" s="102">
        <v>12</v>
      </c>
      <c r="I52" s="99">
        <v>20.079999999999998</v>
      </c>
      <c r="J52" s="99">
        <v>0</v>
      </c>
      <c r="K52" s="99">
        <v>211.00075239357801</v>
      </c>
      <c r="L52" s="103">
        <v>290.99924760642199</v>
      </c>
    </row>
    <row r="53" spans="1:12" x14ac:dyDescent="0.45">
      <c r="A53" s="98" t="s">
        <v>153</v>
      </c>
      <c r="B53" s="87">
        <v>334</v>
      </c>
      <c r="C53" s="98" t="s">
        <v>170</v>
      </c>
      <c r="D53" s="93">
        <v>41456</v>
      </c>
      <c r="E53" s="99">
        <v>676</v>
      </c>
      <c r="F53" s="100"/>
      <c r="G53" s="101">
        <v>25</v>
      </c>
      <c r="H53" s="102">
        <v>12</v>
      </c>
      <c r="I53" s="99">
        <v>27.04</v>
      </c>
      <c r="J53" s="99">
        <v>0</v>
      </c>
      <c r="K53" s="99">
        <v>284.13647135071432</v>
      </c>
      <c r="L53" s="103">
        <v>391.86352864928568</v>
      </c>
    </row>
    <row r="54" spans="1:12" x14ac:dyDescent="0.45">
      <c r="A54" s="98" t="s">
        <v>153</v>
      </c>
      <c r="B54" s="87">
        <v>311</v>
      </c>
      <c r="C54" s="98" t="s">
        <v>171</v>
      </c>
      <c r="D54" s="93">
        <v>41456</v>
      </c>
      <c r="E54" s="99">
        <v>3518</v>
      </c>
      <c r="F54" s="100"/>
      <c r="G54" s="101">
        <v>25</v>
      </c>
      <c r="H54" s="102">
        <v>12</v>
      </c>
      <c r="I54" s="99">
        <v>140.72</v>
      </c>
      <c r="J54" s="99">
        <v>0</v>
      </c>
      <c r="K54" s="99">
        <v>1478.6865476506084</v>
      </c>
      <c r="L54" s="103">
        <v>2039.3134523493916</v>
      </c>
    </row>
    <row r="55" spans="1:12" x14ac:dyDescent="0.45">
      <c r="A55" s="98" t="s">
        <v>153</v>
      </c>
      <c r="B55" s="87">
        <v>311</v>
      </c>
      <c r="C55" s="98" t="s">
        <v>172</v>
      </c>
      <c r="D55" s="93">
        <v>41456</v>
      </c>
      <c r="E55" s="99">
        <v>878</v>
      </c>
      <c r="F55" s="100"/>
      <c r="G55" s="101">
        <v>25</v>
      </c>
      <c r="H55" s="102">
        <v>12</v>
      </c>
      <c r="I55" s="99">
        <v>35.119999999999997</v>
      </c>
      <c r="J55" s="99">
        <v>0</v>
      </c>
      <c r="K55" s="99">
        <v>369.04115657681484</v>
      </c>
      <c r="L55" s="103">
        <v>508.95884342318516</v>
      </c>
    </row>
    <row r="56" spans="1:12" x14ac:dyDescent="0.45">
      <c r="A56" s="98" t="s">
        <v>153</v>
      </c>
      <c r="B56" s="87">
        <v>339</v>
      </c>
      <c r="C56" s="98" t="s">
        <v>173</v>
      </c>
      <c r="D56" s="93">
        <v>41456</v>
      </c>
      <c r="E56" s="99">
        <v>1306</v>
      </c>
      <c r="F56" s="100"/>
      <c r="G56" s="101">
        <v>25</v>
      </c>
      <c r="H56" s="102">
        <v>12</v>
      </c>
      <c r="I56" s="99">
        <v>52.24</v>
      </c>
      <c r="J56" s="99">
        <v>0</v>
      </c>
      <c r="K56" s="99">
        <v>548.93821240241607</v>
      </c>
      <c r="L56" s="103">
        <v>757.06178759758393</v>
      </c>
    </row>
    <row r="57" spans="1:12" x14ac:dyDescent="0.45">
      <c r="A57" s="98" t="s">
        <v>153</v>
      </c>
      <c r="B57" s="87">
        <v>334</v>
      </c>
      <c r="C57" s="98" t="s">
        <v>174</v>
      </c>
      <c r="D57" s="93">
        <v>40725</v>
      </c>
      <c r="E57" s="99">
        <v>600</v>
      </c>
      <c r="F57" s="100"/>
      <c r="G57" s="101">
        <v>25</v>
      </c>
      <c r="H57" s="102">
        <v>14</v>
      </c>
      <c r="I57" s="99">
        <v>24</v>
      </c>
      <c r="J57" s="99">
        <v>0</v>
      </c>
      <c r="K57" s="99">
        <v>300.25788775961109</v>
      </c>
      <c r="L57" s="103">
        <v>299.74211224038891</v>
      </c>
    </row>
    <row r="58" spans="1:12" x14ac:dyDescent="0.45">
      <c r="A58" s="98" t="s">
        <v>153</v>
      </c>
      <c r="B58" s="87">
        <v>311</v>
      </c>
      <c r="C58" s="98" t="s">
        <v>175</v>
      </c>
      <c r="D58" s="93">
        <v>40725</v>
      </c>
      <c r="E58" s="99">
        <v>822</v>
      </c>
      <c r="F58" s="100"/>
      <c r="G58" s="101">
        <v>25</v>
      </c>
      <c r="H58" s="102">
        <v>14</v>
      </c>
      <c r="I58" s="99">
        <v>32.880000000000003</v>
      </c>
      <c r="J58" s="99">
        <v>0</v>
      </c>
      <c r="K58" s="99">
        <v>411.35330623066739</v>
      </c>
      <c r="L58" s="103">
        <v>410.64669376933261</v>
      </c>
    </row>
    <row r="59" spans="1:12" x14ac:dyDescent="0.45">
      <c r="A59" s="98" t="s">
        <v>153</v>
      </c>
      <c r="B59" s="87">
        <v>340</v>
      </c>
      <c r="C59" s="98" t="s">
        <v>176</v>
      </c>
      <c r="D59" s="93">
        <v>39995</v>
      </c>
      <c r="E59" s="99">
        <v>880</v>
      </c>
      <c r="F59" s="100"/>
      <c r="G59" s="101">
        <v>5</v>
      </c>
      <c r="H59" s="102">
        <v>5</v>
      </c>
      <c r="I59" s="99">
        <v>0</v>
      </c>
      <c r="J59" s="99">
        <v>0</v>
      </c>
      <c r="K59" s="99">
        <v>880</v>
      </c>
      <c r="L59" s="103">
        <v>0</v>
      </c>
    </row>
    <row r="60" spans="1:12" x14ac:dyDescent="0.45">
      <c r="A60" s="98" t="s">
        <v>153</v>
      </c>
      <c r="B60" s="87">
        <v>348</v>
      </c>
      <c r="C60" s="98" t="s">
        <v>177</v>
      </c>
      <c r="D60" s="93">
        <v>39630</v>
      </c>
      <c r="E60" s="99">
        <v>102203</v>
      </c>
      <c r="F60" s="100"/>
      <c r="G60" s="101">
        <v>25</v>
      </c>
      <c r="H60" s="102">
        <v>17</v>
      </c>
      <c r="I60" s="99">
        <v>4088.12</v>
      </c>
      <c r="J60" s="99">
        <v>0</v>
      </c>
      <c r="K60" s="99">
        <v>63409.78817115922</v>
      </c>
      <c r="L60" s="103">
        <v>38793.21182884078</v>
      </c>
    </row>
    <row r="61" spans="1:12" x14ac:dyDescent="0.45">
      <c r="A61" s="98" t="s">
        <v>153</v>
      </c>
      <c r="B61" s="87">
        <v>311</v>
      </c>
      <c r="C61" s="98" t="s">
        <v>178</v>
      </c>
      <c r="D61" s="93">
        <v>39630</v>
      </c>
      <c r="E61" s="99">
        <v>403</v>
      </c>
      <c r="F61" s="100"/>
      <c r="G61" s="101">
        <v>25</v>
      </c>
      <c r="H61" s="102">
        <v>17</v>
      </c>
      <c r="I61" s="99">
        <v>16.12</v>
      </c>
      <c r="J61" s="99">
        <v>0</v>
      </c>
      <c r="K61" s="99">
        <v>250.03321461187215</v>
      </c>
      <c r="L61" s="103">
        <v>152.96678538812785</v>
      </c>
    </row>
    <row r="62" spans="1:12" x14ac:dyDescent="0.45">
      <c r="A62" s="98" t="s">
        <v>153</v>
      </c>
      <c r="B62" s="87">
        <v>343</v>
      </c>
      <c r="C62" s="98" t="s">
        <v>179</v>
      </c>
      <c r="D62" s="93">
        <v>39630</v>
      </c>
      <c r="E62" s="99">
        <v>1403</v>
      </c>
      <c r="F62" s="100"/>
      <c r="G62" s="101">
        <v>7</v>
      </c>
      <c r="H62" s="102">
        <v>7</v>
      </c>
      <c r="I62" s="99">
        <v>0</v>
      </c>
      <c r="J62" s="99">
        <v>0</v>
      </c>
      <c r="K62" s="99">
        <v>1403</v>
      </c>
      <c r="L62" s="103">
        <v>0</v>
      </c>
    </row>
    <row r="63" spans="1:12" x14ac:dyDescent="0.45">
      <c r="A63" s="98" t="s">
        <v>153</v>
      </c>
      <c r="B63" s="87">
        <v>340</v>
      </c>
      <c r="C63" s="98" t="s">
        <v>180</v>
      </c>
      <c r="D63" s="93">
        <v>39630</v>
      </c>
      <c r="E63" s="99">
        <v>839</v>
      </c>
      <c r="F63" s="100"/>
      <c r="G63" s="101">
        <v>5</v>
      </c>
      <c r="H63" s="102">
        <v>5</v>
      </c>
      <c r="I63" s="99">
        <v>0</v>
      </c>
      <c r="J63" s="99">
        <v>0</v>
      </c>
      <c r="K63" s="99">
        <v>839</v>
      </c>
      <c r="L63" s="103">
        <v>0</v>
      </c>
    </row>
    <row r="64" spans="1:12" x14ac:dyDescent="0.45">
      <c r="A64" s="98" t="s">
        <v>153</v>
      </c>
      <c r="B64" s="87">
        <v>340</v>
      </c>
      <c r="C64" s="98" t="s">
        <v>181</v>
      </c>
      <c r="D64" s="93">
        <v>39630</v>
      </c>
      <c r="E64" s="99">
        <v>527</v>
      </c>
      <c r="F64" s="100"/>
      <c r="G64" s="101">
        <v>7</v>
      </c>
      <c r="H64" s="102">
        <v>7</v>
      </c>
      <c r="I64" s="99">
        <v>0</v>
      </c>
      <c r="J64" s="99">
        <v>0</v>
      </c>
      <c r="K64" s="99">
        <v>527</v>
      </c>
      <c r="L64" s="103">
        <v>0</v>
      </c>
    </row>
    <row r="65" spans="1:12" x14ac:dyDescent="0.45">
      <c r="A65" s="98" t="s">
        <v>153</v>
      </c>
      <c r="B65" s="87">
        <v>340</v>
      </c>
      <c r="C65" s="98" t="s">
        <v>182</v>
      </c>
      <c r="D65" s="93">
        <v>39264</v>
      </c>
      <c r="E65" s="99">
        <v>1622</v>
      </c>
      <c r="F65" s="100"/>
      <c r="G65" s="101">
        <v>5</v>
      </c>
      <c r="H65" s="102">
        <v>5</v>
      </c>
      <c r="I65" s="99">
        <v>0</v>
      </c>
      <c r="J65" s="99">
        <v>0</v>
      </c>
      <c r="K65" s="99">
        <v>1622</v>
      </c>
      <c r="L65" s="103">
        <v>0</v>
      </c>
    </row>
    <row r="66" spans="1:12" x14ac:dyDescent="0.45">
      <c r="A66" s="98" t="s">
        <v>153</v>
      </c>
      <c r="B66" s="87">
        <v>340</v>
      </c>
      <c r="C66" s="98" t="s">
        <v>183</v>
      </c>
      <c r="D66" s="93">
        <v>39264</v>
      </c>
      <c r="E66" s="99">
        <v>636</v>
      </c>
      <c r="F66" s="100"/>
      <c r="G66" s="101">
        <v>7</v>
      </c>
      <c r="H66" s="102">
        <v>7</v>
      </c>
      <c r="I66" s="99">
        <v>0</v>
      </c>
      <c r="J66" s="99">
        <v>0</v>
      </c>
      <c r="K66" s="99">
        <v>636</v>
      </c>
      <c r="L66" s="103">
        <v>0</v>
      </c>
    </row>
    <row r="67" spans="1:12" x14ac:dyDescent="0.45">
      <c r="A67" s="98" t="s">
        <v>153</v>
      </c>
      <c r="B67" s="87">
        <v>339</v>
      </c>
      <c r="C67" s="98" t="s">
        <v>184</v>
      </c>
      <c r="D67" s="93">
        <v>39264</v>
      </c>
      <c r="E67" s="99">
        <v>15130</v>
      </c>
      <c r="F67" s="100"/>
      <c r="G67" s="101">
        <v>30</v>
      </c>
      <c r="H67" s="102">
        <v>18</v>
      </c>
      <c r="I67" s="99">
        <v>504.33333333333331</v>
      </c>
      <c r="J67" s="99">
        <v>0</v>
      </c>
      <c r="K67" s="99">
        <v>9855.9473525801495</v>
      </c>
      <c r="L67" s="103">
        <v>5274.0526474198505</v>
      </c>
    </row>
    <row r="68" spans="1:12" x14ac:dyDescent="0.45">
      <c r="A68" s="98" t="s">
        <v>153</v>
      </c>
      <c r="B68" s="87">
        <v>339</v>
      </c>
      <c r="C68" s="98" t="s">
        <v>185</v>
      </c>
      <c r="D68" s="93">
        <v>36342</v>
      </c>
      <c r="E68" s="99">
        <v>656473</v>
      </c>
      <c r="F68" s="100"/>
      <c r="G68" s="101">
        <v>30</v>
      </c>
      <c r="H68" s="102">
        <v>26</v>
      </c>
      <c r="I68" s="99">
        <v>0</v>
      </c>
      <c r="J68" s="99">
        <v>0</v>
      </c>
      <c r="K68" s="99">
        <v>637853.27003117779</v>
      </c>
      <c r="L68" s="103">
        <v>18619.729968822212</v>
      </c>
    </row>
    <row r="69" spans="1:12" x14ac:dyDescent="0.45">
      <c r="A69" s="98" t="s">
        <v>153</v>
      </c>
      <c r="B69" s="87">
        <v>339</v>
      </c>
      <c r="C69" s="98" t="s">
        <v>186</v>
      </c>
      <c r="D69" s="93">
        <v>36708</v>
      </c>
      <c r="E69" s="99">
        <v>216587</v>
      </c>
      <c r="F69" s="100"/>
      <c r="G69" s="101">
        <v>25</v>
      </c>
      <c r="H69" s="102">
        <v>25</v>
      </c>
      <c r="I69" s="99">
        <v>8663.48</v>
      </c>
      <c r="J69" s="99">
        <v>0</v>
      </c>
      <c r="K69" s="99">
        <v>203732.34301693915</v>
      </c>
      <c r="L69" s="103">
        <v>12854.65698306085</v>
      </c>
    </row>
    <row r="70" spans="1:12" x14ac:dyDescent="0.45">
      <c r="A70" s="98" t="s">
        <v>153</v>
      </c>
      <c r="B70" s="87">
        <v>339</v>
      </c>
      <c r="C70" s="98" t="s">
        <v>187</v>
      </c>
      <c r="D70" s="93">
        <v>37073</v>
      </c>
      <c r="E70" s="99">
        <v>42085</v>
      </c>
      <c r="F70" s="100"/>
      <c r="G70" s="101">
        <v>25</v>
      </c>
      <c r="H70" s="102">
        <v>24</v>
      </c>
      <c r="I70" s="99">
        <v>1683.4</v>
      </c>
      <c r="J70" s="99">
        <v>0</v>
      </c>
      <c r="K70" s="99">
        <v>37903.812786861105</v>
      </c>
      <c r="L70" s="103">
        <v>4181.1872131388955</v>
      </c>
    </row>
    <row r="71" spans="1:12" x14ac:dyDescent="0.45">
      <c r="A71" s="98" t="s">
        <v>153</v>
      </c>
      <c r="B71" s="87">
        <v>339</v>
      </c>
      <c r="C71" s="98" t="s">
        <v>188</v>
      </c>
      <c r="D71" s="93">
        <v>37438</v>
      </c>
      <c r="E71" s="99">
        <v>56873</v>
      </c>
      <c r="F71" s="100"/>
      <c r="G71" s="101">
        <v>25</v>
      </c>
      <c r="H71" s="102">
        <v>23</v>
      </c>
      <c r="I71" s="99">
        <v>2274.92</v>
      </c>
      <c r="J71" s="99">
        <v>0</v>
      </c>
      <c r="K71" s="99">
        <v>48947.690065989089</v>
      </c>
      <c r="L71" s="103">
        <v>7925.3099340109111</v>
      </c>
    </row>
    <row r="72" spans="1:12" x14ac:dyDescent="0.45">
      <c r="A72" s="98" t="s">
        <v>153</v>
      </c>
      <c r="B72" s="87">
        <v>339</v>
      </c>
      <c r="C72" s="98" t="s">
        <v>189</v>
      </c>
      <c r="D72" s="93">
        <v>37803</v>
      </c>
      <c r="E72" s="99">
        <v>376650</v>
      </c>
      <c r="F72" s="100"/>
      <c r="G72" s="101">
        <v>25</v>
      </c>
      <c r="H72" s="102">
        <v>22</v>
      </c>
      <c r="I72" s="99">
        <v>15066</v>
      </c>
      <c r="J72" s="99">
        <v>0</v>
      </c>
      <c r="K72" s="99">
        <v>309097.44246575341</v>
      </c>
      <c r="L72" s="103">
        <v>67552.557534246589</v>
      </c>
    </row>
    <row r="73" spans="1:12" x14ac:dyDescent="0.45">
      <c r="A73" s="98" t="s">
        <v>153</v>
      </c>
      <c r="B73" s="87">
        <v>339</v>
      </c>
      <c r="C73" s="98" t="s">
        <v>190</v>
      </c>
      <c r="D73" s="93">
        <v>38169</v>
      </c>
      <c r="E73" s="99">
        <v>29607</v>
      </c>
      <c r="F73" s="100"/>
      <c r="G73" s="101">
        <v>25</v>
      </c>
      <c r="H73" s="102">
        <v>21</v>
      </c>
      <c r="I73" s="99">
        <v>1184.28</v>
      </c>
      <c r="J73" s="99">
        <v>0</v>
      </c>
      <c r="K73" s="99">
        <v>23109.430074237731</v>
      </c>
      <c r="L73" s="103">
        <v>6497.5699257622691</v>
      </c>
    </row>
    <row r="74" spans="1:12" x14ac:dyDescent="0.45">
      <c r="A74" s="98" t="s">
        <v>153</v>
      </c>
      <c r="B74" s="87">
        <v>339</v>
      </c>
      <c r="C74" s="98" t="s">
        <v>191</v>
      </c>
      <c r="D74" s="93">
        <v>38534</v>
      </c>
      <c r="E74" s="99">
        <v>131528</v>
      </c>
      <c r="F74" s="100"/>
      <c r="G74" s="101">
        <v>30</v>
      </c>
      <c r="H74" s="102">
        <v>20</v>
      </c>
      <c r="I74" s="99">
        <v>4384.2666666666664</v>
      </c>
      <c r="J74" s="99">
        <v>0</v>
      </c>
      <c r="K74" s="99">
        <v>96201.885961015418</v>
      </c>
      <c r="L74" s="103">
        <v>35326.114038984582</v>
      </c>
    </row>
    <row r="75" spans="1:12" x14ac:dyDescent="0.45">
      <c r="A75" s="98" t="s">
        <v>153</v>
      </c>
      <c r="B75" s="87">
        <v>339</v>
      </c>
      <c r="C75" s="98" t="s">
        <v>192</v>
      </c>
      <c r="D75" s="93">
        <v>38899</v>
      </c>
      <c r="E75" s="99">
        <v>68626.97</v>
      </c>
      <c r="F75" s="100"/>
      <c r="G75" s="101">
        <v>30</v>
      </c>
      <c r="H75" s="102">
        <v>19</v>
      </c>
      <c r="I75" s="99">
        <v>2287.5656666666669</v>
      </c>
      <c r="J75" s="99">
        <v>0</v>
      </c>
      <c r="K75" s="99">
        <v>47449.890649775145</v>
      </c>
      <c r="L75" s="103">
        <v>21177.079350224856</v>
      </c>
    </row>
    <row r="76" spans="1:12" x14ac:dyDescent="0.45">
      <c r="A76" s="98" t="s">
        <v>153</v>
      </c>
      <c r="B76" s="87">
        <v>339</v>
      </c>
      <c r="C76" s="98" t="s">
        <v>193</v>
      </c>
      <c r="D76" s="93">
        <v>42186</v>
      </c>
      <c r="E76" s="99">
        <v>1393</v>
      </c>
      <c r="F76" s="100"/>
      <c r="G76" s="101">
        <v>25</v>
      </c>
      <c r="H76" s="102">
        <v>10</v>
      </c>
      <c r="I76" s="99">
        <v>55.72</v>
      </c>
      <c r="J76" s="99">
        <v>0</v>
      </c>
      <c r="K76" s="99">
        <v>474.0660718809836</v>
      </c>
      <c r="L76" s="103">
        <v>918.9339281190164</v>
      </c>
    </row>
    <row r="77" spans="1:12" x14ac:dyDescent="0.45">
      <c r="A77" s="98" t="s">
        <v>153</v>
      </c>
      <c r="B77" s="87">
        <v>334</v>
      </c>
      <c r="C77" s="98" t="s">
        <v>194</v>
      </c>
      <c r="D77" s="93">
        <v>42186</v>
      </c>
      <c r="E77" s="99">
        <v>919</v>
      </c>
      <c r="F77" s="100"/>
      <c r="G77" s="101">
        <v>25</v>
      </c>
      <c r="H77" s="102">
        <v>10</v>
      </c>
      <c r="I77" s="99">
        <v>36.76</v>
      </c>
      <c r="J77" s="99">
        <v>0</v>
      </c>
      <c r="K77" s="99">
        <v>312.75428575637147</v>
      </c>
      <c r="L77" s="103">
        <v>606.24571424362853</v>
      </c>
    </row>
    <row r="78" spans="1:12" x14ac:dyDescent="0.45">
      <c r="A78" s="98" t="s">
        <v>153</v>
      </c>
      <c r="B78" s="87">
        <v>311</v>
      </c>
      <c r="C78" s="98" t="s">
        <v>195</v>
      </c>
      <c r="D78" s="93">
        <v>42186</v>
      </c>
      <c r="E78" s="99">
        <v>994</v>
      </c>
      <c r="F78" s="100"/>
      <c r="G78" s="101">
        <v>25</v>
      </c>
      <c r="H78" s="102">
        <v>10</v>
      </c>
      <c r="I78" s="99">
        <v>39.76</v>
      </c>
      <c r="J78" s="99">
        <v>0</v>
      </c>
      <c r="K78" s="99">
        <v>338.27830254824062</v>
      </c>
      <c r="L78" s="103">
        <v>655.72169745175938</v>
      </c>
    </row>
    <row r="79" spans="1:12" x14ac:dyDescent="0.45">
      <c r="A79" s="98" t="s">
        <v>153</v>
      </c>
      <c r="B79" s="87">
        <v>344</v>
      </c>
      <c r="C79" s="98" t="s">
        <v>196</v>
      </c>
      <c r="D79" s="93">
        <v>42186</v>
      </c>
      <c r="E79" s="99">
        <v>1115</v>
      </c>
      <c r="F79" s="100"/>
      <c r="G79" s="101">
        <v>7</v>
      </c>
      <c r="H79" s="102">
        <v>7</v>
      </c>
      <c r="I79" s="99">
        <v>0</v>
      </c>
      <c r="J79" s="99">
        <v>0</v>
      </c>
      <c r="K79" s="99">
        <v>1115</v>
      </c>
      <c r="L79" s="103">
        <v>0</v>
      </c>
    </row>
    <row r="80" spans="1:12" x14ac:dyDescent="0.45">
      <c r="A80" s="98" t="s">
        <v>153</v>
      </c>
      <c r="B80" s="87">
        <v>340</v>
      </c>
      <c r="C80" s="98" t="s">
        <v>197</v>
      </c>
      <c r="D80" s="93">
        <v>42186</v>
      </c>
      <c r="E80" s="99">
        <v>1249</v>
      </c>
      <c r="F80" s="100"/>
      <c r="G80" s="101">
        <v>5</v>
      </c>
      <c r="H80" s="102">
        <v>5</v>
      </c>
      <c r="I80" s="99">
        <v>0</v>
      </c>
      <c r="J80" s="99">
        <v>0</v>
      </c>
      <c r="K80" s="99">
        <v>1249</v>
      </c>
      <c r="L80" s="103">
        <v>0</v>
      </c>
    </row>
    <row r="81" spans="1:12" x14ac:dyDescent="0.45">
      <c r="A81" s="98" t="s">
        <v>153</v>
      </c>
      <c r="B81" s="87">
        <v>333</v>
      </c>
      <c r="C81" s="98" t="s">
        <v>198</v>
      </c>
      <c r="D81" s="93">
        <v>42552</v>
      </c>
      <c r="E81" s="99">
        <v>1172</v>
      </c>
      <c r="F81" s="100"/>
      <c r="G81" s="101">
        <v>25</v>
      </c>
      <c r="H81" s="102">
        <v>9</v>
      </c>
      <c r="I81" s="99">
        <v>46.88</v>
      </c>
      <c r="J81" s="99">
        <v>0</v>
      </c>
      <c r="K81" s="99">
        <v>351.84686404477782</v>
      </c>
      <c r="L81" s="103">
        <v>820.15313595522218</v>
      </c>
    </row>
    <row r="82" spans="1:12" x14ac:dyDescent="0.45">
      <c r="A82" s="98" t="s">
        <v>153</v>
      </c>
      <c r="B82" s="87">
        <v>334</v>
      </c>
      <c r="C82" s="98" t="s">
        <v>199</v>
      </c>
      <c r="D82" s="93">
        <v>42552</v>
      </c>
      <c r="E82" s="99">
        <v>1200</v>
      </c>
      <c r="F82" s="100"/>
      <c r="G82" s="101">
        <v>25</v>
      </c>
      <c r="H82" s="102">
        <v>9</v>
      </c>
      <c r="I82" s="99">
        <v>48</v>
      </c>
      <c r="J82" s="99">
        <v>0</v>
      </c>
      <c r="K82" s="99">
        <v>360.25276182059213</v>
      </c>
      <c r="L82" s="103">
        <v>839.74723817940787</v>
      </c>
    </row>
    <row r="83" spans="1:12" x14ac:dyDescent="0.45">
      <c r="A83" s="98" t="s">
        <v>153</v>
      </c>
      <c r="B83" s="87">
        <v>330</v>
      </c>
      <c r="C83" s="98" t="s">
        <v>200</v>
      </c>
      <c r="D83" s="93">
        <v>42552</v>
      </c>
      <c r="E83" s="99">
        <v>2255</v>
      </c>
      <c r="F83" s="100"/>
      <c r="G83" s="101">
        <v>25</v>
      </c>
      <c r="H83" s="102">
        <v>9</v>
      </c>
      <c r="I83" s="99">
        <v>90.2</v>
      </c>
      <c r="J83" s="99">
        <v>0</v>
      </c>
      <c r="K83" s="99">
        <v>676.97498158786266</v>
      </c>
      <c r="L83" s="103">
        <v>1578.0250184121373</v>
      </c>
    </row>
    <row r="84" spans="1:12" x14ac:dyDescent="0.45">
      <c r="A84" s="98" t="s">
        <v>153</v>
      </c>
      <c r="B84" s="87">
        <v>311</v>
      </c>
      <c r="C84" s="98" t="s">
        <v>201</v>
      </c>
      <c r="D84" s="93">
        <v>42552</v>
      </c>
      <c r="E84" s="99">
        <v>1516</v>
      </c>
      <c r="F84" s="100"/>
      <c r="G84" s="101">
        <v>25</v>
      </c>
      <c r="H84" s="102">
        <v>9</v>
      </c>
      <c r="I84" s="99">
        <v>60.64</v>
      </c>
      <c r="J84" s="99">
        <v>0</v>
      </c>
      <c r="K84" s="99">
        <v>455.11932243334718</v>
      </c>
      <c r="L84" s="103">
        <v>1060.8806775666528</v>
      </c>
    </row>
    <row r="85" spans="1:12" x14ac:dyDescent="0.45">
      <c r="A85" s="98" t="s">
        <v>153</v>
      </c>
      <c r="B85" s="87">
        <v>343</v>
      </c>
      <c r="C85" s="98" t="s">
        <v>202</v>
      </c>
      <c r="D85" s="93">
        <v>42552</v>
      </c>
      <c r="E85" s="99">
        <v>3058</v>
      </c>
      <c r="F85" s="100"/>
      <c r="G85" s="101">
        <v>7</v>
      </c>
      <c r="H85" s="102">
        <v>7</v>
      </c>
      <c r="I85" s="99">
        <v>0</v>
      </c>
      <c r="J85" s="99">
        <v>0</v>
      </c>
      <c r="K85" s="99">
        <v>3058</v>
      </c>
      <c r="L85" s="103">
        <v>0</v>
      </c>
    </row>
    <row r="86" spans="1:12" x14ac:dyDescent="0.45">
      <c r="A86" s="98" t="s">
        <v>153</v>
      </c>
      <c r="B86" s="87">
        <v>340</v>
      </c>
      <c r="C86" s="98" t="s">
        <v>203</v>
      </c>
      <c r="D86" s="93">
        <v>42552</v>
      </c>
      <c r="E86" s="99">
        <v>738</v>
      </c>
      <c r="F86" s="100"/>
      <c r="G86" s="101">
        <v>5</v>
      </c>
      <c r="H86" s="102">
        <v>5</v>
      </c>
      <c r="I86" s="99">
        <v>0</v>
      </c>
      <c r="J86" s="99">
        <v>0</v>
      </c>
      <c r="K86" s="99">
        <v>738</v>
      </c>
      <c r="L86" s="103">
        <v>0</v>
      </c>
    </row>
    <row r="87" spans="1:12" x14ac:dyDescent="0.45">
      <c r="A87" s="98" t="s">
        <v>153</v>
      </c>
      <c r="B87" s="87">
        <v>333</v>
      </c>
      <c r="C87" s="98" t="s">
        <v>204</v>
      </c>
      <c r="D87" s="93">
        <v>42917</v>
      </c>
      <c r="E87" s="99">
        <v>670</v>
      </c>
      <c r="F87" s="100"/>
      <c r="G87" s="101">
        <v>25</v>
      </c>
      <c r="H87" s="102">
        <v>8</v>
      </c>
      <c r="I87" s="99">
        <v>26.8</v>
      </c>
      <c r="J87" s="99">
        <v>0</v>
      </c>
      <c r="K87" s="99">
        <v>174.3411253498308</v>
      </c>
      <c r="L87" s="103">
        <v>495.6588746501692</v>
      </c>
    </row>
    <row r="88" spans="1:12" x14ac:dyDescent="0.45">
      <c r="A88" s="98" t="s">
        <v>153</v>
      </c>
      <c r="B88" s="87">
        <v>334</v>
      </c>
      <c r="C88" s="98" t="s">
        <v>205</v>
      </c>
      <c r="D88" s="93">
        <v>42917</v>
      </c>
      <c r="E88" s="99">
        <v>1423</v>
      </c>
      <c r="F88" s="100"/>
      <c r="G88" s="101">
        <v>25</v>
      </c>
      <c r="H88" s="102">
        <v>8</v>
      </c>
      <c r="I88" s="99">
        <v>56.92</v>
      </c>
      <c r="J88" s="99">
        <v>0</v>
      </c>
      <c r="K88" s="99">
        <v>370.27973339225241</v>
      </c>
      <c r="L88" s="103">
        <v>1052.7202666077476</v>
      </c>
    </row>
    <row r="89" spans="1:12" x14ac:dyDescent="0.45">
      <c r="A89" s="98" t="s">
        <v>153</v>
      </c>
      <c r="B89" s="87">
        <v>311</v>
      </c>
      <c r="C89" s="98" t="s">
        <v>206</v>
      </c>
      <c r="D89" s="93">
        <v>42917</v>
      </c>
      <c r="E89" s="99">
        <v>7574</v>
      </c>
      <c r="F89" s="100"/>
      <c r="G89" s="101">
        <v>25</v>
      </c>
      <c r="H89" s="102">
        <v>8</v>
      </c>
      <c r="I89" s="99">
        <v>302.95999999999998</v>
      </c>
      <c r="J89" s="99">
        <v>0</v>
      </c>
      <c r="K89" s="99">
        <v>1970.8353483576402</v>
      </c>
      <c r="L89" s="103">
        <v>5603.1646516423598</v>
      </c>
    </row>
    <row r="90" spans="1:12" x14ac:dyDescent="0.45">
      <c r="A90" s="98" t="s">
        <v>153</v>
      </c>
      <c r="B90" s="87">
        <v>340</v>
      </c>
      <c r="C90" s="98" t="s">
        <v>207</v>
      </c>
      <c r="D90" s="93">
        <v>42917</v>
      </c>
      <c r="E90" s="99">
        <v>6945</v>
      </c>
      <c r="F90" s="100"/>
      <c r="G90" s="101">
        <v>5</v>
      </c>
      <c r="H90" s="102">
        <v>5</v>
      </c>
      <c r="I90" s="99">
        <v>0</v>
      </c>
      <c r="J90" s="99">
        <v>0</v>
      </c>
      <c r="K90" s="99">
        <v>6945</v>
      </c>
      <c r="L90" s="103">
        <v>0</v>
      </c>
    </row>
    <row r="91" spans="1:12" x14ac:dyDescent="0.45">
      <c r="A91" s="98" t="s">
        <v>153</v>
      </c>
      <c r="B91" s="87">
        <v>343</v>
      </c>
      <c r="C91" s="98" t="s">
        <v>208</v>
      </c>
      <c r="D91" s="93">
        <v>42917</v>
      </c>
      <c r="E91" s="99">
        <v>469</v>
      </c>
      <c r="F91" s="100"/>
      <c r="G91" s="101">
        <v>7</v>
      </c>
      <c r="H91" s="102">
        <v>7</v>
      </c>
      <c r="I91" s="99">
        <v>0</v>
      </c>
      <c r="J91" s="99">
        <v>0</v>
      </c>
      <c r="K91" s="99">
        <v>435.85281337457644</v>
      </c>
      <c r="L91" s="103">
        <v>33.147186625423558</v>
      </c>
    </row>
    <row r="92" spans="1:12" x14ac:dyDescent="0.45">
      <c r="A92" s="98" t="s">
        <v>153</v>
      </c>
      <c r="B92" s="87">
        <v>330</v>
      </c>
      <c r="C92" s="98" t="s">
        <v>209</v>
      </c>
      <c r="D92" s="93">
        <v>43282</v>
      </c>
      <c r="E92" s="99">
        <v>27415.599999999999</v>
      </c>
      <c r="F92" s="100"/>
      <c r="G92" s="101">
        <v>25</v>
      </c>
      <c r="H92" s="102">
        <v>7</v>
      </c>
      <c r="I92" s="99">
        <v>1096.624</v>
      </c>
      <c r="J92" s="99">
        <v>0</v>
      </c>
      <c r="K92" s="99">
        <v>6037.2066808071613</v>
      </c>
      <c r="L92" s="103">
        <v>21378.393319192837</v>
      </c>
    </row>
    <row r="93" spans="1:12" x14ac:dyDescent="0.45">
      <c r="A93" s="98" t="s">
        <v>153</v>
      </c>
      <c r="B93" s="87">
        <v>310</v>
      </c>
      <c r="C93" s="98" t="s">
        <v>210</v>
      </c>
      <c r="D93" s="93">
        <v>43282</v>
      </c>
      <c r="E93" s="99">
        <v>8314</v>
      </c>
      <c r="F93" s="100"/>
      <c r="G93" s="101">
        <v>7</v>
      </c>
      <c r="H93" s="102">
        <v>7</v>
      </c>
      <c r="I93" s="99">
        <v>1187.7142857142858</v>
      </c>
      <c r="J93" s="99">
        <v>0</v>
      </c>
      <c r="K93" s="99">
        <v>6538.6829219535794</v>
      </c>
      <c r="L93" s="103">
        <v>1775.3170780464206</v>
      </c>
    </row>
    <row r="94" spans="1:12" x14ac:dyDescent="0.45">
      <c r="A94" s="98" t="s">
        <v>153</v>
      </c>
      <c r="B94" s="87">
        <v>310</v>
      </c>
      <c r="C94" s="98" t="s">
        <v>211</v>
      </c>
      <c r="D94" s="93">
        <v>43282</v>
      </c>
      <c r="E94" s="99">
        <v>1766.76</v>
      </c>
      <c r="F94" s="100"/>
      <c r="G94" s="101">
        <v>5</v>
      </c>
      <c r="H94" s="102">
        <v>5</v>
      </c>
      <c r="I94" s="99">
        <v>0</v>
      </c>
      <c r="J94" s="99">
        <v>0</v>
      </c>
      <c r="K94" s="99">
        <v>1766.76</v>
      </c>
      <c r="L94" s="103">
        <v>0</v>
      </c>
    </row>
    <row r="95" spans="1:12" x14ac:dyDescent="0.45">
      <c r="A95" s="98" t="s">
        <v>153</v>
      </c>
      <c r="B95" s="87">
        <v>304</v>
      </c>
      <c r="C95" s="98" t="s">
        <v>212</v>
      </c>
      <c r="D95" s="93">
        <v>43282</v>
      </c>
      <c r="E95" s="99">
        <v>1171.48</v>
      </c>
      <c r="F95" s="100"/>
      <c r="G95" s="101">
        <v>7</v>
      </c>
      <c r="H95" s="102">
        <v>7</v>
      </c>
      <c r="I95" s="99">
        <v>167.35428571428571</v>
      </c>
      <c r="J95" s="99">
        <v>0</v>
      </c>
      <c r="K95" s="99">
        <v>921.32983755234261</v>
      </c>
      <c r="L95" s="103">
        <v>250.15016244765741</v>
      </c>
    </row>
    <row r="96" spans="1:12" x14ac:dyDescent="0.45">
      <c r="A96" s="98" t="s">
        <v>153</v>
      </c>
      <c r="B96" s="87">
        <v>333</v>
      </c>
      <c r="C96" s="98" t="s">
        <v>213</v>
      </c>
      <c r="D96" s="93">
        <v>43282</v>
      </c>
      <c r="E96" s="99">
        <v>2014.71</v>
      </c>
      <c r="F96" s="100"/>
      <c r="G96" s="101">
        <v>25</v>
      </c>
      <c r="H96" s="102">
        <v>7</v>
      </c>
      <c r="I96" s="99">
        <v>80.588400000000007</v>
      </c>
      <c r="J96" s="99">
        <v>0</v>
      </c>
      <c r="K96" s="99">
        <v>443.66056813963701</v>
      </c>
      <c r="L96" s="103">
        <v>1571.049431860363</v>
      </c>
    </row>
    <row r="97" spans="1:12" x14ac:dyDescent="0.45">
      <c r="A97" s="98" t="s">
        <v>153</v>
      </c>
      <c r="B97" s="87">
        <v>311</v>
      </c>
      <c r="C97" s="98" t="s">
        <v>214</v>
      </c>
      <c r="D97" s="93">
        <v>43282</v>
      </c>
      <c r="E97" s="99">
        <v>1269.8499999999999</v>
      </c>
      <c r="F97" s="100"/>
      <c r="G97" s="101">
        <v>25</v>
      </c>
      <c r="H97" s="102">
        <v>7</v>
      </c>
      <c r="I97" s="99">
        <v>50.793999999999997</v>
      </c>
      <c r="J97" s="99">
        <v>0</v>
      </c>
      <c r="K97" s="99">
        <v>279.63447466489856</v>
      </c>
      <c r="L97" s="103">
        <v>990.21552533510135</v>
      </c>
    </row>
    <row r="98" spans="1:12" x14ac:dyDescent="0.45">
      <c r="A98" s="98" t="s">
        <v>153</v>
      </c>
      <c r="B98" s="87">
        <v>334</v>
      </c>
      <c r="C98" s="98" t="s">
        <v>215</v>
      </c>
      <c r="D98" s="93">
        <v>43647</v>
      </c>
      <c r="E98" s="99">
        <v>1564.89</v>
      </c>
      <c r="F98" s="100"/>
      <c r="G98" s="101">
        <v>25</v>
      </c>
      <c r="H98" s="102">
        <v>6</v>
      </c>
      <c r="I98" s="99">
        <v>62.595600000000005</v>
      </c>
      <c r="J98" s="99">
        <v>0</v>
      </c>
      <c r="K98" s="99">
        <v>282.00982037118933</v>
      </c>
      <c r="L98" s="103">
        <v>1282.8801796288108</v>
      </c>
    </row>
    <row r="99" spans="1:12" x14ac:dyDescent="0.45">
      <c r="A99" s="98" t="s">
        <v>153</v>
      </c>
      <c r="B99" s="87">
        <v>333</v>
      </c>
      <c r="C99" s="98" t="s">
        <v>216</v>
      </c>
      <c r="D99" s="93">
        <v>43647</v>
      </c>
      <c r="E99" s="99">
        <v>8857.51</v>
      </c>
      <c r="F99" s="100"/>
      <c r="G99" s="101">
        <v>25</v>
      </c>
      <c r="H99" s="102">
        <v>6</v>
      </c>
      <c r="I99" s="99">
        <v>354.30040000000002</v>
      </c>
      <c r="J99" s="99">
        <v>0</v>
      </c>
      <c r="K99" s="99">
        <v>1596.2175002945942</v>
      </c>
      <c r="L99" s="103">
        <v>7261.292499705406</v>
      </c>
    </row>
    <row r="100" spans="1:12" x14ac:dyDescent="0.45">
      <c r="A100" s="98" t="s">
        <v>153</v>
      </c>
      <c r="B100" s="87">
        <v>333</v>
      </c>
      <c r="C100" s="98" t="s">
        <v>217</v>
      </c>
      <c r="D100" s="93">
        <v>44013</v>
      </c>
      <c r="E100" s="99">
        <v>1800.7</v>
      </c>
      <c r="F100" s="100"/>
      <c r="G100" s="101">
        <v>25</v>
      </c>
      <c r="H100" s="102">
        <v>5</v>
      </c>
      <c r="I100" s="99">
        <v>72.028000000000006</v>
      </c>
      <c r="J100" s="99">
        <v>0</v>
      </c>
      <c r="K100" s="99">
        <v>252.27995318898252</v>
      </c>
      <c r="L100" s="103">
        <v>1548.4200468110175</v>
      </c>
    </row>
    <row r="101" spans="1:12" x14ac:dyDescent="0.45">
      <c r="A101" s="98" t="s">
        <v>153</v>
      </c>
      <c r="B101" s="87">
        <v>334</v>
      </c>
      <c r="C101" s="98" t="s">
        <v>218</v>
      </c>
      <c r="D101" s="93">
        <v>44013</v>
      </c>
      <c r="E101" s="99">
        <v>1144.52</v>
      </c>
      <c r="F101" s="100"/>
      <c r="G101" s="101">
        <v>25</v>
      </c>
      <c r="H101" s="102">
        <v>5</v>
      </c>
      <c r="I101" s="99">
        <v>45.780799999999999</v>
      </c>
      <c r="J101" s="99">
        <v>0</v>
      </c>
      <c r="K101" s="99">
        <v>160.3484489497713</v>
      </c>
      <c r="L101" s="103">
        <v>984.17155105022869</v>
      </c>
    </row>
    <row r="102" spans="1:12" x14ac:dyDescent="0.45">
      <c r="A102" s="98" t="s">
        <v>153</v>
      </c>
      <c r="B102" s="87">
        <v>346</v>
      </c>
      <c r="C102" s="98" t="s">
        <v>219</v>
      </c>
      <c r="D102" s="93">
        <v>44013</v>
      </c>
      <c r="E102" s="99">
        <v>1599.19</v>
      </c>
      <c r="F102" s="100"/>
      <c r="G102" s="101">
        <v>7</v>
      </c>
      <c r="H102" s="102">
        <v>5</v>
      </c>
      <c r="I102" s="99">
        <v>228.45571428571429</v>
      </c>
      <c r="J102" s="99">
        <v>0</v>
      </c>
      <c r="K102" s="99">
        <v>800.17211231403826</v>
      </c>
      <c r="L102" s="103">
        <v>799.0178876859618</v>
      </c>
    </row>
    <row r="103" spans="1:12" x14ac:dyDescent="0.45">
      <c r="A103" s="98" t="s">
        <v>153</v>
      </c>
      <c r="B103" s="87">
        <v>334</v>
      </c>
      <c r="C103" s="98" t="s">
        <v>220</v>
      </c>
      <c r="D103" s="93">
        <v>44378</v>
      </c>
      <c r="E103" s="99">
        <v>1122.6600000000001</v>
      </c>
      <c r="F103" s="100"/>
      <c r="G103" s="101">
        <v>25</v>
      </c>
      <c r="H103" s="102">
        <v>4</v>
      </c>
      <c r="I103" s="99">
        <v>44.906400000000005</v>
      </c>
      <c r="J103" s="99">
        <v>0</v>
      </c>
      <c r="K103" s="99">
        <v>112.37944008837735</v>
      </c>
      <c r="L103" s="103">
        <v>1010.2805599116227</v>
      </c>
    </row>
    <row r="104" spans="1:12" x14ac:dyDescent="0.45">
      <c r="A104" s="98" t="s">
        <v>153</v>
      </c>
      <c r="B104" s="87">
        <v>333</v>
      </c>
      <c r="C104" s="98" t="s">
        <v>221</v>
      </c>
      <c r="D104" s="93">
        <v>44378</v>
      </c>
      <c r="E104" s="99">
        <v>1510.34</v>
      </c>
      <c r="F104" s="100"/>
      <c r="G104" s="101">
        <v>25</v>
      </c>
      <c r="H104" s="102">
        <v>4</v>
      </c>
      <c r="I104" s="99">
        <v>60.413599999999995</v>
      </c>
      <c r="J104" s="99">
        <v>0</v>
      </c>
      <c r="K104" s="99">
        <v>151.18661352776667</v>
      </c>
      <c r="L104" s="103">
        <v>1359.1533864722333</v>
      </c>
    </row>
    <row r="105" spans="1:12" x14ac:dyDescent="0.45">
      <c r="A105" s="98" t="s">
        <v>153</v>
      </c>
      <c r="B105" s="87">
        <v>346</v>
      </c>
      <c r="C105" s="98" t="s">
        <v>222</v>
      </c>
      <c r="D105" s="93">
        <v>44378</v>
      </c>
      <c r="E105" s="99">
        <v>1293.75</v>
      </c>
      <c r="F105" s="100"/>
      <c r="G105" s="101">
        <v>7</v>
      </c>
      <c r="H105" s="102">
        <v>4</v>
      </c>
      <c r="I105" s="99">
        <v>184.82142857142858</v>
      </c>
      <c r="J105" s="99">
        <v>0</v>
      </c>
      <c r="K105" s="99">
        <v>462.52045719967134</v>
      </c>
      <c r="L105" s="103">
        <v>831.22954280032866</v>
      </c>
    </row>
    <row r="106" spans="1:12" x14ac:dyDescent="0.45">
      <c r="A106" s="98" t="s">
        <v>153</v>
      </c>
      <c r="B106" s="87">
        <v>330</v>
      </c>
      <c r="C106" s="98" t="s">
        <v>223</v>
      </c>
      <c r="D106" s="93">
        <v>44378</v>
      </c>
      <c r="E106" s="99">
        <v>10021.39</v>
      </c>
      <c r="F106" s="100"/>
      <c r="G106" s="101">
        <v>25</v>
      </c>
      <c r="H106" s="102">
        <v>4</v>
      </c>
      <c r="I106" s="99">
        <v>400.85559999999998</v>
      </c>
      <c r="J106" s="99">
        <v>0</v>
      </c>
      <c r="K106" s="99">
        <v>1003.1516194638425</v>
      </c>
      <c r="L106" s="103">
        <v>9018.2383805361569</v>
      </c>
    </row>
    <row r="107" spans="1:12" x14ac:dyDescent="0.45">
      <c r="A107" s="98" t="s">
        <v>153</v>
      </c>
      <c r="B107" s="87">
        <v>343</v>
      </c>
      <c r="C107" s="98" t="s">
        <v>224</v>
      </c>
      <c r="D107" s="93">
        <v>44378</v>
      </c>
      <c r="E107" s="99">
        <v>3093.56</v>
      </c>
      <c r="F107" s="100"/>
      <c r="G107" s="101">
        <v>7</v>
      </c>
      <c r="H107" s="102">
        <v>4</v>
      </c>
      <c r="I107" s="99">
        <v>441.93714285714287</v>
      </c>
      <c r="J107" s="99">
        <v>0</v>
      </c>
      <c r="K107" s="99">
        <v>1105.959254550427</v>
      </c>
      <c r="L107" s="103">
        <v>1987.600745449573</v>
      </c>
    </row>
    <row r="108" spans="1:12" x14ac:dyDescent="0.45">
      <c r="A108" s="98" t="s">
        <v>153</v>
      </c>
      <c r="B108" s="87">
        <v>303</v>
      </c>
      <c r="C108" s="98" t="s">
        <v>225</v>
      </c>
      <c r="D108" s="93" t="s">
        <v>226</v>
      </c>
      <c r="E108" s="99">
        <v>134262.09</v>
      </c>
      <c r="F108" s="100"/>
      <c r="G108" s="101">
        <v>0</v>
      </c>
      <c r="H108" s="102"/>
      <c r="I108" s="99">
        <v>0</v>
      </c>
      <c r="J108" s="99">
        <v>0</v>
      </c>
      <c r="K108" s="99">
        <v>0</v>
      </c>
      <c r="L108" s="103">
        <v>134262.09</v>
      </c>
    </row>
    <row r="109" spans="1:12" x14ac:dyDescent="0.45">
      <c r="A109" s="98" t="s">
        <v>153</v>
      </c>
      <c r="B109" s="87">
        <v>303</v>
      </c>
      <c r="C109" s="98" t="s">
        <v>227</v>
      </c>
      <c r="D109" s="93" t="s">
        <v>226</v>
      </c>
      <c r="E109" s="99">
        <v>10028.59</v>
      </c>
      <c r="F109" s="100"/>
      <c r="G109" s="101">
        <v>0</v>
      </c>
      <c r="H109" s="102"/>
      <c r="I109" s="99">
        <v>0</v>
      </c>
      <c r="J109" s="99">
        <v>0</v>
      </c>
      <c r="K109" s="99">
        <v>0</v>
      </c>
      <c r="L109" s="103">
        <v>10028.59</v>
      </c>
    </row>
    <row r="110" spans="1:12" x14ac:dyDescent="0.45">
      <c r="A110" s="98" t="s">
        <v>153</v>
      </c>
      <c r="B110" s="87">
        <v>303</v>
      </c>
      <c r="C110" s="98" t="s">
        <v>228</v>
      </c>
      <c r="D110" s="93" t="s">
        <v>226</v>
      </c>
      <c r="E110" s="99">
        <v>23530.81</v>
      </c>
      <c r="F110" s="100"/>
      <c r="G110" s="101">
        <v>0</v>
      </c>
      <c r="H110" s="102"/>
      <c r="I110" s="99">
        <v>0</v>
      </c>
      <c r="J110" s="99">
        <v>0</v>
      </c>
      <c r="K110" s="99">
        <v>0</v>
      </c>
      <c r="L110" s="103">
        <v>23530.81</v>
      </c>
    </row>
    <row r="111" spans="1:12" x14ac:dyDescent="0.45">
      <c r="A111" s="98" t="s">
        <v>153</v>
      </c>
      <c r="B111" s="87">
        <v>334</v>
      </c>
      <c r="C111" s="98" t="s">
        <v>229</v>
      </c>
      <c r="D111" s="93">
        <v>44571</v>
      </c>
      <c r="E111" s="99">
        <v>753.75</v>
      </c>
      <c r="F111" s="100"/>
      <c r="G111" s="101">
        <v>20</v>
      </c>
      <c r="H111" s="102">
        <v>3</v>
      </c>
      <c r="I111" s="99">
        <v>37.6875</v>
      </c>
      <c r="J111" s="99">
        <v>0</v>
      </c>
      <c r="K111" s="99">
        <v>74.38604313963765</v>
      </c>
      <c r="L111" s="103">
        <v>679.36395686036235</v>
      </c>
    </row>
    <row r="112" spans="1:12" x14ac:dyDescent="0.45">
      <c r="A112" s="98" t="s">
        <v>153</v>
      </c>
      <c r="B112" s="87">
        <v>334</v>
      </c>
      <c r="C112" s="98" t="s">
        <v>229</v>
      </c>
      <c r="D112" s="93">
        <v>44571</v>
      </c>
      <c r="E112" s="99">
        <v>86.24</v>
      </c>
      <c r="F112" s="100"/>
      <c r="G112" s="101">
        <v>20</v>
      </c>
      <c r="H112" s="102">
        <v>3</v>
      </c>
      <c r="I112" s="99">
        <v>4.3119999999999994</v>
      </c>
      <c r="J112" s="99">
        <v>0</v>
      </c>
      <c r="K112" s="99">
        <v>8.5108489026367096</v>
      </c>
      <c r="L112" s="103">
        <v>77.729151097363285</v>
      </c>
    </row>
    <row r="113" spans="1:12" x14ac:dyDescent="0.45">
      <c r="A113" s="98" t="s">
        <v>153</v>
      </c>
      <c r="B113" s="87">
        <v>339</v>
      </c>
      <c r="C113" s="98" t="s">
        <v>230</v>
      </c>
      <c r="D113" s="93">
        <v>44672</v>
      </c>
      <c r="E113" s="99">
        <v>147.51</v>
      </c>
      <c r="F113" s="100"/>
      <c r="G113" s="101">
        <v>30</v>
      </c>
      <c r="H113" s="102">
        <v>3</v>
      </c>
      <c r="I113" s="99">
        <v>4.9169999999999998</v>
      </c>
      <c r="J113" s="99">
        <v>0</v>
      </c>
      <c r="K113" s="99">
        <v>8.3443785903668299</v>
      </c>
      <c r="L113" s="103">
        <v>139.16562140963316</v>
      </c>
    </row>
    <row r="114" spans="1:12" x14ac:dyDescent="0.45">
      <c r="A114" s="98" t="s">
        <v>153</v>
      </c>
      <c r="B114" s="87">
        <v>339</v>
      </c>
      <c r="C114" s="98" t="s">
        <v>230</v>
      </c>
      <c r="D114" s="93">
        <v>44672</v>
      </c>
      <c r="E114" s="99">
        <v>693.79</v>
      </c>
      <c r="F114" s="100"/>
      <c r="G114" s="101">
        <v>30</v>
      </c>
      <c r="H114" s="102">
        <v>3</v>
      </c>
      <c r="I114" s="99">
        <v>23.126333333333331</v>
      </c>
      <c r="J114" s="99">
        <v>0</v>
      </c>
      <c r="K114" s="99">
        <v>39.246467508715455</v>
      </c>
      <c r="L114" s="103">
        <v>654.54353249128451</v>
      </c>
    </row>
    <row r="115" spans="1:12" x14ac:dyDescent="0.45">
      <c r="A115" s="98" t="s">
        <v>153</v>
      </c>
      <c r="B115" s="87">
        <v>339</v>
      </c>
      <c r="C115" s="98" t="s">
        <v>230</v>
      </c>
      <c r="D115" s="93">
        <v>44672</v>
      </c>
      <c r="E115" s="99">
        <v>36.99</v>
      </c>
      <c r="F115" s="100"/>
      <c r="G115" s="101">
        <v>30</v>
      </c>
      <c r="H115" s="102">
        <v>3</v>
      </c>
      <c r="I115" s="99">
        <v>1.2330000000000001</v>
      </c>
      <c r="J115" s="99">
        <v>0</v>
      </c>
      <c r="K115" s="99">
        <v>2.0924585726911289</v>
      </c>
      <c r="L115" s="103">
        <v>34.897541427308873</v>
      </c>
    </row>
    <row r="116" spans="1:12" x14ac:dyDescent="0.45">
      <c r="A116" s="98" t="s">
        <v>153</v>
      </c>
      <c r="B116" s="87">
        <v>339</v>
      </c>
      <c r="C116" s="98" t="s">
        <v>231</v>
      </c>
      <c r="D116" s="93">
        <v>44679</v>
      </c>
      <c r="E116" s="99">
        <v>131.06</v>
      </c>
      <c r="F116" s="100"/>
      <c r="G116" s="101">
        <v>30</v>
      </c>
      <c r="H116" s="102">
        <v>3</v>
      </c>
      <c r="I116" s="99">
        <v>4.3686666666666669</v>
      </c>
      <c r="J116" s="99">
        <v>0</v>
      </c>
      <c r="K116" s="99">
        <v>7.3300486718711113</v>
      </c>
      <c r="L116" s="103">
        <v>123.72995132812889</v>
      </c>
    </row>
    <row r="117" spans="1:12" x14ac:dyDescent="0.45">
      <c r="A117" s="98" t="s">
        <v>153</v>
      </c>
      <c r="B117" s="87">
        <v>339</v>
      </c>
      <c r="C117" s="98" t="s">
        <v>230</v>
      </c>
      <c r="D117" s="93">
        <v>44719</v>
      </c>
      <c r="E117" s="99">
        <v>907.41</v>
      </c>
      <c r="F117" s="100"/>
      <c r="G117" s="101">
        <v>30</v>
      </c>
      <c r="H117" s="102">
        <v>3</v>
      </c>
      <c r="I117" s="99">
        <v>30.247</v>
      </c>
      <c r="J117" s="99">
        <v>0</v>
      </c>
      <c r="K117" s="99">
        <v>47.435752150537382</v>
      </c>
      <c r="L117" s="103">
        <v>859.97424784946259</v>
      </c>
    </row>
    <row r="118" spans="1:12" x14ac:dyDescent="0.45">
      <c r="A118" s="98" t="s">
        <v>153</v>
      </c>
      <c r="B118" s="87">
        <v>339</v>
      </c>
      <c r="C118" s="98" t="s">
        <v>232</v>
      </c>
      <c r="D118" s="93">
        <v>44736</v>
      </c>
      <c r="E118" s="99">
        <v>2682.55</v>
      </c>
      <c r="F118" s="100"/>
      <c r="G118" s="101">
        <v>30</v>
      </c>
      <c r="H118" s="102">
        <v>3</v>
      </c>
      <c r="I118" s="99">
        <v>89.418333333333337</v>
      </c>
      <c r="J118" s="99">
        <v>0</v>
      </c>
      <c r="K118" s="99">
        <v>136.06825584278431</v>
      </c>
      <c r="L118" s="103">
        <v>2546.4817441572159</v>
      </c>
    </row>
    <row r="119" spans="1:12" x14ac:dyDescent="0.45">
      <c r="A119" s="98" t="s">
        <v>153</v>
      </c>
      <c r="B119" s="87">
        <v>339</v>
      </c>
      <c r="C119" s="98" t="s">
        <v>232</v>
      </c>
      <c r="D119" s="93">
        <v>44772</v>
      </c>
      <c r="E119" s="99">
        <v>394</v>
      </c>
      <c r="F119" s="100"/>
      <c r="G119" s="101">
        <v>40</v>
      </c>
      <c r="H119" s="102">
        <v>3</v>
      </c>
      <c r="I119" s="99">
        <v>9.85</v>
      </c>
      <c r="J119" s="99">
        <v>0</v>
      </c>
      <c r="K119" s="99">
        <v>14.017279790838018</v>
      </c>
      <c r="L119" s="103">
        <v>379.98272020916198</v>
      </c>
    </row>
    <row r="120" spans="1:12" x14ac:dyDescent="0.45">
      <c r="A120" s="104" t="s">
        <v>153</v>
      </c>
      <c r="B120" s="87">
        <v>339</v>
      </c>
      <c r="C120" s="98" t="s">
        <v>233</v>
      </c>
      <c r="D120" s="93">
        <v>41091</v>
      </c>
      <c r="E120" s="99">
        <v>-1850594</v>
      </c>
      <c r="F120" s="100"/>
      <c r="G120" s="101">
        <v>25</v>
      </c>
      <c r="H120" s="102">
        <v>13</v>
      </c>
      <c r="I120" s="99">
        <v>-74023.759999999995</v>
      </c>
      <c r="J120" s="99">
        <v>0</v>
      </c>
      <c r="K120" s="99">
        <v>-851865.8444124317</v>
      </c>
      <c r="L120" s="103">
        <v>-998728.1555875683</v>
      </c>
    </row>
    <row r="121" spans="1:12" x14ac:dyDescent="0.45">
      <c r="A121" s="104" t="s">
        <v>234</v>
      </c>
      <c r="B121" s="87">
        <v>310</v>
      </c>
      <c r="C121" s="98" t="s">
        <v>235</v>
      </c>
      <c r="D121" s="93">
        <v>45131</v>
      </c>
      <c r="E121" s="99">
        <v>25211.66</v>
      </c>
      <c r="F121" s="100"/>
      <c r="G121" s="101">
        <v>15</v>
      </c>
      <c r="H121" s="102">
        <v>2</v>
      </c>
      <c r="I121" s="99">
        <v>1680.7773333333332</v>
      </c>
      <c r="J121" s="99">
        <v>0</v>
      </c>
      <c r="K121" s="99">
        <v>840.38866666666581</v>
      </c>
      <c r="L121" s="103">
        <v>24371.271333333334</v>
      </c>
    </row>
    <row r="122" spans="1:12" x14ac:dyDescent="0.45">
      <c r="A122" s="98" t="s">
        <v>234</v>
      </c>
      <c r="B122" s="87">
        <v>333</v>
      </c>
      <c r="C122" s="98" t="s">
        <v>236</v>
      </c>
      <c r="D122" s="93">
        <v>44805</v>
      </c>
      <c r="E122" s="99">
        <v>11001.5</v>
      </c>
      <c r="F122" s="100"/>
      <c r="G122" s="101">
        <v>50</v>
      </c>
      <c r="H122" s="102">
        <v>3</v>
      </c>
      <c r="I122" s="99">
        <v>220.03</v>
      </c>
      <c r="J122" s="99">
        <v>0</v>
      </c>
      <c r="K122" s="99">
        <v>293.37333333332208</v>
      </c>
      <c r="L122" s="103">
        <v>10708.126666666678</v>
      </c>
    </row>
    <row r="123" spans="1:12" x14ac:dyDescent="0.45">
      <c r="A123" s="98" t="s">
        <v>234</v>
      </c>
      <c r="B123" s="87">
        <v>334</v>
      </c>
      <c r="C123" s="98" t="s">
        <v>237</v>
      </c>
      <c r="D123" s="93">
        <v>44865</v>
      </c>
      <c r="E123" s="99">
        <v>21064.15</v>
      </c>
      <c r="F123" s="100"/>
      <c r="G123" s="101">
        <v>25</v>
      </c>
      <c r="H123" s="102">
        <v>2</v>
      </c>
      <c r="I123" s="99">
        <v>842.56600000000003</v>
      </c>
      <c r="J123" s="99">
        <v>0</v>
      </c>
      <c r="K123" s="99">
        <v>1053.2075000000259</v>
      </c>
      <c r="L123" s="103">
        <v>20010.942499999976</v>
      </c>
    </row>
    <row r="124" spans="1:12" x14ac:dyDescent="0.45">
      <c r="A124" s="98" t="s">
        <v>234</v>
      </c>
      <c r="B124" s="87">
        <v>346</v>
      </c>
      <c r="C124" s="98" t="s">
        <v>238</v>
      </c>
      <c r="D124" s="93">
        <v>44712</v>
      </c>
      <c r="E124" s="99">
        <v>17959.57</v>
      </c>
      <c r="F124" s="100"/>
      <c r="G124" s="101">
        <v>10</v>
      </c>
      <c r="H124" s="102">
        <v>3</v>
      </c>
      <c r="I124" s="99">
        <v>1795.9569999999999</v>
      </c>
      <c r="J124" s="99">
        <v>0</v>
      </c>
      <c r="K124" s="99">
        <v>2993.2616666666581</v>
      </c>
      <c r="L124" s="103">
        <v>14966.308333333342</v>
      </c>
    </row>
    <row r="125" spans="1:12" x14ac:dyDescent="0.45">
      <c r="A125" s="98" t="s">
        <v>234</v>
      </c>
      <c r="B125" s="87">
        <v>348</v>
      </c>
      <c r="C125" s="98" t="s">
        <v>144</v>
      </c>
      <c r="D125" s="93">
        <v>45223</v>
      </c>
      <c r="E125" s="99">
        <v>734.41</v>
      </c>
      <c r="F125" s="100"/>
      <c r="G125" s="101">
        <v>10</v>
      </c>
      <c r="H125" s="102">
        <v>1</v>
      </c>
      <c r="I125" s="99">
        <v>73.441000000000003</v>
      </c>
      <c r="J125" s="99">
        <v>0</v>
      </c>
      <c r="K125" s="99">
        <v>18.360250000000065</v>
      </c>
      <c r="L125" s="103">
        <v>716.0497499999999</v>
      </c>
    </row>
    <row r="126" spans="1:12" x14ac:dyDescent="0.45">
      <c r="A126" s="98" t="s">
        <v>234</v>
      </c>
      <c r="B126" s="87">
        <v>304</v>
      </c>
      <c r="C126" s="98" t="s">
        <v>239</v>
      </c>
      <c r="D126" s="93">
        <v>45261</v>
      </c>
      <c r="E126" s="99">
        <v>3218.62</v>
      </c>
      <c r="F126" s="100"/>
      <c r="G126" s="101">
        <v>35</v>
      </c>
      <c r="H126" s="102">
        <v>1</v>
      </c>
      <c r="I126" s="99">
        <v>91.960571428571427</v>
      </c>
      <c r="J126" s="99">
        <v>0</v>
      </c>
      <c r="K126" s="99">
        <v>7.6633809523809759</v>
      </c>
      <c r="L126" s="103">
        <v>3210.9566190476189</v>
      </c>
    </row>
    <row r="127" spans="1:12" x14ac:dyDescent="0.45">
      <c r="A127" s="98" t="s">
        <v>240</v>
      </c>
      <c r="B127" s="87">
        <v>304</v>
      </c>
      <c r="C127" s="98" t="s">
        <v>241</v>
      </c>
      <c r="D127" s="93">
        <v>37200</v>
      </c>
      <c r="E127" s="99">
        <v>13458</v>
      </c>
      <c r="F127" s="100"/>
      <c r="G127" s="101">
        <v>35</v>
      </c>
      <c r="H127" s="102">
        <v>23</v>
      </c>
      <c r="I127" s="99">
        <v>384.51428571428573</v>
      </c>
      <c r="J127" s="99">
        <v>0</v>
      </c>
      <c r="K127" s="99">
        <v>8536.2200000000084</v>
      </c>
      <c r="L127" s="103">
        <v>4921.7799999999916</v>
      </c>
    </row>
    <row r="128" spans="1:12" x14ac:dyDescent="0.45">
      <c r="A128" s="98" t="s">
        <v>240</v>
      </c>
      <c r="B128" s="87">
        <v>307</v>
      </c>
      <c r="C128" s="98" t="s">
        <v>242</v>
      </c>
      <c r="D128" s="93">
        <v>30482</v>
      </c>
      <c r="E128" s="99">
        <v>34049</v>
      </c>
      <c r="F128" s="100"/>
      <c r="G128" s="101">
        <v>25</v>
      </c>
      <c r="H128" s="102">
        <v>25</v>
      </c>
      <c r="I128" s="99">
        <v>0</v>
      </c>
      <c r="J128" s="99">
        <v>0</v>
      </c>
      <c r="K128" s="99">
        <v>34049</v>
      </c>
      <c r="L128" s="103">
        <v>0</v>
      </c>
    </row>
    <row r="129" spans="1:12" x14ac:dyDescent="0.45">
      <c r="A129" s="98" t="s">
        <v>240</v>
      </c>
      <c r="B129" s="87">
        <v>331</v>
      </c>
      <c r="C129" s="98" t="s">
        <v>243</v>
      </c>
      <c r="D129" s="93">
        <v>30482</v>
      </c>
      <c r="E129" s="99">
        <v>28037</v>
      </c>
      <c r="F129" s="100"/>
      <c r="G129" s="101">
        <v>50</v>
      </c>
      <c r="H129" s="102">
        <v>42</v>
      </c>
      <c r="I129" s="99">
        <v>560.74</v>
      </c>
      <c r="J129" s="99">
        <v>0</v>
      </c>
      <c r="K129" s="99">
        <v>22759.813333333335</v>
      </c>
      <c r="L129" s="103">
        <v>5277.1866666666647</v>
      </c>
    </row>
    <row r="130" spans="1:12" x14ac:dyDescent="0.45">
      <c r="A130" s="98" t="s">
        <v>240</v>
      </c>
      <c r="B130" s="87">
        <v>330</v>
      </c>
      <c r="C130" s="98" t="s">
        <v>244</v>
      </c>
      <c r="D130" s="93">
        <v>30482</v>
      </c>
      <c r="E130" s="99">
        <v>18905</v>
      </c>
      <c r="F130" s="100"/>
      <c r="G130" s="101">
        <v>25</v>
      </c>
      <c r="H130" s="102">
        <v>25</v>
      </c>
      <c r="I130" s="99">
        <v>0</v>
      </c>
      <c r="J130" s="99">
        <v>0</v>
      </c>
      <c r="K130" s="99">
        <v>18905</v>
      </c>
      <c r="L130" s="103">
        <v>0</v>
      </c>
    </row>
    <row r="131" spans="1:12" x14ac:dyDescent="0.45">
      <c r="A131" s="98" t="s">
        <v>240</v>
      </c>
      <c r="B131" s="87">
        <v>348</v>
      </c>
      <c r="C131" s="98" t="s">
        <v>245</v>
      </c>
      <c r="D131" s="93">
        <v>30482</v>
      </c>
      <c r="E131" s="99">
        <v>9587</v>
      </c>
      <c r="F131" s="100"/>
      <c r="G131" s="101">
        <v>6</v>
      </c>
      <c r="H131" s="102">
        <v>6</v>
      </c>
      <c r="I131" s="99">
        <v>0</v>
      </c>
      <c r="J131" s="99">
        <v>0</v>
      </c>
      <c r="K131" s="99">
        <v>9587</v>
      </c>
      <c r="L131" s="103">
        <v>0</v>
      </c>
    </row>
    <row r="132" spans="1:12" x14ac:dyDescent="0.45">
      <c r="A132" s="98" t="s">
        <v>240</v>
      </c>
      <c r="B132" s="87">
        <v>333</v>
      </c>
      <c r="C132" s="98" t="s">
        <v>246</v>
      </c>
      <c r="D132" s="93">
        <v>30482</v>
      </c>
      <c r="E132" s="99">
        <v>697</v>
      </c>
      <c r="F132" s="100"/>
      <c r="G132" s="101">
        <v>30</v>
      </c>
      <c r="H132" s="102">
        <v>30</v>
      </c>
      <c r="I132" s="99">
        <v>0</v>
      </c>
      <c r="J132" s="99">
        <v>0</v>
      </c>
      <c r="K132" s="99">
        <v>697</v>
      </c>
      <c r="L132" s="103">
        <v>0</v>
      </c>
    </row>
    <row r="133" spans="1:12" x14ac:dyDescent="0.45">
      <c r="A133" s="98" t="s">
        <v>240</v>
      </c>
      <c r="B133" s="87">
        <v>333</v>
      </c>
      <c r="C133" s="98" t="s">
        <v>247</v>
      </c>
      <c r="D133" s="93">
        <v>32309</v>
      </c>
      <c r="E133" s="99">
        <v>948</v>
      </c>
      <c r="F133" s="100"/>
      <c r="G133" s="101">
        <v>30</v>
      </c>
      <c r="H133" s="102">
        <v>30</v>
      </c>
      <c r="I133" s="99">
        <v>0</v>
      </c>
      <c r="J133" s="99">
        <v>0</v>
      </c>
      <c r="K133" s="99">
        <v>948</v>
      </c>
      <c r="L133" s="103">
        <v>0</v>
      </c>
    </row>
    <row r="134" spans="1:12" x14ac:dyDescent="0.45">
      <c r="A134" s="98" t="s">
        <v>240</v>
      </c>
      <c r="B134" s="87">
        <v>333</v>
      </c>
      <c r="C134" s="98" t="s">
        <v>247</v>
      </c>
      <c r="D134" s="93">
        <v>32674</v>
      </c>
      <c r="E134" s="99">
        <v>1368</v>
      </c>
      <c r="F134" s="100"/>
      <c r="G134" s="101">
        <v>30</v>
      </c>
      <c r="H134" s="102">
        <v>30</v>
      </c>
      <c r="I134" s="99">
        <v>0</v>
      </c>
      <c r="J134" s="99">
        <v>0</v>
      </c>
      <c r="K134" s="99">
        <v>1368</v>
      </c>
      <c r="L134" s="103">
        <v>0</v>
      </c>
    </row>
    <row r="135" spans="1:12" x14ac:dyDescent="0.45">
      <c r="A135" s="98" t="s">
        <v>240</v>
      </c>
      <c r="B135" s="87">
        <v>333</v>
      </c>
      <c r="C135" s="98" t="s">
        <v>247</v>
      </c>
      <c r="D135" s="93">
        <v>33039</v>
      </c>
      <c r="E135" s="99">
        <v>2550</v>
      </c>
      <c r="F135" s="100"/>
      <c r="G135" s="101">
        <v>30</v>
      </c>
      <c r="H135" s="102">
        <v>30</v>
      </c>
      <c r="I135" s="99">
        <v>0</v>
      </c>
      <c r="J135" s="99">
        <v>0</v>
      </c>
      <c r="K135" s="99">
        <v>2550</v>
      </c>
      <c r="L135" s="103">
        <v>0</v>
      </c>
    </row>
    <row r="136" spans="1:12" x14ac:dyDescent="0.45">
      <c r="A136" s="98" t="s">
        <v>240</v>
      </c>
      <c r="B136" s="87">
        <v>311</v>
      </c>
      <c r="C136" s="98" t="s">
        <v>248</v>
      </c>
      <c r="D136" s="93">
        <v>34005</v>
      </c>
      <c r="E136" s="99">
        <v>4889</v>
      </c>
      <c r="F136" s="100"/>
      <c r="G136" s="101">
        <v>20</v>
      </c>
      <c r="H136" s="102">
        <v>20</v>
      </c>
      <c r="I136" s="99">
        <v>0</v>
      </c>
      <c r="J136" s="99">
        <v>0</v>
      </c>
      <c r="K136" s="99">
        <v>4889</v>
      </c>
      <c r="L136" s="103">
        <v>0</v>
      </c>
    </row>
    <row r="137" spans="1:12" x14ac:dyDescent="0.45">
      <c r="A137" s="98" t="s">
        <v>240</v>
      </c>
      <c r="B137" s="87">
        <v>330</v>
      </c>
      <c r="C137" s="98" t="s">
        <v>249</v>
      </c>
      <c r="D137" s="93">
        <v>32674</v>
      </c>
      <c r="E137" s="99">
        <v>10469</v>
      </c>
      <c r="F137" s="100"/>
      <c r="G137" s="101">
        <v>25</v>
      </c>
      <c r="H137" s="102">
        <v>25</v>
      </c>
      <c r="I137" s="99">
        <v>0</v>
      </c>
      <c r="J137" s="99">
        <v>0</v>
      </c>
      <c r="K137" s="99">
        <v>10469</v>
      </c>
      <c r="L137" s="103">
        <v>0</v>
      </c>
    </row>
    <row r="138" spans="1:12" x14ac:dyDescent="0.45">
      <c r="A138" s="98" t="s">
        <v>240</v>
      </c>
      <c r="B138" s="87">
        <v>334</v>
      </c>
      <c r="C138" s="98" t="s">
        <v>141</v>
      </c>
      <c r="D138" s="93">
        <v>34516</v>
      </c>
      <c r="E138" s="99">
        <v>6774</v>
      </c>
      <c r="F138" s="100"/>
      <c r="G138" s="101">
        <v>20</v>
      </c>
      <c r="H138" s="102">
        <v>20</v>
      </c>
      <c r="I138" s="99">
        <v>0</v>
      </c>
      <c r="J138" s="99">
        <v>0</v>
      </c>
      <c r="K138" s="99">
        <v>6774</v>
      </c>
      <c r="L138" s="103">
        <v>0</v>
      </c>
    </row>
    <row r="139" spans="1:12" x14ac:dyDescent="0.45">
      <c r="A139" s="98" t="s">
        <v>240</v>
      </c>
      <c r="B139" s="87">
        <v>348</v>
      </c>
      <c r="C139" s="98" t="s">
        <v>250</v>
      </c>
      <c r="D139" s="93">
        <v>34516</v>
      </c>
      <c r="E139" s="99">
        <v>2943</v>
      </c>
      <c r="F139" s="100"/>
      <c r="G139" s="101">
        <v>6</v>
      </c>
      <c r="H139" s="102">
        <v>6</v>
      </c>
      <c r="I139" s="99">
        <v>0</v>
      </c>
      <c r="J139" s="99">
        <v>0</v>
      </c>
      <c r="K139" s="99">
        <v>2943</v>
      </c>
      <c r="L139" s="103">
        <v>0</v>
      </c>
    </row>
    <row r="140" spans="1:12" x14ac:dyDescent="0.45">
      <c r="A140" s="98" t="s">
        <v>240</v>
      </c>
      <c r="B140" s="87">
        <v>311</v>
      </c>
      <c r="C140" s="98" t="s">
        <v>251</v>
      </c>
      <c r="D140" s="93">
        <v>34881</v>
      </c>
      <c r="E140" s="99">
        <v>2689</v>
      </c>
      <c r="F140" s="100"/>
      <c r="G140" s="101">
        <v>20</v>
      </c>
      <c r="H140" s="102">
        <v>20</v>
      </c>
      <c r="I140" s="99">
        <v>0</v>
      </c>
      <c r="J140" s="99">
        <v>0</v>
      </c>
      <c r="K140" s="99">
        <v>2689</v>
      </c>
      <c r="L140" s="103">
        <v>0</v>
      </c>
    </row>
    <row r="141" spans="1:12" x14ac:dyDescent="0.45">
      <c r="A141" s="98" t="s">
        <v>240</v>
      </c>
      <c r="B141" s="87">
        <v>339</v>
      </c>
      <c r="C141" s="98" t="s">
        <v>252</v>
      </c>
      <c r="D141" s="93">
        <v>35247</v>
      </c>
      <c r="E141" s="99">
        <v>1994</v>
      </c>
      <c r="F141" s="100"/>
      <c r="G141" s="101">
        <v>40</v>
      </c>
      <c r="H141" s="102">
        <v>29</v>
      </c>
      <c r="I141" s="99">
        <v>49.85</v>
      </c>
      <c r="J141" s="99">
        <v>0</v>
      </c>
      <c r="K141" s="99">
        <v>1373.0866666666675</v>
      </c>
      <c r="L141" s="103">
        <v>620.9133333333325</v>
      </c>
    </row>
    <row r="142" spans="1:12" x14ac:dyDescent="0.45">
      <c r="A142" s="98" t="s">
        <v>240</v>
      </c>
      <c r="B142" s="87">
        <v>330</v>
      </c>
      <c r="C142" s="98" t="s">
        <v>253</v>
      </c>
      <c r="D142" s="93">
        <v>35247</v>
      </c>
      <c r="E142" s="99">
        <v>2108</v>
      </c>
      <c r="F142" s="100"/>
      <c r="G142" s="101">
        <v>50</v>
      </c>
      <c r="H142" s="102">
        <v>29</v>
      </c>
      <c r="I142" s="99">
        <v>42.16</v>
      </c>
      <c r="J142" s="99">
        <v>0</v>
      </c>
      <c r="K142" s="99">
        <v>1161.2733333333331</v>
      </c>
      <c r="L142" s="103">
        <v>946.72666666666692</v>
      </c>
    </row>
    <row r="143" spans="1:12" x14ac:dyDescent="0.45">
      <c r="A143" s="98" t="s">
        <v>240</v>
      </c>
      <c r="B143" s="87">
        <v>311</v>
      </c>
      <c r="C143" s="98" t="s">
        <v>254</v>
      </c>
      <c r="D143" s="93">
        <v>36038</v>
      </c>
      <c r="E143" s="99">
        <v>1562</v>
      </c>
      <c r="F143" s="100"/>
      <c r="G143" s="101">
        <v>20</v>
      </c>
      <c r="H143" s="102">
        <v>20</v>
      </c>
      <c r="I143" s="99">
        <v>0</v>
      </c>
      <c r="J143" s="99">
        <v>0</v>
      </c>
      <c r="K143" s="99">
        <v>1562</v>
      </c>
      <c r="L143" s="103">
        <v>0</v>
      </c>
    </row>
    <row r="144" spans="1:12" x14ac:dyDescent="0.45">
      <c r="A144" s="98" t="s">
        <v>240</v>
      </c>
      <c r="B144" s="87">
        <v>320</v>
      </c>
      <c r="C144" s="98" t="s">
        <v>255</v>
      </c>
      <c r="D144" s="93">
        <v>36707</v>
      </c>
      <c r="E144" s="99">
        <v>819</v>
      </c>
      <c r="F144" s="100"/>
      <c r="G144" s="101">
        <v>20</v>
      </c>
      <c r="H144" s="102">
        <v>20</v>
      </c>
      <c r="I144" s="99">
        <v>0</v>
      </c>
      <c r="J144" s="99">
        <v>0</v>
      </c>
      <c r="K144" s="99">
        <v>819</v>
      </c>
      <c r="L144" s="103">
        <v>0</v>
      </c>
    </row>
    <row r="145" spans="1:12" x14ac:dyDescent="0.45">
      <c r="A145" s="98" t="s">
        <v>240</v>
      </c>
      <c r="B145" s="87">
        <v>311</v>
      </c>
      <c r="C145" s="98" t="s">
        <v>256</v>
      </c>
      <c r="D145" s="93">
        <v>37762</v>
      </c>
      <c r="E145" s="99">
        <v>4324</v>
      </c>
      <c r="F145" s="100"/>
      <c r="G145" s="101">
        <v>20</v>
      </c>
      <c r="H145" s="102">
        <v>20</v>
      </c>
      <c r="I145" s="99">
        <v>0</v>
      </c>
      <c r="J145" s="99">
        <v>0</v>
      </c>
      <c r="K145" s="99">
        <v>4324</v>
      </c>
      <c r="L145" s="103">
        <v>0</v>
      </c>
    </row>
    <row r="146" spans="1:12" x14ac:dyDescent="0.45">
      <c r="A146" s="98" t="s">
        <v>240</v>
      </c>
      <c r="B146" s="87">
        <v>334</v>
      </c>
      <c r="C146" s="98" t="s">
        <v>257</v>
      </c>
      <c r="D146" s="93">
        <v>38357</v>
      </c>
      <c r="E146" s="99">
        <v>355</v>
      </c>
      <c r="F146" s="100"/>
      <c r="G146" s="101">
        <v>20</v>
      </c>
      <c r="H146" s="102">
        <v>20</v>
      </c>
      <c r="I146" s="99">
        <v>0</v>
      </c>
      <c r="J146" s="99">
        <v>0</v>
      </c>
      <c r="K146" s="99">
        <v>337.84666666666664</v>
      </c>
      <c r="L146" s="103">
        <v>17.153333333333364</v>
      </c>
    </row>
    <row r="147" spans="1:12" x14ac:dyDescent="0.45">
      <c r="A147" s="98" t="s">
        <v>240</v>
      </c>
      <c r="B147" s="87">
        <v>320</v>
      </c>
      <c r="C147" s="98" t="s">
        <v>258</v>
      </c>
      <c r="D147" s="93">
        <v>38714</v>
      </c>
      <c r="E147" s="99">
        <v>2200</v>
      </c>
      <c r="F147" s="100"/>
      <c r="G147" s="101">
        <v>20</v>
      </c>
      <c r="H147" s="102">
        <v>19</v>
      </c>
      <c r="I147" s="99">
        <v>110</v>
      </c>
      <c r="J147" s="99">
        <v>0</v>
      </c>
      <c r="K147" s="99">
        <v>1985.8066666666671</v>
      </c>
      <c r="L147" s="103">
        <v>214.19333333333293</v>
      </c>
    </row>
    <row r="148" spans="1:12" x14ac:dyDescent="0.45">
      <c r="A148" s="98" t="s">
        <v>240</v>
      </c>
      <c r="B148" s="87">
        <v>320</v>
      </c>
      <c r="C148" s="98" t="s">
        <v>259</v>
      </c>
      <c r="D148" s="93">
        <v>39335</v>
      </c>
      <c r="E148" s="99">
        <v>341</v>
      </c>
      <c r="F148" s="100"/>
      <c r="G148" s="101">
        <v>20</v>
      </c>
      <c r="H148" s="102">
        <v>18</v>
      </c>
      <c r="I148" s="99">
        <v>17.05</v>
      </c>
      <c r="J148" s="99">
        <v>0</v>
      </c>
      <c r="K148" s="99">
        <v>278.81333333333339</v>
      </c>
      <c r="L148" s="103">
        <v>62.186666666666611</v>
      </c>
    </row>
    <row r="149" spans="1:12" x14ac:dyDescent="0.45">
      <c r="A149" s="98" t="s">
        <v>240</v>
      </c>
      <c r="B149" s="87">
        <v>311</v>
      </c>
      <c r="C149" s="98" t="s">
        <v>260</v>
      </c>
      <c r="D149" s="93">
        <v>39413</v>
      </c>
      <c r="E149" s="99">
        <v>5761</v>
      </c>
      <c r="F149" s="100"/>
      <c r="G149" s="101">
        <v>20</v>
      </c>
      <c r="H149" s="102">
        <v>17</v>
      </c>
      <c r="I149" s="99">
        <v>288.05</v>
      </c>
      <c r="J149" s="99">
        <v>0</v>
      </c>
      <c r="K149" s="99">
        <v>4648.8066666666655</v>
      </c>
      <c r="L149" s="103">
        <v>1112.1933333333345</v>
      </c>
    </row>
    <row r="150" spans="1:12" x14ac:dyDescent="0.45">
      <c r="A150" s="98" t="s">
        <v>240</v>
      </c>
      <c r="B150" s="87">
        <v>311</v>
      </c>
      <c r="C150" s="98" t="s">
        <v>261</v>
      </c>
      <c r="D150" s="93">
        <v>39898</v>
      </c>
      <c r="E150" s="99">
        <v>2548</v>
      </c>
      <c r="F150" s="100"/>
      <c r="G150" s="101">
        <v>20</v>
      </c>
      <c r="H150" s="102">
        <v>16</v>
      </c>
      <c r="I150" s="99">
        <v>127.4</v>
      </c>
      <c r="J150" s="99">
        <v>0</v>
      </c>
      <c r="K150" s="99">
        <v>1886.5866666666668</v>
      </c>
      <c r="L150" s="103">
        <v>661.41333333333318</v>
      </c>
    </row>
    <row r="151" spans="1:12" x14ac:dyDescent="0.45">
      <c r="A151" s="98" t="s">
        <v>240</v>
      </c>
      <c r="B151" s="87">
        <v>311</v>
      </c>
      <c r="C151" s="98" t="s">
        <v>262</v>
      </c>
      <c r="D151" s="93">
        <v>39882</v>
      </c>
      <c r="E151" s="99">
        <v>172</v>
      </c>
      <c r="F151" s="100"/>
      <c r="G151" s="101">
        <v>20</v>
      </c>
      <c r="H151" s="102">
        <v>16</v>
      </c>
      <c r="I151" s="99">
        <v>8.6</v>
      </c>
      <c r="J151" s="99">
        <v>0</v>
      </c>
      <c r="K151" s="99">
        <v>127.73666666666672</v>
      </c>
      <c r="L151" s="103">
        <v>44.263333333333279</v>
      </c>
    </row>
    <row r="152" spans="1:12" x14ac:dyDescent="0.45">
      <c r="A152" s="98" t="s">
        <v>240</v>
      </c>
      <c r="B152" s="87">
        <v>311</v>
      </c>
      <c r="C152" s="98" t="s">
        <v>263</v>
      </c>
      <c r="D152" s="93">
        <v>41404</v>
      </c>
      <c r="E152" s="99">
        <v>2146</v>
      </c>
      <c r="F152" s="100"/>
      <c r="G152" s="101">
        <v>20</v>
      </c>
      <c r="H152" s="102">
        <v>12</v>
      </c>
      <c r="I152" s="99">
        <v>107.3</v>
      </c>
      <c r="J152" s="99">
        <v>0</v>
      </c>
      <c r="K152" s="99">
        <v>1146.6166666666654</v>
      </c>
      <c r="L152" s="103">
        <v>999.38333333333458</v>
      </c>
    </row>
    <row r="153" spans="1:12" x14ac:dyDescent="0.45">
      <c r="A153" s="98" t="s">
        <v>240</v>
      </c>
      <c r="B153" s="87">
        <v>303</v>
      </c>
      <c r="C153" s="98" t="s">
        <v>264</v>
      </c>
      <c r="D153" s="93" t="s">
        <v>265</v>
      </c>
      <c r="E153" s="99">
        <v>550</v>
      </c>
      <c r="F153" s="100"/>
      <c r="G153" s="101">
        <v>0</v>
      </c>
      <c r="H153" s="102"/>
      <c r="I153" s="99">
        <v>0</v>
      </c>
      <c r="J153" s="99">
        <v>0</v>
      </c>
      <c r="K153" s="99">
        <v>0</v>
      </c>
      <c r="L153" s="103">
        <v>550</v>
      </c>
    </row>
    <row r="154" spans="1:12" x14ac:dyDescent="0.45">
      <c r="A154" s="98" t="s">
        <v>240</v>
      </c>
      <c r="B154" s="87">
        <v>303</v>
      </c>
      <c r="C154" s="98" t="s">
        <v>266</v>
      </c>
      <c r="D154" s="93" t="s">
        <v>265</v>
      </c>
      <c r="E154" s="99">
        <v>1325</v>
      </c>
      <c r="F154" s="100"/>
      <c r="G154" s="101">
        <v>0</v>
      </c>
      <c r="H154" s="102"/>
      <c r="I154" s="99">
        <v>0</v>
      </c>
      <c r="J154" s="99">
        <v>0</v>
      </c>
      <c r="K154" s="99">
        <v>0</v>
      </c>
      <c r="L154" s="103">
        <v>1325</v>
      </c>
    </row>
    <row r="155" spans="1:12" x14ac:dyDescent="0.45">
      <c r="A155" s="98" t="s">
        <v>267</v>
      </c>
      <c r="B155" s="87">
        <v>330</v>
      </c>
      <c r="C155" s="98" t="s">
        <v>268</v>
      </c>
      <c r="D155" s="93">
        <v>27760</v>
      </c>
      <c r="E155" s="99">
        <v>4193</v>
      </c>
      <c r="F155" s="100"/>
      <c r="G155" s="101">
        <v>50</v>
      </c>
      <c r="H155" s="102">
        <v>49</v>
      </c>
      <c r="I155" s="99">
        <v>83.86</v>
      </c>
      <c r="J155" s="99">
        <v>0</v>
      </c>
      <c r="K155" s="99">
        <v>4027.1180273972609</v>
      </c>
      <c r="L155" s="103">
        <v>165.8819726027391</v>
      </c>
    </row>
    <row r="156" spans="1:12" x14ac:dyDescent="0.45">
      <c r="A156" s="98" t="s">
        <v>267</v>
      </c>
      <c r="B156" s="87">
        <v>303</v>
      </c>
      <c r="C156" s="98" t="s">
        <v>269</v>
      </c>
      <c r="D156" s="93">
        <v>28856</v>
      </c>
      <c r="E156" s="99">
        <v>166148</v>
      </c>
      <c r="F156" s="100"/>
      <c r="G156" s="101">
        <v>0</v>
      </c>
      <c r="H156" s="102">
        <v>0</v>
      </c>
      <c r="I156" s="99">
        <v>0</v>
      </c>
      <c r="J156" s="99">
        <v>0</v>
      </c>
      <c r="K156" s="99">
        <v>0</v>
      </c>
      <c r="L156" s="103">
        <v>166148</v>
      </c>
    </row>
    <row r="157" spans="1:12" x14ac:dyDescent="0.45">
      <c r="A157" s="98" t="s">
        <v>267</v>
      </c>
      <c r="B157" s="87">
        <v>311</v>
      </c>
      <c r="C157" s="98" t="s">
        <v>270</v>
      </c>
      <c r="D157" s="93">
        <v>28856</v>
      </c>
      <c r="E157" s="99">
        <v>667</v>
      </c>
      <c r="F157" s="100"/>
      <c r="G157" s="101">
        <v>10</v>
      </c>
      <c r="H157" s="102">
        <v>10</v>
      </c>
      <c r="I157" s="99">
        <v>0</v>
      </c>
      <c r="J157" s="99">
        <v>0</v>
      </c>
      <c r="K157" s="99">
        <v>667</v>
      </c>
      <c r="L157" s="103">
        <v>0</v>
      </c>
    </row>
    <row r="158" spans="1:12" x14ac:dyDescent="0.45">
      <c r="A158" s="98" t="s">
        <v>267</v>
      </c>
      <c r="B158" s="87">
        <v>347</v>
      </c>
      <c r="C158" s="98" t="s">
        <v>271</v>
      </c>
      <c r="D158" s="93">
        <v>30317</v>
      </c>
      <c r="E158" s="99">
        <v>541</v>
      </c>
      <c r="F158" s="100"/>
      <c r="G158" s="101">
        <v>10</v>
      </c>
      <c r="H158" s="102">
        <v>10</v>
      </c>
      <c r="I158" s="99">
        <v>0</v>
      </c>
      <c r="J158" s="99">
        <v>0</v>
      </c>
      <c r="K158" s="99">
        <v>541</v>
      </c>
      <c r="L158" s="103">
        <v>0</v>
      </c>
    </row>
    <row r="159" spans="1:12" x14ac:dyDescent="0.45">
      <c r="A159" s="98" t="s">
        <v>267</v>
      </c>
      <c r="B159" s="87">
        <v>330</v>
      </c>
      <c r="C159" s="98" t="s">
        <v>272</v>
      </c>
      <c r="D159" s="93">
        <v>30317</v>
      </c>
      <c r="E159" s="99">
        <v>84665</v>
      </c>
      <c r="F159" s="100"/>
      <c r="G159" s="101">
        <v>50</v>
      </c>
      <c r="H159" s="102">
        <v>42</v>
      </c>
      <c r="I159" s="99">
        <v>1693.3</v>
      </c>
      <c r="J159" s="99">
        <v>0</v>
      </c>
      <c r="K159" s="99">
        <v>69453.135068493153</v>
      </c>
      <c r="L159" s="103">
        <v>15211.864931506847</v>
      </c>
    </row>
    <row r="160" spans="1:12" x14ac:dyDescent="0.45">
      <c r="A160" s="98" t="s">
        <v>267</v>
      </c>
      <c r="B160" s="87">
        <v>344</v>
      </c>
      <c r="C160" s="98" t="s">
        <v>273</v>
      </c>
      <c r="D160" s="93">
        <v>30682</v>
      </c>
      <c r="E160" s="99">
        <v>382</v>
      </c>
      <c r="F160" s="100"/>
      <c r="G160" s="101">
        <v>15</v>
      </c>
      <c r="H160" s="102">
        <v>15</v>
      </c>
      <c r="I160" s="99">
        <v>0</v>
      </c>
      <c r="J160" s="99">
        <v>0</v>
      </c>
      <c r="K160" s="99">
        <v>382</v>
      </c>
      <c r="L160" s="103">
        <v>0</v>
      </c>
    </row>
    <row r="161" spans="1:12" x14ac:dyDescent="0.45">
      <c r="A161" s="98" t="s">
        <v>267</v>
      </c>
      <c r="B161" s="87">
        <v>330</v>
      </c>
      <c r="C161" s="98" t="s">
        <v>272</v>
      </c>
      <c r="D161" s="93">
        <v>30682</v>
      </c>
      <c r="E161" s="99">
        <v>616</v>
      </c>
      <c r="F161" s="100"/>
      <c r="G161" s="101">
        <v>50</v>
      </c>
      <c r="H161" s="102">
        <v>41</v>
      </c>
      <c r="I161" s="99">
        <v>12.32</v>
      </c>
      <c r="J161" s="99">
        <v>0</v>
      </c>
      <c r="K161" s="99">
        <v>493.00252054794532</v>
      </c>
      <c r="L161" s="103">
        <v>122.99747945205468</v>
      </c>
    </row>
    <row r="162" spans="1:12" x14ac:dyDescent="0.45">
      <c r="A162" s="98" t="s">
        <v>267</v>
      </c>
      <c r="B162" s="87">
        <v>347</v>
      </c>
      <c r="C162" s="98" t="s">
        <v>274</v>
      </c>
      <c r="D162" s="93">
        <v>31048</v>
      </c>
      <c r="E162" s="99">
        <v>48119</v>
      </c>
      <c r="F162" s="100"/>
      <c r="G162" s="101">
        <v>10</v>
      </c>
      <c r="H162" s="102">
        <v>10</v>
      </c>
      <c r="I162" s="99">
        <v>0</v>
      </c>
      <c r="J162" s="99">
        <v>0</v>
      </c>
      <c r="K162" s="99">
        <v>48119</v>
      </c>
      <c r="L162" s="103">
        <v>0</v>
      </c>
    </row>
    <row r="163" spans="1:12" x14ac:dyDescent="0.45">
      <c r="A163" s="98" t="s">
        <v>267</v>
      </c>
      <c r="B163" s="87">
        <v>330</v>
      </c>
      <c r="C163" s="98" t="s">
        <v>272</v>
      </c>
      <c r="D163" s="93">
        <v>31048</v>
      </c>
      <c r="E163" s="99">
        <v>4466</v>
      </c>
      <c r="F163" s="100"/>
      <c r="G163" s="101">
        <v>50</v>
      </c>
      <c r="H163" s="102">
        <v>40</v>
      </c>
      <c r="I163" s="99">
        <v>89.32</v>
      </c>
      <c r="J163" s="99">
        <v>0</v>
      </c>
      <c r="K163" s="99">
        <v>3484.7035616438379</v>
      </c>
      <c r="L163" s="103">
        <v>981.29643835616207</v>
      </c>
    </row>
    <row r="164" spans="1:12" x14ac:dyDescent="0.45">
      <c r="A164" s="98" t="s">
        <v>267</v>
      </c>
      <c r="B164" s="87">
        <v>345</v>
      </c>
      <c r="C164" s="98" t="s">
        <v>262</v>
      </c>
      <c r="D164" s="93">
        <v>31778</v>
      </c>
      <c r="E164" s="99">
        <v>134</v>
      </c>
      <c r="F164" s="100"/>
      <c r="G164" s="101">
        <v>10</v>
      </c>
      <c r="H164" s="102">
        <v>10</v>
      </c>
      <c r="I164" s="99">
        <v>0</v>
      </c>
      <c r="J164" s="99">
        <v>0</v>
      </c>
      <c r="K164" s="99">
        <v>134</v>
      </c>
      <c r="L164" s="103">
        <v>0</v>
      </c>
    </row>
    <row r="165" spans="1:12" x14ac:dyDescent="0.45">
      <c r="A165" s="98" t="s">
        <v>267</v>
      </c>
      <c r="B165" s="87">
        <v>311</v>
      </c>
      <c r="C165" s="98" t="s">
        <v>275</v>
      </c>
      <c r="D165" s="93">
        <v>32143</v>
      </c>
      <c r="E165" s="99">
        <v>377</v>
      </c>
      <c r="F165" s="100"/>
      <c r="G165" s="101">
        <v>40</v>
      </c>
      <c r="H165" s="102">
        <v>37</v>
      </c>
      <c r="I165" s="99">
        <v>9.4250000000000007</v>
      </c>
      <c r="J165" s="99">
        <v>0</v>
      </c>
      <c r="K165" s="99">
        <v>339.42910958904116</v>
      </c>
      <c r="L165" s="103">
        <v>37.570890410958839</v>
      </c>
    </row>
    <row r="166" spans="1:12" x14ac:dyDescent="0.45">
      <c r="A166" s="98" t="s">
        <v>267</v>
      </c>
      <c r="B166" s="87">
        <v>334</v>
      </c>
      <c r="C166" s="98" t="s">
        <v>276</v>
      </c>
      <c r="D166" s="93">
        <v>32509</v>
      </c>
      <c r="E166" s="99">
        <v>11486</v>
      </c>
      <c r="F166" s="100"/>
      <c r="G166" s="101">
        <v>20</v>
      </c>
      <c r="H166" s="102">
        <v>20</v>
      </c>
      <c r="I166" s="99">
        <v>0</v>
      </c>
      <c r="J166" s="99">
        <v>0</v>
      </c>
      <c r="K166" s="99">
        <v>11486</v>
      </c>
      <c r="L166" s="103">
        <v>0</v>
      </c>
    </row>
    <row r="167" spans="1:12" x14ac:dyDescent="0.45">
      <c r="A167" s="98" t="s">
        <v>267</v>
      </c>
      <c r="B167" s="87">
        <v>347</v>
      </c>
      <c r="C167" s="98" t="s">
        <v>277</v>
      </c>
      <c r="D167" s="93">
        <v>32509</v>
      </c>
      <c r="E167" s="99">
        <v>5603</v>
      </c>
      <c r="F167" s="100"/>
      <c r="G167" s="101">
        <v>10</v>
      </c>
      <c r="H167" s="102">
        <v>10</v>
      </c>
      <c r="I167" s="99">
        <v>0</v>
      </c>
      <c r="J167" s="99">
        <v>0</v>
      </c>
      <c r="K167" s="99">
        <v>5603</v>
      </c>
      <c r="L167" s="103">
        <v>0</v>
      </c>
    </row>
    <row r="168" spans="1:12" x14ac:dyDescent="0.45">
      <c r="A168" s="98" t="s">
        <v>267</v>
      </c>
      <c r="B168" s="87">
        <v>347</v>
      </c>
      <c r="C168" s="98" t="s">
        <v>278</v>
      </c>
      <c r="D168" s="93">
        <v>32509</v>
      </c>
      <c r="E168" s="99">
        <v>909</v>
      </c>
      <c r="F168" s="100"/>
      <c r="G168" s="101">
        <v>10</v>
      </c>
      <c r="H168" s="102">
        <v>10</v>
      </c>
      <c r="I168" s="99">
        <v>0</v>
      </c>
      <c r="J168" s="99">
        <v>0</v>
      </c>
      <c r="K168" s="99">
        <v>909</v>
      </c>
      <c r="L168" s="103">
        <v>0</v>
      </c>
    </row>
    <row r="169" spans="1:12" x14ac:dyDescent="0.45">
      <c r="A169" s="98" t="s">
        <v>267</v>
      </c>
      <c r="B169" s="87">
        <v>330</v>
      </c>
      <c r="C169" s="98" t="s">
        <v>272</v>
      </c>
      <c r="D169" s="93">
        <v>32509</v>
      </c>
      <c r="E169" s="99">
        <v>15000</v>
      </c>
      <c r="F169" s="100"/>
      <c r="G169" s="101">
        <v>50</v>
      </c>
      <c r="H169" s="102">
        <v>36</v>
      </c>
      <c r="I169" s="99">
        <v>300</v>
      </c>
      <c r="J169" s="99">
        <v>0</v>
      </c>
      <c r="K169" s="99">
        <v>10503.287671232876</v>
      </c>
      <c r="L169" s="103">
        <v>4496.7123287671238</v>
      </c>
    </row>
    <row r="170" spans="1:12" x14ac:dyDescent="0.45">
      <c r="A170" s="98" t="s">
        <v>267</v>
      </c>
      <c r="B170" s="87">
        <v>334</v>
      </c>
      <c r="C170" s="98" t="s">
        <v>276</v>
      </c>
      <c r="D170" s="93">
        <v>32874</v>
      </c>
      <c r="E170" s="99">
        <v>1214</v>
      </c>
      <c r="F170" s="100"/>
      <c r="G170" s="101">
        <v>20</v>
      </c>
      <c r="H170" s="102">
        <v>20</v>
      </c>
      <c r="I170" s="99">
        <v>0</v>
      </c>
      <c r="J170" s="99">
        <v>0</v>
      </c>
      <c r="K170" s="99">
        <v>1214</v>
      </c>
      <c r="L170" s="103">
        <v>0</v>
      </c>
    </row>
    <row r="171" spans="1:12" x14ac:dyDescent="0.45">
      <c r="A171" s="98" t="s">
        <v>267</v>
      </c>
      <c r="B171" s="87">
        <v>345</v>
      </c>
      <c r="C171" s="98" t="s">
        <v>279</v>
      </c>
      <c r="D171" s="93">
        <v>32874</v>
      </c>
      <c r="E171" s="99">
        <v>1547</v>
      </c>
      <c r="F171" s="100"/>
      <c r="G171" s="101">
        <v>10</v>
      </c>
      <c r="H171" s="102">
        <v>10</v>
      </c>
      <c r="I171" s="99">
        <v>0</v>
      </c>
      <c r="J171" s="99">
        <v>0</v>
      </c>
      <c r="K171" s="99">
        <v>1547</v>
      </c>
      <c r="L171" s="103">
        <v>0</v>
      </c>
    </row>
    <row r="172" spans="1:12" x14ac:dyDescent="0.45">
      <c r="A172" s="98" t="s">
        <v>267</v>
      </c>
      <c r="B172" s="87">
        <v>330</v>
      </c>
      <c r="C172" s="98" t="s">
        <v>272</v>
      </c>
      <c r="D172" s="93">
        <v>32874</v>
      </c>
      <c r="E172" s="99">
        <v>165</v>
      </c>
      <c r="F172" s="100"/>
      <c r="G172" s="101">
        <v>50</v>
      </c>
      <c r="H172" s="102">
        <v>35</v>
      </c>
      <c r="I172" s="99">
        <v>3.3</v>
      </c>
      <c r="J172" s="99">
        <v>0</v>
      </c>
      <c r="K172" s="99">
        <v>112.23616438356163</v>
      </c>
      <c r="L172" s="103">
        <v>52.763835616438371</v>
      </c>
    </row>
    <row r="173" spans="1:12" x14ac:dyDescent="0.45">
      <c r="A173" s="98" t="s">
        <v>267</v>
      </c>
      <c r="B173" s="87">
        <v>330</v>
      </c>
      <c r="C173" s="98" t="s">
        <v>272</v>
      </c>
      <c r="D173" s="93">
        <v>32874</v>
      </c>
      <c r="E173" s="99">
        <v>1611</v>
      </c>
      <c r="F173" s="100"/>
      <c r="G173" s="101">
        <v>50</v>
      </c>
      <c r="H173" s="102">
        <v>35</v>
      </c>
      <c r="I173" s="99">
        <v>32.22</v>
      </c>
      <c r="J173" s="99">
        <v>0</v>
      </c>
      <c r="K173" s="99">
        <v>1095.833095890408</v>
      </c>
      <c r="L173" s="103">
        <v>515.166904109592</v>
      </c>
    </row>
    <row r="174" spans="1:12" x14ac:dyDescent="0.45">
      <c r="A174" s="98" t="s">
        <v>267</v>
      </c>
      <c r="B174" s="87">
        <v>334</v>
      </c>
      <c r="C174" s="98" t="s">
        <v>280</v>
      </c>
      <c r="D174" s="93">
        <v>33970</v>
      </c>
      <c r="E174" s="99">
        <v>1922</v>
      </c>
      <c r="F174" s="100"/>
      <c r="G174" s="101">
        <v>20</v>
      </c>
      <c r="H174" s="102">
        <v>20</v>
      </c>
      <c r="I174" s="99">
        <v>0</v>
      </c>
      <c r="J174" s="99">
        <v>0</v>
      </c>
      <c r="K174" s="99">
        <v>1922</v>
      </c>
      <c r="L174" s="103">
        <v>0</v>
      </c>
    </row>
    <row r="175" spans="1:12" x14ac:dyDescent="0.45">
      <c r="A175" s="98" t="s">
        <v>267</v>
      </c>
      <c r="B175" s="87">
        <v>347</v>
      </c>
      <c r="C175" s="98" t="s">
        <v>281</v>
      </c>
      <c r="D175" s="93">
        <v>33970</v>
      </c>
      <c r="E175" s="99">
        <v>2373</v>
      </c>
      <c r="F175" s="100"/>
      <c r="G175" s="101">
        <v>10</v>
      </c>
      <c r="H175" s="102">
        <v>10</v>
      </c>
      <c r="I175" s="99">
        <v>0</v>
      </c>
      <c r="J175" s="99">
        <v>0</v>
      </c>
      <c r="K175" s="99">
        <v>2373</v>
      </c>
      <c r="L175" s="103">
        <v>0</v>
      </c>
    </row>
    <row r="176" spans="1:12" x14ac:dyDescent="0.45">
      <c r="A176" s="98" t="s">
        <v>267</v>
      </c>
      <c r="B176" s="87">
        <v>345</v>
      </c>
      <c r="C176" s="98" t="s">
        <v>279</v>
      </c>
      <c r="D176" s="93">
        <v>33970</v>
      </c>
      <c r="E176" s="99">
        <v>248</v>
      </c>
      <c r="F176" s="100"/>
      <c r="G176" s="101">
        <v>10</v>
      </c>
      <c r="H176" s="102">
        <v>10</v>
      </c>
      <c r="I176" s="99">
        <v>0</v>
      </c>
      <c r="J176" s="99">
        <v>0</v>
      </c>
      <c r="K176" s="99">
        <v>248</v>
      </c>
      <c r="L176" s="103">
        <v>0</v>
      </c>
    </row>
    <row r="177" spans="1:12" x14ac:dyDescent="0.45">
      <c r="A177" s="98" t="s">
        <v>267</v>
      </c>
      <c r="B177" s="87">
        <v>330</v>
      </c>
      <c r="C177" s="98" t="s">
        <v>282</v>
      </c>
      <c r="D177" s="93">
        <v>34335</v>
      </c>
      <c r="E177" s="99">
        <v>176</v>
      </c>
      <c r="F177" s="100"/>
      <c r="G177" s="101">
        <v>50</v>
      </c>
      <c r="H177" s="102">
        <v>31</v>
      </c>
      <c r="I177" s="99">
        <v>3.52</v>
      </c>
      <c r="J177" s="99">
        <v>0</v>
      </c>
      <c r="K177" s="99">
        <v>105.62893150684948</v>
      </c>
      <c r="L177" s="103">
        <v>70.371068493150517</v>
      </c>
    </row>
    <row r="178" spans="1:12" x14ac:dyDescent="0.45">
      <c r="A178" s="98" t="s">
        <v>267</v>
      </c>
      <c r="B178" s="87">
        <v>330</v>
      </c>
      <c r="C178" s="98" t="s">
        <v>282</v>
      </c>
      <c r="D178" s="93">
        <v>34335</v>
      </c>
      <c r="E178" s="99">
        <v>68325</v>
      </c>
      <c r="F178" s="100"/>
      <c r="G178" s="101">
        <v>50</v>
      </c>
      <c r="H178" s="102">
        <v>31</v>
      </c>
      <c r="I178" s="99">
        <v>1366.5</v>
      </c>
      <c r="J178" s="99">
        <v>0</v>
      </c>
      <c r="K178" s="99">
        <v>41006.231506849319</v>
      </c>
      <c r="L178" s="103">
        <v>27318.768493150681</v>
      </c>
    </row>
    <row r="179" spans="1:12" x14ac:dyDescent="0.45">
      <c r="A179" s="98" t="s">
        <v>267</v>
      </c>
      <c r="B179" s="87">
        <v>330</v>
      </c>
      <c r="C179" s="98" t="s">
        <v>247</v>
      </c>
      <c r="D179" s="93">
        <v>34700</v>
      </c>
      <c r="E179" s="99">
        <v>2000</v>
      </c>
      <c r="F179" s="100"/>
      <c r="G179" s="101">
        <v>10</v>
      </c>
      <c r="H179" s="102">
        <v>10</v>
      </c>
      <c r="I179" s="99">
        <v>0</v>
      </c>
      <c r="J179" s="99">
        <v>0</v>
      </c>
      <c r="K179" s="99">
        <v>2000</v>
      </c>
      <c r="L179" s="103">
        <v>0</v>
      </c>
    </row>
    <row r="180" spans="1:12" x14ac:dyDescent="0.45">
      <c r="A180" s="98" t="s">
        <v>267</v>
      </c>
      <c r="B180" s="87">
        <v>334</v>
      </c>
      <c r="C180" s="98" t="s">
        <v>141</v>
      </c>
      <c r="D180" s="93">
        <v>34700</v>
      </c>
      <c r="E180" s="99">
        <v>1000</v>
      </c>
      <c r="F180" s="100"/>
      <c r="G180" s="101">
        <v>20</v>
      </c>
      <c r="H180" s="102">
        <v>20</v>
      </c>
      <c r="I180" s="99">
        <v>0</v>
      </c>
      <c r="J180" s="99">
        <v>0</v>
      </c>
      <c r="K180" s="99">
        <v>1000</v>
      </c>
      <c r="L180" s="103">
        <v>0</v>
      </c>
    </row>
    <row r="181" spans="1:12" x14ac:dyDescent="0.45">
      <c r="A181" s="98" t="s">
        <v>267</v>
      </c>
      <c r="B181" s="87">
        <v>334</v>
      </c>
      <c r="C181" s="98" t="s">
        <v>283</v>
      </c>
      <c r="D181" s="93">
        <v>34700</v>
      </c>
      <c r="E181" s="99">
        <v>372</v>
      </c>
      <c r="F181" s="100"/>
      <c r="G181" s="101">
        <v>20</v>
      </c>
      <c r="H181" s="102">
        <v>20</v>
      </c>
      <c r="I181" s="99">
        <v>0</v>
      </c>
      <c r="J181" s="99">
        <v>0</v>
      </c>
      <c r="K181" s="99">
        <v>372</v>
      </c>
      <c r="L181" s="103">
        <v>0</v>
      </c>
    </row>
    <row r="182" spans="1:12" x14ac:dyDescent="0.45">
      <c r="A182" s="98" t="s">
        <v>267</v>
      </c>
      <c r="B182" s="87">
        <v>347</v>
      </c>
      <c r="C182" s="98" t="s">
        <v>284</v>
      </c>
      <c r="D182" s="93">
        <v>34700</v>
      </c>
      <c r="E182" s="99">
        <v>996</v>
      </c>
      <c r="F182" s="100"/>
      <c r="G182" s="101">
        <v>10</v>
      </c>
      <c r="H182" s="102">
        <v>10</v>
      </c>
      <c r="I182" s="99">
        <v>0</v>
      </c>
      <c r="J182" s="99">
        <v>0</v>
      </c>
      <c r="K182" s="99">
        <v>996</v>
      </c>
      <c r="L182" s="103">
        <v>0</v>
      </c>
    </row>
    <row r="183" spans="1:12" x14ac:dyDescent="0.45">
      <c r="A183" s="98" t="s">
        <v>267</v>
      </c>
      <c r="B183" s="87">
        <v>311</v>
      </c>
      <c r="C183" s="98" t="s">
        <v>285</v>
      </c>
      <c r="D183" s="93">
        <v>37842</v>
      </c>
      <c r="E183" s="99">
        <v>607</v>
      </c>
      <c r="F183" s="100"/>
      <c r="G183" s="101">
        <v>40</v>
      </c>
      <c r="H183" s="102">
        <v>22</v>
      </c>
      <c r="I183" s="99">
        <v>15.175000000000001</v>
      </c>
      <c r="J183" s="99">
        <v>0</v>
      </c>
      <c r="K183" s="99">
        <v>309.5700000000009</v>
      </c>
      <c r="L183" s="103">
        <v>297.4299999999991</v>
      </c>
    </row>
    <row r="184" spans="1:12" x14ac:dyDescent="0.45">
      <c r="A184" s="98" t="s">
        <v>267</v>
      </c>
      <c r="B184" s="87">
        <v>347</v>
      </c>
      <c r="C184" s="98" t="s">
        <v>286</v>
      </c>
      <c r="D184" s="93">
        <v>42948</v>
      </c>
      <c r="E184" s="99">
        <v>6800</v>
      </c>
      <c r="F184" s="100"/>
      <c r="G184" s="101">
        <v>10</v>
      </c>
      <c r="H184" s="102">
        <v>8</v>
      </c>
      <c r="I184" s="99">
        <v>680</v>
      </c>
      <c r="J184" s="99">
        <v>0</v>
      </c>
      <c r="K184" s="99">
        <v>4363.1780821917846</v>
      </c>
      <c r="L184" s="103">
        <v>2436.8219178082154</v>
      </c>
    </row>
    <row r="185" spans="1:12" x14ac:dyDescent="0.45">
      <c r="A185" s="98" t="s">
        <v>267</v>
      </c>
      <c r="B185" s="87">
        <v>330</v>
      </c>
      <c r="C185" s="98" t="s">
        <v>287</v>
      </c>
      <c r="D185" s="93">
        <v>34335</v>
      </c>
      <c r="E185" s="99">
        <v>14118</v>
      </c>
      <c r="F185" s="100"/>
      <c r="G185" s="101">
        <v>50</v>
      </c>
      <c r="H185" s="102">
        <v>31</v>
      </c>
      <c r="I185" s="99">
        <v>282.36</v>
      </c>
      <c r="J185" s="99">
        <v>0</v>
      </c>
      <c r="K185" s="99">
        <v>7788.6799999999857</v>
      </c>
      <c r="L185" s="103">
        <v>6329.3200000000143</v>
      </c>
    </row>
    <row r="186" spans="1:12" x14ac:dyDescent="0.45">
      <c r="A186" s="98" t="s">
        <v>267</v>
      </c>
      <c r="B186" s="87">
        <v>330</v>
      </c>
      <c r="C186" s="98" t="s">
        <v>287</v>
      </c>
      <c r="D186" s="93">
        <v>34335</v>
      </c>
      <c r="E186" s="99">
        <v>8665</v>
      </c>
      <c r="F186" s="100"/>
      <c r="G186" s="101">
        <v>50</v>
      </c>
      <c r="H186" s="102">
        <v>31</v>
      </c>
      <c r="I186" s="99">
        <v>173.3</v>
      </c>
      <c r="J186" s="99">
        <v>0</v>
      </c>
      <c r="K186" s="99">
        <v>4779.7333333333299</v>
      </c>
      <c r="L186" s="103">
        <v>3885.2666666666701</v>
      </c>
    </row>
    <row r="187" spans="1:12" x14ac:dyDescent="0.45">
      <c r="A187" s="98" t="s">
        <v>267</v>
      </c>
      <c r="B187" s="87">
        <v>333</v>
      </c>
      <c r="C187" s="98" t="s">
        <v>288</v>
      </c>
      <c r="D187" s="93">
        <v>37872</v>
      </c>
      <c r="E187" s="99">
        <v>1502</v>
      </c>
      <c r="F187" s="100"/>
      <c r="G187" s="101">
        <v>30</v>
      </c>
      <c r="H187" s="102">
        <v>22</v>
      </c>
      <c r="I187" s="99">
        <v>50.06666666666667</v>
      </c>
      <c r="J187" s="99">
        <v>0</v>
      </c>
      <c r="K187" s="99">
        <v>897.02444444444416</v>
      </c>
      <c r="L187" s="103">
        <v>604.97555555555584</v>
      </c>
    </row>
    <row r="188" spans="1:12" x14ac:dyDescent="0.45">
      <c r="A188" s="98" t="s">
        <v>267</v>
      </c>
      <c r="B188" s="87">
        <v>333</v>
      </c>
      <c r="C188" s="98" t="s">
        <v>288</v>
      </c>
      <c r="D188" s="93">
        <v>37973</v>
      </c>
      <c r="E188" s="99">
        <v>1520</v>
      </c>
      <c r="F188" s="100"/>
      <c r="G188" s="101">
        <v>30</v>
      </c>
      <c r="H188" s="102">
        <v>21</v>
      </c>
      <c r="I188" s="99">
        <v>50.666666666666664</v>
      </c>
      <c r="J188" s="99">
        <v>0</v>
      </c>
      <c r="K188" s="99">
        <v>895.11444444444157</v>
      </c>
      <c r="L188" s="103">
        <v>624.88555555555843</v>
      </c>
    </row>
    <row r="189" spans="1:12" x14ac:dyDescent="0.45">
      <c r="A189" s="98" t="s">
        <v>267</v>
      </c>
      <c r="B189" s="87">
        <v>333</v>
      </c>
      <c r="C189" s="98" t="s">
        <v>288</v>
      </c>
      <c r="D189" s="93">
        <v>38898</v>
      </c>
      <c r="E189" s="99">
        <v>6952</v>
      </c>
      <c r="F189" s="100"/>
      <c r="G189" s="101">
        <v>30</v>
      </c>
      <c r="H189" s="102">
        <v>19</v>
      </c>
      <c r="I189" s="99">
        <v>231.73333333333332</v>
      </c>
      <c r="J189" s="99">
        <v>0</v>
      </c>
      <c r="K189" s="99">
        <v>3514.6222222222232</v>
      </c>
      <c r="L189" s="103">
        <v>3437.3777777777768</v>
      </c>
    </row>
    <row r="190" spans="1:12" x14ac:dyDescent="0.45">
      <c r="A190" s="98" t="s">
        <v>267</v>
      </c>
      <c r="B190" s="87">
        <v>333</v>
      </c>
      <c r="C190" s="98" t="s">
        <v>288</v>
      </c>
      <c r="D190" s="93">
        <v>38938</v>
      </c>
      <c r="E190" s="99">
        <v>2715</v>
      </c>
      <c r="F190" s="100"/>
      <c r="G190" s="101">
        <v>30</v>
      </c>
      <c r="H190" s="102">
        <v>19</v>
      </c>
      <c r="I190" s="99">
        <v>90.5</v>
      </c>
      <c r="J190" s="99">
        <v>0</v>
      </c>
      <c r="K190" s="99">
        <v>1357.5033333333377</v>
      </c>
      <c r="L190" s="103">
        <v>1357.4966666666623</v>
      </c>
    </row>
    <row r="191" spans="1:12" x14ac:dyDescent="0.45">
      <c r="A191" s="98" t="s">
        <v>267</v>
      </c>
      <c r="B191" s="87">
        <v>333</v>
      </c>
      <c r="C191" s="98" t="s">
        <v>288</v>
      </c>
      <c r="D191" s="93">
        <v>39082</v>
      </c>
      <c r="E191" s="99">
        <v>2177</v>
      </c>
      <c r="F191" s="100"/>
      <c r="G191" s="101">
        <v>30</v>
      </c>
      <c r="H191" s="102">
        <v>18</v>
      </c>
      <c r="I191" s="99">
        <v>72.566666666666663</v>
      </c>
      <c r="J191" s="99">
        <v>0</v>
      </c>
      <c r="K191" s="99">
        <v>1064.3144444444442</v>
      </c>
      <c r="L191" s="103">
        <v>1112.6855555555558</v>
      </c>
    </row>
    <row r="192" spans="1:12" x14ac:dyDescent="0.45">
      <c r="A192" s="98" t="s">
        <v>267</v>
      </c>
      <c r="B192" s="87">
        <v>311</v>
      </c>
      <c r="C192" s="98" t="s">
        <v>289</v>
      </c>
      <c r="D192" s="93">
        <v>39342</v>
      </c>
      <c r="E192" s="99">
        <v>9566</v>
      </c>
      <c r="F192" s="100"/>
      <c r="G192" s="101">
        <v>20</v>
      </c>
      <c r="H192" s="102">
        <v>18</v>
      </c>
      <c r="I192" s="99">
        <v>478.3</v>
      </c>
      <c r="J192" s="99">
        <v>0</v>
      </c>
      <c r="K192" s="99">
        <v>6656.3466666666664</v>
      </c>
      <c r="L192" s="103">
        <v>2909.6533333333336</v>
      </c>
    </row>
    <row r="193" spans="1:12" x14ac:dyDescent="0.45">
      <c r="A193" s="98" t="s">
        <v>267</v>
      </c>
      <c r="B193" s="87">
        <v>304</v>
      </c>
      <c r="C193" s="98" t="s">
        <v>290</v>
      </c>
      <c r="D193" s="93">
        <v>39386</v>
      </c>
      <c r="E193" s="99">
        <v>569</v>
      </c>
      <c r="F193" s="100"/>
      <c r="G193" s="101">
        <v>35</v>
      </c>
      <c r="H193" s="102">
        <v>17</v>
      </c>
      <c r="I193" s="99">
        <v>16.257142857142856</v>
      </c>
      <c r="J193" s="99">
        <v>0</v>
      </c>
      <c r="K193" s="99">
        <v>224.88666666666722</v>
      </c>
      <c r="L193" s="103">
        <v>344.11333333333278</v>
      </c>
    </row>
    <row r="194" spans="1:12" x14ac:dyDescent="0.45">
      <c r="A194" s="98" t="s">
        <v>267</v>
      </c>
      <c r="B194" s="87">
        <v>333</v>
      </c>
      <c r="C194" s="98" t="s">
        <v>288</v>
      </c>
      <c r="D194" s="93">
        <v>39848</v>
      </c>
      <c r="E194" s="99">
        <v>969</v>
      </c>
      <c r="F194" s="100"/>
      <c r="G194" s="101">
        <v>30</v>
      </c>
      <c r="H194" s="102">
        <v>16</v>
      </c>
      <c r="I194" s="99">
        <v>32.299999999999997</v>
      </c>
      <c r="J194" s="99">
        <v>0</v>
      </c>
      <c r="K194" s="99">
        <v>403.75333333333629</v>
      </c>
      <c r="L194" s="103">
        <v>565.24666666666371</v>
      </c>
    </row>
    <row r="195" spans="1:12" x14ac:dyDescent="0.45">
      <c r="A195" s="98" t="s">
        <v>267</v>
      </c>
      <c r="B195" s="87">
        <v>333</v>
      </c>
      <c r="C195" s="98" t="s">
        <v>288</v>
      </c>
      <c r="D195" s="93">
        <v>39854</v>
      </c>
      <c r="E195" s="99">
        <v>1266</v>
      </c>
      <c r="F195" s="100"/>
      <c r="G195" s="101">
        <v>30</v>
      </c>
      <c r="H195" s="102">
        <v>16</v>
      </c>
      <c r="I195" s="99">
        <v>42.2</v>
      </c>
      <c r="J195" s="99">
        <v>0</v>
      </c>
      <c r="K195" s="99">
        <v>527.50333333333242</v>
      </c>
      <c r="L195" s="103">
        <v>738.49666666666758</v>
      </c>
    </row>
    <row r="196" spans="1:12" x14ac:dyDescent="0.45">
      <c r="A196" s="98" t="s">
        <v>267</v>
      </c>
      <c r="B196" s="87">
        <v>311</v>
      </c>
      <c r="C196" s="98" t="s">
        <v>289</v>
      </c>
      <c r="D196" s="93">
        <v>39874</v>
      </c>
      <c r="E196" s="99">
        <v>3235</v>
      </c>
      <c r="F196" s="100"/>
      <c r="G196" s="101">
        <v>20</v>
      </c>
      <c r="H196" s="102">
        <v>16</v>
      </c>
      <c r="I196" s="99">
        <v>161.75</v>
      </c>
      <c r="J196" s="99">
        <v>0</v>
      </c>
      <c r="K196" s="99">
        <v>2008.3933333333375</v>
      </c>
      <c r="L196" s="103">
        <v>1226.6066666666625</v>
      </c>
    </row>
    <row r="197" spans="1:12" x14ac:dyDescent="0.45">
      <c r="A197" s="98" t="s">
        <v>267</v>
      </c>
      <c r="B197" s="87">
        <v>311</v>
      </c>
      <c r="C197" s="98" t="s">
        <v>289</v>
      </c>
      <c r="D197" s="93">
        <v>40209</v>
      </c>
      <c r="E197" s="99">
        <v>1654</v>
      </c>
      <c r="F197" s="100"/>
      <c r="G197" s="101">
        <v>20</v>
      </c>
      <c r="H197" s="102">
        <v>15</v>
      </c>
      <c r="I197" s="99">
        <v>82.7</v>
      </c>
      <c r="J197" s="99">
        <v>0</v>
      </c>
      <c r="K197" s="99">
        <v>957.94333333333248</v>
      </c>
      <c r="L197" s="103">
        <v>696.05666666666752</v>
      </c>
    </row>
    <row r="198" spans="1:12" x14ac:dyDescent="0.45">
      <c r="A198" s="98" t="s">
        <v>267</v>
      </c>
      <c r="B198" s="87">
        <v>330</v>
      </c>
      <c r="C198" s="98" t="s">
        <v>291</v>
      </c>
      <c r="D198" s="93">
        <v>40512</v>
      </c>
      <c r="E198" s="99">
        <v>555</v>
      </c>
      <c r="F198" s="100"/>
      <c r="G198" s="101">
        <v>25</v>
      </c>
      <c r="H198" s="102">
        <v>14</v>
      </c>
      <c r="I198" s="99">
        <v>22.2</v>
      </c>
      <c r="J198" s="99">
        <v>0</v>
      </c>
      <c r="K198" s="99">
        <v>238.65000000000128</v>
      </c>
      <c r="L198" s="103">
        <v>316.34999999999872</v>
      </c>
    </row>
    <row r="199" spans="1:12" x14ac:dyDescent="0.45">
      <c r="A199" s="98" t="s">
        <v>267</v>
      </c>
      <c r="B199" s="87">
        <v>333</v>
      </c>
      <c r="C199" s="98" t="s">
        <v>288</v>
      </c>
      <c r="D199" s="93">
        <v>40735</v>
      </c>
      <c r="E199" s="99">
        <v>629</v>
      </c>
      <c r="F199" s="100"/>
      <c r="G199" s="101">
        <v>30</v>
      </c>
      <c r="H199" s="102">
        <v>14</v>
      </c>
      <c r="I199" s="99">
        <v>20.966666666666665</v>
      </c>
      <c r="J199" s="99">
        <v>0</v>
      </c>
      <c r="K199" s="99">
        <v>211.41444444444352</v>
      </c>
      <c r="L199" s="103">
        <v>417.58555555555648</v>
      </c>
    </row>
    <row r="200" spans="1:12" x14ac:dyDescent="0.45">
      <c r="A200" s="98" t="s">
        <v>267</v>
      </c>
      <c r="B200" s="87">
        <v>311</v>
      </c>
      <c r="C200" s="98" t="s">
        <v>292</v>
      </c>
      <c r="D200" s="93">
        <v>40754</v>
      </c>
      <c r="E200" s="99">
        <v>500</v>
      </c>
      <c r="F200" s="100"/>
      <c r="G200" s="101">
        <v>40</v>
      </c>
      <c r="H200" s="102">
        <v>14</v>
      </c>
      <c r="I200" s="99">
        <v>12.5</v>
      </c>
      <c r="J200" s="99">
        <v>0</v>
      </c>
      <c r="K200" s="99">
        <v>126.04333333333437</v>
      </c>
      <c r="L200" s="103">
        <v>373.95666666666563</v>
      </c>
    </row>
    <row r="201" spans="1:12" x14ac:dyDescent="0.45">
      <c r="A201" s="98" t="s">
        <v>267</v>
      </c>
      <c r="B201" s="87">
        <v>333</v>
      </c>
      <c r="C201" s="98" t="s">
        <v>293</v>
      </c>
      <c r="D201" s="93">
        <v>42035</v>
      </c>
      <c r="E201" s="99">
        <v>800</v>
      </c>
      <c r="F201" s="100"/>
      <c r="G201" s="101">
        <v>35</v>
      </c>
      <c r="H201" s="102">
        <v>10</v>
      </c>
      <c r="I201" s="99">
        <v>22.857142857142858</v>
      </c>
      <c r="J201" s="99">
        <v>0</v>
      </c>
      <c r="K201" s="99">
        <v>150.47666666666782</v>
      </c>
      <c r="L201" s="103">
        <v>649.52333333333218</v>
      </c>
    </row>
    <row r="202" spans="1:12" x14ac:dyDescent="0.45">
      <c r="A202" s="98" t="s">
        <v>267</v>
      </c>
      <c r="B202" s="87">
        <v>333</v>
      </c>
      <c r="C202" s="98" t="s">
        <v>293</v>
      </c>
      <c r="D202" s="93">
        <v>42063</v>
      </c>
      <c r="E202" s="99">
        <v>400</v>
      </c>
      <c r="F202" s="100"/>
      <c r="G202" s="101">
        <v>35</v>
      </c>
      <c r="H202" s="102">
        <v>10</v>
      </c>
      <c r="I202" s="99">
        <v>11.428571428571429</v>
      </c>
      <c r="J202" s="99">
        <v>0</v>
      </c>
      <c r="K202" s="99">
        <v>74.283333333333928</v>
      </c>
      <c r="L202" s="103">
        <v>325.71666666666607</v>
      </c>
    </row>
    <row r="203" spans="1:12" x14ac:dyDescent="0.45">
      <c r="A203" s="98" t="s">
        <v>267</v>
      </c>
      <c r="B203" s="87">
        <v>333</v>
      </c>
      <c r="C203" s="98" t="s">
        <v>293</v>
      </c>
      <c r="D203" s="93">
        <v>42094</v>
      </c>
      <c r="E203" s="99">
        <v>400</v>
      </c>
      <c r="F203" s="100"/>
      <c r="G203" s="101">
        <v>35</v>
      </c>
      <c r="H203" s="102">
        <v>10</v>
      </c>
      <c r="I203" s="99">
        <v>11.428571428571429</v>
      </c>
      <c r="J203" s="99">
        <v>0</v>
      </c>
      <c r="K203" s="99">
        <v>73.33333333333394</v>
      </c>
      <c r="L203" s="103">
        <v>326.66666666666606</v>
      </c>
    </row>
    <row r="204" spans="1:12" x14ac:dyDescent="0.45">
      <c r="A204" s="98" t="s">
        <v>267</v>
      </c>
      <c r="B204" s="87">
        <v>333</v>
      </c>
      <c r="C204" s="98" t="s">
        <v>293</v>
      </c>
      <c r="D204" s="93">
        <v>42124</v>
      </c>
      <c r="E204" s="99">
        <v>600</v>
      </c>
      <c r="F204" s="100"/>
      <c r="G204" s="101">
        <v>35</v>
      </c>
      <c r="H204" s="102">
        <v>10</v>
      </c>
      <c r="I204" s="99">
        <v>17.142857142857142</v>
      </c>
      <c r="J204" s="99">
        <v>0</v>
      </c>
      <c r="K204" s="99">
        <v>108.57000000000096</v>
      </c>
      <c r="L204" s="103">
        <v>491.42999999999904</v>
      </c>
    </row>
    <row r="205" spans="1:12" x14ac:dyDescent="0.45">
      <c r="A205" s="98" t="s">
        <v>267</v>
      </c>
      <c r="B205" s="87">
        <v>333</v>
      </c>
      <c r="C205" s="98" t="s">
        <v>293</v>
      </c>
      <c r="D205" s="93">
        <v>42155</v>
      </c>
      <c r="E205" s="99">
        <v>200</v>
      </c>
      <c r="F205" s="100"/>
      <c r="G205" s="101">
        <v>35</v>
      </c>
      <c r="H205" s="102">
        <v>10</v>
      </c>
      <c r="I205" s="99">
        <v>5.7142857142857144</v>
      </c>
      <c r="J205" s="99">
        <v>0</v>
      </c>
      <c r="K205" s="99">
        <v>35.716666666666981</v>
      </c>
      <c r="L205" s="103">
        <v>164.28333333333302</v>
      </c>
    </row>
    <row r="206" spans="1:12" x14ac:dyDescent="0.45">
      <c r="A206" s="98" t="s">
        <v>267</v>
      </c>
      <c r="B206" s="87">
        <v>333</v>
      </c>
      <c r="C206" s="98" t="s">
        <v>293</v>
      </c>
      <c r="D206" s="93">
        <v>42185</v>
      </c>
      <c r="E206" s="99">
        <v>400</v>
      </c>
      <c r="F206" s="100"/>
      <c r="G206" s="101">
        <v>35</v>
      </c>
      <c r="H206" s="102">
        <v>10</v>
      </c>
      <c r="I206" s="99">
        <v>11.428571428571429</v>
      </c>
      <c r="J206" s="99">
        <v>0</v>
      </c>
      <c r="K206" s="99">
        <v>70.473333333333926</v>
      </c>
      <c r="L206" s="103">
        <v>329.52666666666607</v>
      </c>
    </row>
    <row r="207" spans="1:12" x14ac:dyDescent="0.45">
      <c r="A207" s="98" t="s">
        <v>267</v>
      </c>
      <c r="B207" s="87">
        <v>333</v>
      </c>
      <c r="C207" s="98" t="s">
        <v>293</v>
      </c>
      <c r="D207" s="93">
        <v>42247</v>
      </c>
      <c r="E207" s="99">
        <v>200</v>
      </c>
      <c r="F207" s="100"/>
      <c r="G207" s="101">
        <v>35</v>
      </c>
      <c r="H207" s="102">
        <v>10</v>
      </c>
      <c r="I207" s="99">
        <v>5.7142857142857144</v>
      </c>
      <c r="J207" s="99">
        <v>0</v>
      </c>
      <c r="K207" s="99">
        <v>34.286666666666974</v>
      </c>
      <c r="L207" s="103">
        <v>165.71333333333303</v>
      </c>
    </row>
    <row r="208" spans="1:12" x14ac:dyDescent="0.45">
      <c r="A208" s="98" t="s">
        <v>267</v>
      </c>
      <c r="B208" s="87">
        <v>333</v>
      </c>
      <c r="C208" s="98" t="s">
        <v>293</v>
      </c>
      <c r="D208" s="93">
        <v>42247</v>
      </c>
      <c r="E208" s="99">
        <v>850</v>
      </c>
      <c r="F208" s="100"/>
      <c r="G208" s="101">
        <v>30</v>
      </c>
      <c r="H208" s="102">
        <v>10</v>
      </c>
      <c r="I208" s="99">
        <v>28.333333333333332</v>
      </c>
      <c r="J208" s="99">
        <v>0</v>
      </c>
      <c r="K208" s="99">
        <v>170.00222222222078</v>
      </c>
      <c r="L208" s="103">
        <v>679.99777777777922</v>
      </c>
    </row>
    <row r="209" spans="1:12" x14ac:dyDescent="0.45">
      <c r="A209" s="98" t="s">
        <v>267</v>
      </c>
      <c r="B209" s="87">
        <v>333</v>
      </c>
      <c r="C209" s="98" t="s">
        <v>293</v>
      </c>
      <c r="D209" s="93">
        <v>42247</v>
      </c>
      <c r="E209" s="99">
        <v>1000</v>
      </c>
      <c r="F209" s="100"/>
      <c r="G209" s="101">
        <v>35</v>
      </c>
      <c r="H209" s="102">
        <v>10</v>
      </c>
      <c r="I209" s="99">
        <v>28.571428571428573</v>
      </c>
      <c r="J209" s="99">
        <v>0</v>
      </c>
      <c r="K209" s="99">
        <v>171.43333333333487</v>
      </c>
      <c r="L209" s="103">
        <v>828.56666666666513</v>
      </c>
    </row>
    <row r="210" spans="1:12" x14ac:dyDescent="0.45">
      <c r="A210" s="98" t="s">
        <v>267</v>
      </c>
      <c r="B210" s="87">
        <v>333</v>
      </c>
      <c r="C210" s="98" t="s">
        <v>293</v>
      </c>
      <c r="D210" s="93">
        <v>42277</v>
      </c>
      <c r="E210" s="99">
        <v>200</v>
      </c>
      <c r="F210" s="100"/>
      <c r="G210" s="101">
        <v>35</v>
      </c>
      <c r="H210" s="102">
        <v>10</v>
      </c>
      <c r="I210" s="99">
        <v>5.7142857142857144</v>
      </c>
      <c r="J210" s="99">
        <v>0</v>
      </c>
      <c r="K210" s="99">
        <v>33.806666666666956</v>
      </c>
      <c r="L210" s="103">
        <v>166.19333333333304</v>
      </c>
    </row>
    <row r="211" spans="1:12" x14ac:dyDescent="0.45">
      <c r="A211" s="98" t="s">
        <v>267</v>
      </c>
      <c r="B211" s="87">
        <v>333</v>
      </c>
      <c r="C211" s="98" t="s">
        <v>293</v>
      </c>
      <c r="D211" s="93">
        <v>42308</v>
      </c>
      <c r="E211" s="99">
        <v>200</v>
      </c>
      <c r="F211" s="100"/>
      <c r="G211" s="101">
        <v>35</v>
      </c>
      <c r="H211" s="102">
        <v>9</v>
      </c>
      <c r="I211" s="99">
        <v>5.7142857142857144</v>
      </c>
      <c r="J211" s="99">
        <v>0</v>
      </c>
      <c r="K211" s="99">
        <v>33.336666666666957</v>
      </c>
      <c r="L211" s="103">
        <v>166.66333333333304</v>
      </c>
    </row>
    <row r="212" spans="1:12" x14ac:dyDescent="0.45">
      <c r="A212" s="98" t="s">
        <v>267</v>
      </c>
      <c r="B212" s="87">
        <v>311</v>
      </c>
      <c r="C212" s="98" t="s">
        <v>293</v>
      </c>
      <c r="D212" s="93">
        <v>42308</v>
      </c>
      <c r="E212" s="99">
        <v>450</v>
      </c>
      <c r="F212" s="100"/>
      <c r="G212" s="101">
        <v>20</v>
      </c>
      <c r="H212" s="102">
        <v>9</v>
      </c>
      <c r="I212" s="99">
        <v>22.5</v>
      </c>
      <c r="J212" s="99">
        <v>0</v>
      </c>
      <c r="K212" s="99">
        <v>131.25</v>
      </c>
      <c r="L212" s="103">
        <v>318.75</v>
      </c>
    </row>
    <row r="213" spans="1:12" x14ac:dyDescent="0.45">
      <c r="A213" s="98" t="s">
        <v>267</v>
      </c>
      <c r="B213" s="87">
        <v>333</v>
      </c>
      <c r="C213" s="98" t="s">
        <v>293</v>
      </c>
      <c r="D213" s="93">
        <v>42338</v>
      </c>
      <c r="E213" s="99">
        <v>200</v>
      </c>
      <c r="F213" s="100"/>
      <c r="G213" s="101">
        <v>35</v>
      </c>
      <c r="H213" s="102">
        <v>9</v>
      </c>
      <c r="I213" s="99">
        <v>5.7142857142857144</v>
      </c>
      <c r="J213" s="99">
        <v>0</v>
      </c>
      <c r="K213" s="99">
        <v>32.856666666666968</v>
      </c>
      <c r="L213" s="103">
        <v>167.14333333333303</v>
      </c>
    </row>
    <row r="214" spans="1:12" x14ac:dyDescent="0.45">
      <c r="A214" s="98" t="s">
        <v>267</v>
      </c>
      <c r="B214" s="87">
        <v>333</v>
      </c>
      <c r="C214" s="98" t="s">
        <v>293</v>
      </c>
      <c r="D214" s="93">
        <v>42369</v>
      </c>
      <c r="E214" s="99">
        <v>200</v>
      </c>
      <c r="F214" s="100"/>
      <c r="G214" s="101">
        <v>35</v>
      </c>
      <c r="H214" s="102">
        <v>9</v>
      </c>
      <c r="I214" s="99">
        <v>5.7142857142857144</v>
      </c>
      <c r="J214" s="99">
        <v>0</v>
      </c>
      <c r="K214" s="99">
        <v>32.376666666666978</v>
      </c>
      <c r="L214" s="103">
        <v>167.62333333333302</v>
      </c>
    </row>
    <row r="215" spans="1:12" x14ac:dyDescent="0.45">
      <c r="A215" s="98" t="s">
        <v>267</v>
      </c>
      <c r="B215" s="87">
        <v>334</v>
      </c>
      <c r="C215" s="98" t="s">
        <v>294</v>
      </c>
      <c r="D215" s="93">
        <v>35065</v>
      </c>
      <c r="E215" s="99">
        <v>4737</v>
      </c>
      <c r="F215" s="100"/>
      <c r="G215" s="101">
        <v>35</v>
      </c>
      <c r="H215" s="102">
        <v>29</v>
      </c>
      <c r="I215" s="99">
        <v>135.34285714285716</v>
      </c>
      <c r="J215" s="99">
        <v>0</v>
      </c>
      <c r="K215" s="99">
        <v>3462.6000000000022</v>
      </c>
      <c r="L215" s="103">
        <v>1274.3999999999978</v>
      </c>
    </row>
    <row r="216" spans="1:12" x14ac:dyDescent="0.45">
      <c r="A216" s="98" t="s">
        <v>295</v>
      </c>
      <c r="B216" s="87">
        <v>334</v>
      </c>
      <c r="C216" s="98" t="s">
        <v>296</v>
      </c>
      <c r="D216" s="93">
        <v>44138</v>
      </c>
      <c r="E216" s="99">
        <v>228.36</v>
      </c>
      <c r="F216" s="100"/>
      <c r="G216" s="101">
        <v>25</v>
      </c>
      <c r="H216" s="102">
        <v>4</v>
      </c>
      <c r="I216" s="99">
        <v>9.1344000000000012</v>
      </c>
      <c r="J216" s="99">
        <v>0</v>
      </c>
      <c r="K216" s="99">
        <v>28.925600000000088</v>
      </c>
      <c r="L216" s="103">
        <v>199.43439999999993</v>
      </c>
    </row>
    <row r="217" spans="1:12" x14ac:dyDescent="0.45">
      <c r="A217" s="98" t="s">
        <v>295</v>
      </c>
      <c r="B217" s="87">
        <v>334</v>
      </c>
      <c r="C217" s="98" t="s">
        <v>297</v>
      </c>
      <c r="D217" s="93">
        <v>44146</v>
      </c>
      <c r="E217" s="99">
        <v>240.49</v>
      </c>
      <c r="F217" s="100"/>
      <c r="G217" s="101">
        <v>25</v>
      </c>
      <c r="H217" s="102">
        <v>4</v>
      </c>
      <c r="I217" s="99">
        <v>9.6196000000000002</v>
      </c>
      <c r="J217" s="99">
        <v>0</v>
      </c>
      <c r="K217" s="99">
        <v>30.462066666666999</v>
      </c>
      <c r="L217" s="103">
        <v>210.02793333333301</v>
      </c>
    </row>
    <row r="218" spans="1:12" x14ac:dyDescent="0.45">
      <c r="A218" s="98" t="s">
        <v>295</v>
      </c>
      <c r="B218" s="87">
        <v>334</v>
      </c>
      <c r="C218" s="98" t="s">
        <v>298</v>
      </c>
      <c r="D218" s="93">
        <v>44164</v>
      </c>
      <c r="E218" s="99">
        <v>130</v>
      </c>
      <c r="F218" s="100"/>
      <c r="G218" s="101">
        <v>25</v>
      </c>
      <c r="H218" s="102">
        <v>4</v>
      </c>
      <c r="I218" s="99">
        <v>5.2</v>
      </c>
      <c r="J218" s="99">
        <v>0</v>
      </c>
      <c r="K218" s="99">
        <v>16.466666666666811</v>
      </c>
      <c r="L218" s="103">
        <v>113.53333333333319</v>
      </c>
    </row>
    <row r="219" spans="1:12" x14ac:dyDescent="0.45">
      <c r="A219" s="98" t="s">
        <v>295</v>
      </c>
      <c r="B219" s="87">
        <v>334</v>
      </c>
      <c r="C219" s="98" t="s">
        <v>299</v>
      </c>
      <c r="D219" s="93">
        <v>44164</v>
      </c>
      <c r="E219" s="99">
        <v>1100</v>
      </c>
      <c r="F219" s="100"/>
      <c r="G219" s="101">
        <v>25</v>
      </c>
      <c r="H219" s="102">
        <v>4</v>
      </c>
      <c r="I219" s="99">
        <v>44</v>
      </c>
      <c r="J219" s="99">
        <v>0</v>
      </c>
      <c r="K219" s="99">
        <v>139.33333333333417</v>
      </c>
      <c r="L219" s="103">
        <v>960.66666666666583</v>
      </c>
    </row>
    <row r="220" spans="1:12" x14ac:dyDescent="0.45">
      <c r="A220" s="98" t="s">
        <v>295</v>
      </c>
      <c r="B220" s="87">
        <v>311</v>
      </c>
      <c r="C220" s="98" t="s">
        <v>300</v>
      </c>
      <c r="D220" s="93">
        <v>43893</v>
      </c>
      <c r="E220" s="99">
        <v>10455.92</v>
      </c>
      <c r="F220" s="100"/>
      <c r="G220" s="101">
        <v>20</v>
      </c>
      <c r="H220" s="102">
        <v>5</v>
      </c>
      <c r="I220" s="99">
        <v>522.79600000000005</v>
      </c>
      <c r="J220" s="99">
        <v>0</v>
      </c>
      <c r="K220" s="99">
        <v>2004.0513333333693</v>
      </c>
      <c r="L220" s="103">
        <v>8451.8686666666308</v>
      </c>
    </row>
    <row r="221" spans="1:12" x14ac:dyDescent="0.45">
      <c r="A221" s="98" t="s">
        <v>295</v>
      </c>
      <c r="B221" s="87">
        <v>334</v>
      </c>
      <c r="C221" s="98" t="s">
        <v>301</v>
      </c>
      <c r="D221" s="93">
        <v>43914</v>
      </c>
      <c r="E221" s="99">
        <v>544</v>
      </c>
      <c r="F221" s="100"/>
      <c r="G221" s="101">
        <v>25</v>
      </c>
      <c r="H221" s="102">
        <v>5</v>
      </c>
      <c r="I221" s="99">
        <v>21.76</v>
      </c>
      <c r="J221" s="99">
        <v>0</v>
      </c>
      <c r="K221" s="99">
        <v>83.413333333334265</v>
      </c>
      <c r="L221" s="103">
        <v>460.58666666666574</v>
      </c>
    </row>
    <row r="222" spans="1:12" x14ac:dyDescent="0.45">
      <c r="A222" s="98" t="s">
        <v>295</v>
      </c>
      <c r="B222" s="87">
        <v>334</v>
      </c>
      <c r="C222" s="98" t="s">
        <v>302</v>
      </c>
      <c r="D222" s="93">
        <v>43914</v>
      </c>
      <c r="E222" s="99">
        <v>544</v>
      </c>
      <c r="F222" s="100"/>
      <c r="G222" s="101">
        <v>25</v>
      </c>
      <c r="H222" s="102">
        <v>5</v>
      </c>
      <c r="I222" s="99">
        <v>21.76</v>
      </c>
      <c r="J222" s="99">
        <v>0</v>
      </c>
      <c r="K222" s="99">
        <v>83.413333333334265</v>
      </c>
      <c r="L222" s="103">
        <v>460.58666666666574</v>
      </c>
    </row>
    <row r="223" spans="1:12" x14ac:dyDescent="0.45">
      <c r="A223" s="98" t="s">
        <v>295</v>
      </c>
      <c r="B223" s="87">
        <v>334</v>
      </c>
      <c r="C223" s="98" t="s">
        <v>303</v>
      </c>
      <c r="D223" s="93">
        <v>43916</v>
      </c>
      <c r="E223" s="99">
        <v>2309.17</v>
      </c>
      <c r="F223" s="100"/>
      <c r="G223" s="101">
        <v>25</v>
      </c>
      <c r="H223" s="102">
        <v>5</v>
      </c>
      <c r="I223" s="99">
        <v>92.366799999999998</v>
      </c>
      <c r="J223" s="99">
        <v>0</v>
      </c>
      <c r="K223" s="99">
        <v>354.07273333333251</v>
      </c>
      <c r="L223" s="103">
        <v>1955.0972666666676</v>
      </c>
    </row>
    <row r="224" spans="1:12" x14ac:dyDescent="0.45">
      <c r="A224" s="98" t="s">
        <v>295</v>
      </c>
      <c r="B224" s="87">
        <v>334</v>
      </c>
      <c r="C224" s="98" t="s">
        <v>304</v>
      </c>
      <c r="D224" s="93">
        <v>44250</v>
      </c>
      <c r="E224" s="99">
        <v>111.33</v>
      </c>
      <c r="F224" s="100"/>
      <c r="G224" s="101">
        <v>25</v>
      </c>
      <c r="H224" s="102">
        <v>4</v>
      </c>
      <c r="I224" s="99">
        <v>4.4531999999999998</v>
      </c>
      <c r="J224" s="99">
        <v>0</v>
      </c>
      <c r="K224" s="99">
        <v>12.988499999999945</v>
      </c>
      <c r="L224" s="103">
        <v>98.341500000000053</v>
      </c>
    </row>
    <row r="225" spans="1:12" x14ac:dyDescent="0.45">
      <c r="A225" s="98" t="s">
        <v>295</v>
      </c>
      <c r="B225" s="87">
        <v>334</v>
      </c>
      <c r="C225" s="98" t="s">
        <v>305</v>
      </c>
      <c r="D225" s="93">
        <v>44280</v>
      </c>
      <c r="E225" s="99">
        <v>679.37</v>
      </c>
      <c r="F225" s="100"/>
      <c r="G225" s="101">
        <v>25</v>
      </c>
      <c r="H225" s="102">
        <v>4</v>
      </c>
      <c r="I225" s="99">
        <v>27.174800000000001</v>
      </c>
      <c r="J225" s="99">
        <v>0</v>
      </c>
      <c r="K225" s="99">
        <v>76.995266666664747</v>
      </c>
      <c r="L225" s="103">
        <v>602.37473333333526</v>
      </c>
    </row>
    <row r="226" spans="1:12" x14ac:dyDescent="0.45">
      <c r="A226" s="98" t="s">
        <v>295</v>
      </c>
      <c r="B226" s="87">
        <v>334</v>
      </c>
      <c r="C226" s="98" t="s">
        <v>306</v>
      </c>
      <c r="D226" s="93">
        <v>44286</v>
      </c>
      <c r="E226" s="99">
        <v>700.64</v>
      </c>
      <c r="F226" s="100"/>
      <c r="G226" s="101">
        <v>25</v>
      </c>
      <c r="H226" s="102">
        <v>4</v>
      </c>
      <c r="I226" s="99">
        <v>28.025600000000001</v>
      </c>
      <c r="J226" s="99">
        <v>0</v>
      </c>
      <c r="K226" s="99">
        <v>79.405866666666498</v>
      </c>
      <c r="L226" s="103">
        <v>621.23413333333349</v>
      </c>
    </row>
    <row r="227" spans="1:12" x14ac:dyDescent="0.45">
      <c r="A227" s="98" t="s">
        <v>295</v>
      </c>
      <c r="B227" s="87">
        <v>334</v>
      </c>
      <c r="C227" s="98" t="s">
        <v>307</v>
      </c>
      <c r="D227" s="93">
        <v>44376</v>
      </c>
      <c r="E227" s="99">
        <v>225.14</v>
      </c>
      <c r="F227" s="100"/>
      <c r="G227" s="101">
        <v>25</v>
      </c>
      <c r="H227" s="102">
        <v>4</v>
      </c>
      <c r="I227" s="99">
        <v>9.0055999999999994</v>
      </c>
      <c r="J227" s="99">
        <v>0</v>
      </c>
      <c r="K227" s="99">
        <v>23.264466666666266</v>
      </c>
      <c r="L227" s="103">
        <v>201.87553333333372</v>
      </c>
    </row>
    <row r="228" spans="1:12" x14ac:dyDescent="0.45">
      <c r="A228" s="98" t="s">
        <v>295</v>
      </c>
      <c r="B228" s="87">
        <v>334</v>
      </c>
      <c r="C228" s="98" t="s">
        <v>308</v>
      </c>
      <c r="D228" s="93">
        <v>44400</v>
      </c>
      <c r="E228" s="99">
        <v>113.92</v>
      </c>
      <c r="F228" s="100"/>
      <c r="G228" s="101">
        <v>25</v>
      </c>
      <c r="H228" s="102">
        <v>4</v>
      </c>
      <c r="I228" s="99">
        <v>4.5568</v>
      </c>
      <c r="J228" s="99">
        <v>0</v>
      </c>
      <c r="K228" s="99">
        <v>11.01226666666669</v>
      </c>
      <c r="L228" s="103">
        <v>102.90773333333331</v>
      </c>
    </row>
    <row r="229" spans="1:12" x14ac:dyDescent="0.45">
      <c r="A229" s="98" t="s">
        <v>295</v>
      </c>
      <c r="B229" s="87">
        <v>334</v>
      </c>
      <c r="C229" s="98" t="s">
        <v>309</v>
      </c>
      <c r="D229" s="93">
        <v>44432</v>
      </c>
      <c r="E229" s="99">
        <v>1555.89</v>
      </c>
      <c r="F229" s="100"/>
      <c r="G229" s="101">
        <v>25</v>
      </c>
      <c r="H229" s="102">
        <v>4</v>
      </c>
      <c r="I229" s="99">
        <v>62.235600000000005</v>
      </c>
      <c r="J229" s="99">
        <v>0</v>
      </c>
      <c r="K229" s="99">
        <v>150.40270000000214</v>
      </c>
      <c r="L229" s="103">
        <v>1405.487299999998</v>
      </c>
    </row>
    <row r="230" spans="1:12" x14ac:dyDescent="0.45">
      <c r="A230" s="98" t="s">
        <v>295</v>
      </c>
      <c r="B230" s="87">
        <v>334</v>
      </c>
      <c r="C230" s="98" t="s">
        <v>310</v>
      </c>
      <c r="D230" s="93">
        <v>44455</v>
      </c>
      <c r="E230" s="99">
        <v>111.33</v>
      </c>
      <c r="F230" s="100"/>
      <c r="G230" s="101">
        <v>25</v>
      </c>
      <c r="H230" s="102">
        <v>4</v>
      </c>
      <c r="I230" s="99">
        <v>4.4531999999999998</v>
      </c>
      <c r="J230" s="99">
        <v>0</v>
      </c>
      <c r="K230" s="99">
        <v>10.390799999999956</v>
      </c>
      <c r="L230" s="103">
        <v>100.93920000000004</v>
      </c>
    </row>
    <row r="231" spans="1:12" x14ac:dyDescent="0.45">
      <c r="A231" s="98" t="s">
        <v>295</v>
      </c>
      <c r="B231" s="87">
        <v>334</v>
      </c>
      <c r="C231" s="98" t="s">
        <v>311</v>
      </c>
      <c r="D231" s="93">
        <v>44455</v>
      </c>
      <c r="E231" s="99">
        <v>111.33</v>
      </c>
      <c r="F231" s="100"/>
      <c r="G231" s="101">
        <v>25</v>
      </c>
      <c r="H231" s="102">
        <v>4</v>
      </c>
      <c r="I231" s="99">
        <v>4.4531999999999998</v>
      </c>
      <c r="J231" s="99">
        <v>0</v>
      </c>
      <c r="K231" s="99">
        <v>10.390799999999956</v>
      </c>
      <c r="L231" s="103">
        <v>100.93920000000004</v>
      </c>
    </row>
    <row r="232" spans="1:12" x14ac:dyDescent="0.45">
      <c r="A232" s="98" t="s">
        <v>295</v>
      </c>
      <c r="B232" s="87">
        <v>334</v>
      </c>
      <c r="C232" s="98" t="s">
        <v>312</v>
      </c>
      <c r="D232" s="93">
        <v>44455</v>
      </c>
      <c r="E232" s="99">
        <v>590.24</v>
      </c>
      <c r="F232" s="100"/>
      <c r="G232" s="101">
        <v>25</v>
      </c>
      <c r="H232" s="102">
        <v>4</v>
      </c>
      <c r="I232" s="99">
        <v>23.6096</v>
      </c>
      <c r="J232" s="99">
        <v>0</v>
      </c>
      <c r="K232" s="99">
        <v>55.089066666668259</v>
      </c>
      <c r="L232" s="103">
        <v>535.15093333333175</v>
      </c>
    </row>
    <row r="233" spans="1:12" x14ac:dyDescent="0.45">
      <c r="A233" s="98" t="s">
        <v>295</v>
      </c>
      <c r="B233" s="87">
        <v>334</v>
      </c>
      <c r="C233" s="98" t="s">
        <v>313</v>
      </c>
      <c r="D233" s="93">
        <v>44455</v>
      </c>
      <c r="E233" s="99">
        <v>75.95</v>
      </c>
      <c r="F233" s="100"/>
      <c r="G233" s="101">
        <v>25</v>
      </c>
      <c r="H233" s="102">
        <v>4</v>
      </c>
      <c r="I233" s="99">
        <v>3.0380000000000003</v>
      </c>
      <c r="J233" s="99">
        <v>0</v>
      </c>
      <c r="K233" s="99">
        <v>7.0886666666668248</v>
      </c>
      <c r="L233" s="103">
        <v>68.861333333333178</v>
      </c>
    </row>
    <row r="234" spans="1:12" x14ac:dyDescent="0.45">
      <c r="A234" s="98" t="s">
        <v>295</v>
      </c>
      <c r="B234" s="87">
        <v>334</v>
      </c>
      <c r="C234" s="98" t="s">
        <v>314</v>
      </c>
      <c r="D234" s="93">
        <v>44712</v>
      </c>
      <c r="E234" s="99">
        <v>661.55</v>
      </c>
      <c r="F234" s="100"/>
      <c r="G234" s="101">
        <v>25</v>
      </c>
      <c r="H234" s="102">
        <v>3</v>
      </c>
      <c r="I234" s="99">
        <v>26.462</v>
      </c>
      <c r="J234" s="99">
        <v>0</v>
      </c>
      <c r="K234" s="99">
        <v>44.103333333332557</v>
      </c>
      <c r="L234" s="103">
        <v>617.4466666666674</v>
      </c>
    </row>
    <row r="235" spans="1:12" x14ac:dyDescent="0.45">
      <c r="A235" s="98" t="s">
        <v>295</v>
      </c>
      <c r="B235" s="87">
        <v>334</v>
      </c>
      <c r="C235" s="98" t="s">
        <v>315</v>
      </c>
      <c r="D235" s="93">
        <v>44712</v>
      </c>
      <c r="E235" s="99">
        <v>822.29</v>
      </c>
      <c r="F235" s="100"/>
      <c r="G235" s="101">
        <v>25</v>
      </c>
      <c r="H235" s="102">
        <v>3</v>
      </c>
      <c r="I235" s="99">
        <v>32.891599999999997</v>
      </c>
      <c r="J235" s="99">
        <v>0</v>
      </c>
      <c r="K235" s="99">
        <v>54.819333333332452</v>
      </c>
      <c r="L235" s="103">
        <v>767.47066666666751</v>
      </c>
    </row>
    <row r="236" spans="1:12" x14ac:dyDescent="0.45">
      <c r="A236" s="98" t="s">
        <v>295</v>
      </c>
      <c r="B236" s="87">
        <v>310</v>
      </c>
      <c r="C236" s="98" t="s">
        <v>316</v>
      </c>
      <c r="D236" s="93">
        <v>45013</v>
      </c>
      <c r="E236" s="99">
        <v>69126.55</v>
      </c>
      <c r="F236" s="100"/>
      <c r="G236" s="101">
        <v>15</v>
      </c>
      <c r="H236" s="102">
        <v>2</v>
      </c>
      <c r="I236" s="99">
        <v>4608.4366666666665</v>
      </c>
      <c r="J236" s="99">
        <v>0</v>
      </c>
      <c r="K236" s="99">
        <v>3840.3638888888308</v>
      </c>
      <c r="L236" s="103">
        <v>65286.186111111172</v>
      </c>
    </row>
    <row r="237" spans="1:12" x14ac:dyDescent="0.45">
      <c r="A237" s="98" t="s">
        <v>295</v>
      </c>
      <c r="B237" s="87">
        <v>310</v>
      </c>
      <c r="C237" s="98" t="s">
        <v>317</v>
      </c>
      <c r="D237" s="93">
        <v>45013</v>
      </c>
      <c r="E237" s="99">
        <v>56678.89</v>
      </c>
      <c r="F237" s="100"/>
      <c r="G237" s="101">
        <v>15</v>
      </c>
      <c r="H237" s="102">
        <v>2</v>
      </c>
      <c r="I237" s="99">
        <v>3778.5926666666664</v>
      </c>
      <c r="J237" s="99">
        <v>0</v>
      </c>
      <c r="K237" s="99">
        <v>3148.827222222244</v>
      </c>
      <c r="L237" s="103">
        <v>53530.062777777755</v>
      </c>
    </row>
    <row r="238" spans="1:12" x14ac:dyDescent="0.45">
      <c r="A238" s="98" t="s">
        <v>295</v>
      </c>
      <c r="B238" s="87">
        <v>331</v>
      </c>
      <c r="C238" s="98" t="s">
        <v>318</v>
      </c>
      <c r="D238" s="93">
        <v>45078</v>
      </c>
      <c r="E238" s="99">
        <v>958.25</v>
      </c>
      <c r="F238" s="100"/>
      <c r="G238" s="101">
        <v>50</v>
      </c>
      <c r="H238" s="102">
        <v>2</v>
      </c>
      <c r="I238" s="99">
        <v>19.164999999999999</v>
      </c>
      <c r="J238" s="99">
        <v>0</v>
      </c>
      <c r="K238" s="99">
        <v>11.179583333333312</v>
      </c>
      <c r="L238" s="103">
        <v>947.07041666666669</v>
      </c>
    </row>
    <row r="239" spans="1:12" x14ac:dyDescent="0.45">
      <c r="A239" s="98" t="s">
        <v>295</v>
      </c>
      <c r="B239" s="87">
        <v>333</v>
      </c>
      <c r="C239" s="98" t="s">
        <v>319</v>
      </c>
      <c r="D239" s="93">
        <v>44560</v>
      </c>
      <c r="E239" s="99">
        <v>141.05000000000001</v>
      </c>
      <c r="F239" s="100"/>
      <c r="G239" s="101">
        <v>50</v>
      </c>
      <c r="H239" s="102">
        <v>3</v>
      </c>
      <c r="I239" s="99">
        <v>2.8210000000000002</v>
      </c>
      <c r="J239" s="99">
        <v>0</v>
      </c>
      <c r="K239" s="99">
        <v>5.8770833333333883</v>
      </c>
      <c r="L239" s="103">
        <v>135.17291666666662</v>
      </c>
    </row>
    <row r="240" spans="1:12" x14ac:dyDescent="0.45">
      <c r="A240" s="98" t="s">
        <v>295</v>
      </c>
      <c r="B240" s="87">
        <v>333</v>
      </c>
      <c r="C240" s="98" t="s">
        <v>320</v>
      </c>
      <c r="D240" s="93">
        <v>45013</v>
      </c>
      <c r="E240" s="99">
        <v>380.1</v>
      </c>
      <c r="F240" s="100"/>
      <c r="G240" s="101">
        <v>50</v>
      </c>
      <c r="H240" s="102">
        <v>2</v>
      </c>
      <c r="I240" s="99">
        <v>7.6020000000000003</v>
      </c>
      <c r="J240" s="99">
        <v>0</v>
      </c>
      <c r="K240" s="99">
        <v>6.3350000000002638</v>
      </c>
      <c r="L240" s="103">
        <v>373.76499999999976</v>
      </c>
    </row>
    <row r="241" spans="1:12" x14ac:dyDescent="0.45">
      <c r="A241" s="98" t="s">
        <v>295</v>
      </c>
      <c r="B241" s="87">
        <v>334</v>
      </c>
      <c r="C241" s="98" t="s">
        <v>321</v>
      </c>
      <c r="D241" s="93">
        <v>44675</v>
      </c>
      <c r="E241" s="99">
        <v>927.68</v>
      </c>
      <c r="F241" s="100"/>
      <c r="G241" s="101">
        <v>25</v>
      </c>
      <c r="H241" s="102">
        <v>3</v>
      </c>
      <c r="I241" s="99">
        <v>37.107199999999999</v>
      </c>
      <c r="J241" s="99">
        <v>0</v>
      </c>
      <c r="K241" s="99">
        <v>64.937599999999861</v>
      </c>
      <c r="L241" s="103">
        <v>862.74240000000009</v>
      </c>
    </row>
    <row r="242" spans="1:12" x14ac:dyDescent="0.45">
      <c r="A242" s="98" t="s">
        <v>295</v>
      </c>
      <c r="B242" s="87">
        <v>334</v>
      </c>
      <c r="C242" s="98" t="s">
        <v>322</v>
      </c>
      <c r="D242" s="93">
        <v>44621</v>
      </c>
      <c r="E242" s="99">
        <v>5504.67</v>
      </c>
      <c r="F242" s="100"/>
      <c r="G242" s="101">
        <v>25</v>
      </c>
      <c r="H242" s="102">
        <v>3</v>
      </c>
      <c r="I242" s="99">
        <v>220.18680000000001</v>
      </c>
      <c r="J242" s="99">
        <v>0</v>
      </c>
      <c r="K242" s="99">
        <v>403.67579999999907</v>
      </c>
      <c r="L242" s="103">
        <v>5100.994200000001</v>
      </c>
    </row>
    <row r="243" spans="1:12" x14ac:dyDescent="0.45">
      <c r="A243" s="98" t="s">
        <v>295</v>
      </c>
      <c r="B243" s="87">
        <v>334</v>
      </c>
      <c r="C243" s="98" t="s">
        <v>141</v>
      </c>
      <c r="D243" s="93">
        <v>44207</v>
      </c>
      <c r="E243" s="99">
        <v>31623.41</v>
      </c>
      <c r="F243" s="100"/>
      <c r="G243" s="101">
        <v>25</v>
      </c>
      <c r="H243" s="102">
        <v>4</v>
      </c>
      <c r="I243" s="99">
        <v>1264.9364</v>
      </c>
      <c r="J243" s="99">
        <v>0</v>
      </c>
      <c r="K243" s="99">
        <v>3794.8092000000179</v>
      </c>
      <c r="L243" s="103">
        <v>27828.600799999982</v>
      </c>
    </row>
    <row r="244" spans="1:12" x14ac:dyDescent="0.45">
      <c r="A244" s="98" t="s">
        <v>295</v>
      </c>
      <c r="B244" s="87">
        <v>334</v>
      </c>
      <c r="C244" s="98" t="s">
        <v>141</v>
      </c>
      <c r="D244" s="93">
        <v>44573</v>
      </c>
      <c r="E244" s="99">
        <v>4182.71</v>
      </c>
      <c r="F244" s="100"/>
      <c r="G244" s="101">
        <v>25</v>
      </c>
      <c r="H244" s="102">
        <v>3</v>
      </c>
      <c r="I244" s="99">
        <v>167.30840000000001</v>
      </c>
      <c r="J244" s="99">
        <v>0</v>
      </c>
      <c r="K244" s="99">
        <v>334.61680000000251</v>
      </c>
      <c r="L244" s="103">
        <v>3848.0931999999975</v>
      </c>
    </row>
    <row r="245" spans="1:12" x14ac:dyDescent="0.45">
      <c r="A245" s="98" t="s">
        <v>295</v>
      </c>
      <c r="B245" s="87">
        <v>334</v>
      </c>
      <c r="C245" s="98" t="s">
        <v>141</v>
      </c>
      <c r="D245" s="93">
        <v>44580</v>
      </c>
      <c r="E245" s="99">
        <v>2643.4</v>
      </c>
      <c r="F245" s="100"/>
      <c r="G245" s="101">
        <v>25</v>
      </c>
      <c r="H245" s="102">
        <v>3</v>
      </c>
      <c r="I245" s="99">
        <v>105.736</v>
      </c>
      <c r="J245" s="99">
        <v>0</v>
      </c>
      <c r="K245" s="99">
        <v>211.47200000000521</v>
      </c>
      <c r="L245" s="103">
        <v>2431.9279999999949</v>
      </c>
    </row>
    <row r="246" spans="1:12" x14ac:dyDescent="0.45">
      <c r="A246" s="98" t="s">
        <v>295</v>
      </c>
      <c r="B246" s="87">
        <v>334</v>
      </c>
      <c r="C246" s="98" t="s">
        <v>141</v>
      </c>
      <c r="D246" s="93">
        <v>44971</v>
      </c>
      <c r="E246" s="99">
        <v>129.1</v>
      </c>
      <c r="F246" s="100"/>
      <c r="G246" s="101">
        <v>25</v>
      </c>
      <c r="H246" s="102">
        <v>2</v>
      </c>
      <c r="I246" s="99">
        <v>5.1639999999999997</v>
      </c>
      <c r="J246" s="99">
        <v>0</v>
      </c>
      <c r="K246" s="99">
        <v>4.7336666666666787</v>
      </c>
      <c r="L246" s="103">
        <v>124.36633333333332</v>
      </c>
    </row>
    <row r="247" spans="1:12" x14ac:dyDescent="0.45">
      <c r="A247" s="98" t="s">
        <v>295</v>
      </c>
      <c r="B247" s="87">
        <v>334</v>
      </c>
      <c r="C247" s="98" t="s">
        <v>141</v>
      </c>
      <c r="D247" s="93">
        <v>44610</v>
      </c>
      <c r="E247" s="99">
        <v>267.04000000000002</v>
      </c>
      <c r="F247" s="100"/>
      <c r="G247" s="101">
        <v>25</v>
      </c>
      <c r="H247" s="102">
        <v>3</v>
      </c>
      <c r="I247" s="99">
        <v>10.681600000000001</v>
      </c>
      <c r="J247" s="99">
        <v>0</v>
      </c>
      <c r="K247" s="99">
        <v>20.473066666666455</v>
      </c>
      <c r="L247" s="103">
        <v>246.56693333333357</v>
      </c>
    </row>
    <row r="248" spans="1:12" x14ac:dyDescent="0.45">
      <c r="A248" s="98" t="s">
        <v>295</v>
      </c>
      <c r="B248" s="87">
        <v>334</v>
      </c>
      <c r="C248" s="98" t="s">
        <v>141</v>
      </c>
      <c r="D248" s="93">
        <v>44620</v>
      </c>
      <c r="E248" s="99">
        <v>1180.48</v>
      </c>
      <c r="F248" s="100"/>
      <c r="G248" s="101">
        <v>25</v>
      </c>
      <c r="H248" s="102">
        <v>3</v>
      </c>
      <c r="I248" s="99">
        <v>47.219200000000001</v>
      </c>
      <c r="J248" s="99">
        <v>0</v>
      </c>
      <c r="K248" s="99">
        <v>90.503466666669283</v>
      </c>
      <c r="L248" s="103">
        <v>1089.9765333333307</v>
      </c>
    </row>
    <row r="249" spans="1:12" x14ac:dyDescent="0.45">
      <c r="A249" s="98" t="s">
        <v>295</v>
      </c>
      <c r="B249" s="87">
        <v>334</v>
      </c>
      <c r="C249" s="98" t="s">
        <v>141</v>
      </c>
      <c r="D249" s="93">
        <v>44985</v>
      </c>
      <c r="E249" s="99">
        <v>590.78</v>
      </c>
      <c r="F249" s="100"/>
      <c r="G249" s="101">
        <v>25</v>
      </c>
      <c r="H249" s="102">
        <v>2</v>
      </c>
      <c r="I249" s="99">
        <v>23.6312</v>
      </c>
      <c r="J249" s="99">
        <v>0</v>
      </c>
      <c r="K249" s="99">
        <v>21.66193333333274</v>
      </c>
      <c r="L249" s="103">
        <v>569.11806666666723</v>
      </c>
    </row>
    <row r="250" spans="1:12" x14ac:dyDescent="0.45">
      <c r="A250" s="98" t="s">
        <v>295</v>
      </c>
      <c r="B250" s="87">
        <v>334</v>
      </c>
      <c r="C250" s="98" t="s">
        <v>141</v>
      </c>
      <c r="D250" s="93">
        <v>44271</v>
      </c>
      <c r="E250" s="99">
        <v>453.24</v>
      </c>
      <c r="F250" s="100"/>
      <c r="G250" s="101">
        <v>25</v>
      </c>
      <c r="H250" s="102">
        <v>4</v>
      </c>
      <c r="I250" s="99">
        <v>18.1296</v>
      </c>
      <c r="J250" s="99">
        <v>0</v>
      </c>
      <c r="K250" s="99">
        <v>51.367200000000594</v>
      </c>
      <c r="L250" s="103">
        <v>401.87279999999942</v>
      </c>
    </row>
    <row r="251" spans="1:12" x14ac:dyDescent="0.45">
      <c r="A251" s="98" t="s">
        <v>295</v>
      </c>
      <c r="B251" s="87">
        <v>334</v>
      </c>
      <c r="C251" s="98" t="s">
        <v>141</v>
      </c>
      <c r="D251" s="93">
        <v>44645</v>
      </c>
      <c r="E251" s="99">
        <v>174.28</v>
      </c>
      <c r="F251" s="100"/>
      <c r="G251" s="101">
        <v>25</v>
      </c>
      <c r="H251" s="102">
        <v>3</v>
      </c>
      <c r="I251" s="99">
        <v>6.9711999999999996</v>
      </c>
      <c r="J251" s="99">
        <v>0</v>
      </c>
      <c r="K251" s="99">
        <v>12.78053333333304</v>
      </c>
      <c r="L251" s="103">
        <v>161.49946666666696</v>
      </c>
    </row>
    <row r="252" spans="1:12" x14ac:dyDescent="0.45">
      <c r="A252" s="98" t="s">
        <v>295</v>
      </c>
      <c r="B252" s="87">
        <v>334</v>
      </c>
      <c r="C252" s="98" t="s">
        <v>141</v>
      </c>
      <c r="D252" s="93">
        <v>44648</v>
      </c>
      <c r="E252" s="99">
        <v>9443.84</v>
      </c>
      <c r="F252" s="100"/>
      <c r="G252" s="101">
        <v>25</v>
      </c>
      <c r="H252" s="102">
        <v>3</v>
      </c>
      <c r="I252" s="99">
        <v>377.75360000000001</v>
      </c>
      <c r="J252" s="99">
        <v>0</v>
      </c>
      <c r="K252" s="99">
        <v>692.54826666668669</v>
      </c>
      <c r="L252" s="103">
        <v>8751.2917333333135</v>
      </c>
    </row>
    <row r="253" spans="1:12" x14ac:dyDescent="0.45">
      <c r="A253" s="98" t="s">
        <v>295</v>
      </c>
      <c r="B253" s="87">
        <v>334</v>
      </c>
      <c r="C253" s="98" t="s">
        <v>141</v>
      </c>
      <c r="D253" s="93">
        <v>45013</v>
      </c>
      <c r="E253" s="99">
        <v>1181.57</v>
      </c>
      <c r="F253" s="100"/>
      <c r="G253" s="101">
        <v>25</v>
      </c>
      <c r="H253" s="102">
        <v>2</v>
      </c>
      <c r="I253" s="99">
        <v>47.262799999999999</v>
      </c>
      <c r="J253" s="99">
        <v>0</v>
      </c>
      <c r="K253" s="99">
        <v>39.385666666667021</v>
      </c>
      <c r="L253" s="103">
        <v>1142.1843333333329</v>
      </c>
    </row>
    <row r="254" spans="1:12" x14ac:dyDescent="0.45">
      <c r="A254" s="98" t="s">
        <v>295</v>
      </c>
      <c r="B254" s="87">
        <v>334</v>
      </c>
      <c r="C254" s="98" t="s">
        <v>141</v>
      </c>
      <c r="D254" s="93">
        <v>44650</v>
      </c>
      <c r="E254" s="99">
        <v>45.06</v>
      </c>
      <c r="F254" s="100"/>
      <c r="G254" s="101">
        <v>25</v>
      </c>
      <c r="H254" s="102">
        <v>3</v>
      </c>
      <c r="I254" s="99">
        <v>1.8024</v>
      </c>
      <c r="J254" s="99">
        <v>0</v>
      </c>
      <c r="K254" s="99">
        <v>3.3043999999999585</v>
      </c>
      <c r="L254" s="103">
        <v>41.755600000000044</v>
      </c>
    </row>
    <row r="255" spans="1:12" x14ac:dyDescent="0.45">
      <c r="A255" s="98" t="s">
        <v>295</v>
      </c>
      <c r="B255" s="87">
        <v>334</v>
      </c>
      <c r="C255" s="98" t="s">
        <v>141</v>
      </c>
      <c r="D255" s="93">
        <v>45016</v>
      </c>
      <c r="E255" s="99">
        <v>132.72</v>
      </c>
      <c r="F255" s="100"/>
      <c r="G255" s="101">
        <v>25</v>
      </c>
      <c r="H255" s="102">
        <v>2</v>
      </c>
      <c r="I255" s="99">
        <v>5.3087999999999997</v>
      </c>
      <c r="J255" s="99">
        <v>0</v>
      </c>
      <c r="K255" s="99">
        <v>4.4239999999999213</v>
      </c>
      <c r="L255" s="103">
        <v>128.29600000000008</v>
      </c>
    </row>
    <row r="256" spans="1:12" x14ac:dyDescent="0.45">
      <c r="A256" s="98" t="s">
        <v>295</v>
      </c>
      <c r="B256" s="87">
        <v>334</v>
      </c>
      <c r="C256" s="98" t="s">
        <v>141</v>
      </c>
      <c r="D256" s="93">
        <v>45020</v>
      </c>
      <c r="E256" s="99">
        <v>333.02</v>
      </c>
      <c r="F256" s="100"/>
      <c r="G256" s="101">
        <v>25</v>
      </c>
      <c r="H256" s="102">
        <v>2</v>
      </c>
      <c r="I256" s="99">
        <v>13.320799999999998</v>
      </c>
      <c r="J256" s="99">
        <v>0</v>
      </c>
      <c r="K256" s="99">
        <v>9.9906000000001427</v>
      </c>
      <c r="L256" s="103">
        <v>323.02939999999984</v>
      </c>
    </row>
    <row r="257" spans="1:12" x14ac:dyDescent="0.45">
      <c r="A257" s="98" t="s">
        <v>295</v>
      </c>
      <c r="B257" s="87">
        <v>334</v>
      </c>
      <c r="C257" s="98" t="s">
        <v>141</v>
      </c>
      <c r="D257" s="93">
        <v>45029</v>
      </c>
      <c r="E257" s="99">
        <v>214.6</v>
      </c>
      <c r="F257" s="100"/>
      <c r="G257" s="101">
        <v>25</v>
      </c>
      <c r="H257" s="102">
        <v>2</v>
      </c>
      <c r="I257" s="99">
        <v>8.5839999999999996</v>
      </c>
      <c r="J257" s="99">
        <v>0</v>
      </c>
      <c r="K257" s="99">
        <v>6.4379999999998745</v>
      </c>
      <c r="L257" s="103">
        <v>208.16200000000012</v>
      </c>
    </row>
    <row r="258" spans="1:12" x14ac:dyDescent="0.45">
      <c r="A258" s="98" t="s">
        <v>295</v>
      </c>
      <c r="B258" s="87">
        <v>334</v>
      </c>
      <c r="C258" s="98" t="s">
        <v>141</v>
      </c>
      <c r="D258" s="93">
        <v>45030</v>
      </c>
      <c r="E258" s="99">
        <v>901.71999999999991</v>
      </c>
      <c r="F258" s="100"/>
      <c r="G258" s="101">
        <v>25</v>
      </c>
      <c r="H258" s="102">
        <v>2</v>
      </c>
      <c r="I258" s="99">
        <v>36.068799999999996</v>
      </c>
      <c r="J258" s="99">
        <v>0</v>
      </c>
      <c r="K258" s="99">
        <v>27.051599999999667</v>
      </c>
      <c r="L258" s="103">
        <v>874.66840000000025</v>
      </c>
    </row>
    <row r="259" spans="1:12" x14ac:dyDescent="0.45">
      <c r="A259" s="98" t="s">
        <v>295</v>
      </c>
      <c r="B259" s="87">
        <v>334</v>
      </c>
      <c r="C259" s="98" t="s">
        <v>141</v>
      </c>
      <c r="D259" s="93">
        <v>45034</v>
      </c>
      <c r="E259" s="99">
        <v>26.18</v>
      </c>
      <c r="F259" s="100"/>
      <c r="G259" s="101">
        <v>25</v>
      </c>
      <c r="H259" s="102">
        <v>2</v>
      </c>
      <c r="I259" s="99">
        <v>1.0471999999999999</v>
      </c>
      <c r="J259" s="99">
        <v>0</v>
      </c>
      <c r="K259" s="99">
        <v>0.78540000000001342</v>
      </c>
      <c r="L259" s="103">
        <v>25.394599999999986</v>
      </c>
    </row>
    <row r="260" spans="1:12" x14ac:dyDescent="0.45">
      <c r="A260" s="98" t="s">
        <v>295</v>
      </c>
      <c r="B260" s="87">
        <v>334</v>
      </c>
      <c r="C260" s="98" t="s">
        <v>141</v>
      </c>
      <c r="D260" s="93">
        <v>44305</v>
      </c>
      <c r="E260" s="99">
        <v>52.08</v>
      </c>
      <c r="F260" s="100"/>
      <c r="G260" s="101">
        <v>25</v>
      </c>
      <c r="H260" s="102">
        <v>4</v>
      </c>
      <c r="I260" s="99">
        <v>2.0831999999999997</v>
      </c>
      <c r="J260" s="99">
        <v>0</v>
      </c>
      <c r="K260" s="99">
        <v>5.7288000000000139</v>
      </c>
      <c r="L260" s="103">
        <v>46.351199999999984</v>
      </c>
    </row>
    <row r="261" spans="1:12" x14ac:dyDescent="0.45">
      <c r="A261" s="98" t="s">
        <v>295</v>
      </c>
      <c r="B261" s="87">
        <v>334</v>
      </c>
      <c r="C261" s="98" t="s">
        <v>141</v>
      </c>
      <c r="D261" s="93">
        <v>45035</v>
      </c>
      <c r="E261" s="99">
        <v>149.26</v>
      </c>
      <c r="F261" s="100"/>
      <c r="G261" s="101">
        <v>25</v>
      </c>
      <c r="H261" s="102">
        <v>2</v>
      </c>
      <c r="I261" s="99">
        <v>5.9703999999999997</v>
      </c>
      <c r="J261" s="99">
        <v>0</v>
      </c>
      <c r="K261" s="99">
        <v>4.4778000000000304</v>
      </c>
      <c r="L261" s="103">
        <v>144.78219999999996</v>
      </c>
    </row>
    <row r="262" spans="1:12" x14ac:dyDescent="0.45">
      <c r="A262" s="98" t="s">
        <v>295</v>
      </c>
      <c r="B262" s="87">
        <v>334</v>
      </c>
      <c r="C262" s="98" t="s">
        <v>141</v>
      </c>
      <c r="D262" s="93">
        <v>45037</v>
      </c>
      <c r="E262" s="99">
        <v>1485</v>
      </c>
      <c r="F262" s="100"/>
      <c r="G262" s="101">
        <v>25</v>
      </c>
      <c r="H262" s="102">
        <v>2</v>
      </c>
      <c r="I262" s="99">
        <v>59.4</v>
      </c>
      <c r="J262" s="99">
        <v>0</v>
      </c>
      <c r="K262" s="99">
        <v>44.550000000000409</v>
      </c>
      <c r="L262" s="103">
        <v>1440.4499999999996</v>
      </c>
    </row>
    <row r="263" spans="1:12" x14ac:dyDescent="0.45">
      <c r="A263" s="98" t="s">
        <v>295</v>
      </c>
      <c r="B263" s="87">
        <v>334</v>
      </c>
      <c r="C263" s="98" t="s">
        <v>141</v>
      </c>
      <c r="D263" s="93">
        <v>45040</v>
      </c>
      <c r="E263" s="99">
        <v>2759.76</v>
      </c>
      <c r="F263" s="100"/>
      <c r="G263" s="101">
        <v>25</v>
      </c>
      <c r="H263" s="102">
        <v>2</v>
      </c>
      <c r="I263" s="99">
        <v>110.39040000000001</v>
      </c>
      <c r="J263" s="99">
        <v>0</v>
      </c>
      <c r="K263" s="99">
        <v>82.79280000000017</v>
      </c>
      <c r="L263" s="103">
        <v>2676.9672</v>
      </c>
    </row>
    <row r="264" spans="1:12" x14ac:dyDescent="0.45">
      <c r="A264" s="98" t="s">
        <v>295</v>
      </c>
      <c r="B264" s="87">
        <v>334</v>
      </c>
      <c r="C264" s="98" t="s">
        <v>141</v>
      </c>
      <c r="D264" s="93">
        <v>44678</v>
      </c>
      <c r="E264" s="99">
        <v>401.1</v>
      </c>
      <c r="F264" s="100"/>
      <c r="G264" s="101">
        <v>25</v>
      </c>
      <c r="H264" s="102">
        <v>3</v>
      </c>
      <c r="I264" s="99">
        <v>16.044</v>
      </c>
      <c r="J264" s="99">
        <v>0</v>
      </c>
      <c r="K264" s="99">
        <v>28.076999999999771</v>
      </c>
      <c r="L264" s="103">
        <v>373.02300000000025</v>
      </c>
    </row>
    <row r="265" spans="1:12" x14ac:dyDescent="0.45">
      <c r="A265" s="98" t="s">
        <v>295</v>
      </c>
      <c r="B265" s="87">
        <v>334</v>
      </c>
      <c r="C265" s="98" t="s">
        <v>141</v>
      </c>
      <c r="D265" s="93">
        <v>44316</v>
      </c>
      <c r="E265" s="99">
        <v>3541.44</v>
      </c>
      <c r="F265" s="100"/>
      <c r="G265" s="101">
        <v>25</v>
      </c>
      <c r="H265" s="102">
        <v>4</v>
      </c>
      <c r="I265" s="99">
        <v>141.6576</v>
      </c>
      <c r="J265" s="99">
        <v>0</v>
      </c>
      <c r="K265" s="99">
        <v>389.55839999999625</v>
      </c>
      <c r="L265" s="103">
        <v>3151.8816000000038</v>
      </c>
    </row>
    <row r="266" spans="1:12" x14ac:dyDescent="0.45">
      <c r="A266" s="98" t="s">
        <v>295</v>
      </c>
      <c r="B266" s="87">
        <v>334</v>
      </c>
      <c r="C266" s="98" t="s">
        <v>141</v>
      </c>
      <c r="D266" s="93">
        <v>44320</v>
      </c>
      <c r="E266" s="99">
        <v>159.58000000000001</v>
      </c>
      <c r="F266" s="100"/>
      <c r="G266" s="101">
        <v>25</v>
      </c>
      <c r="H266" s="102">
        <v>4</v>
      </c>
      <c r="I266" s="99">
        <v>6.3832000000000004</v>
      </c>
      <c r="J266" s="99">
        <v>0</v>
      </c>
      <c r="K266" s="99">
        <v>17.021866666666938</v>
      </c>
      <c r="L266" s="103">
        <v>142.55813333333307</v>
      </c>
    </row>
    <row r="267" spans="1:12" x14ac:dyDescent="0.45">
      <c r="A267" s="98" t="s">
        <v>295</v>
      </c>
      <c r="B267" s="87">
        <v>334</v>
      </c>
      <c r="C267" s="98" t="s">
        <v>141</v>
      </c>
      <c r="D267" s="93">
        <v>44685</v>
      </c>
      <c r="E267" s="99">
        <v>62140.22</v>
      </c>
      <c r="F267" s="100"/>
      <c r="G267" s="101">
        <v>25</v>
      </c>
      <c r="H267" s="102">
        <v>3</v>
      </c>
      <c r="I267" s="99">
        <v>2485.6088</v>
      </c>
      <c r="J267" s="99">
        <v>0</v>
      </c>
      <c r="K267" s="99">
        <v>4142.6813333333121</v>
      </c>
      <c r="L267" s="103">
        <v>57997.538666666689</v>
      </c>
    </row>
    <row r="268" spans="1:12" x14ac:dyDescent="0.45">
      <c r="A268" s="98" t="s">
        <v>295</v>
      </c>
      <c r="B268" s="87">
        <v>334</v>
      </c>
      <c r="C268" s="98" t="s">
        <v>141</v>
      </c>
      <c r="D268" s="93">
        <v>44686</v>
      </c>
      <c r="E268" s="99">
        <v>93.86</v>
      </c>
      <c r="F268" s="100"/>
      <c r="G268" s="101">
        <v>25</v>
      </c>
      <c r="H268" s="102">
        <v>3</v>
      </c>
      <c r="I268" s="99">
        <v>3.7544</v>
      </c>
      <c r="J268" s="99">
        <v>0</v>
      </c>
      <c r="K268" s="99">
        <v>6.2573333333332926</v>
      </c>
      <c r="L268" s="103">
        <v>87.602666666666707</v>
      </c>
    </row>
    <row r="269" spans="1:12" x14ac:dyDescent="0.45">
      <c r="A269" s="98" t="s">
        <v>295</v>
      </c>
      <c r="B269" s="87">
        <v>334</v>
      </c>
      <c r="C269" s="98" t="s">
        <v>141</v>
      </c>
      <c r="D269" s="93">
        <v>44687</v>
      </c>
      <c r="E269" s="99">
        <v>64.290000000000006</v>
      </c>
      <c r="F269" s="100"/>
      <c r="G269" s="101">
        <v>25</v>
      </c>
      <c r="H269" s="102">
        <v>3</v>
      </c>
      <c r="I269" s="99">
        <v>2.5716000000000001</v>
      </c>
      <c r="J269" s="99">
        <v>0</v>
      </c>
      <c r="K269" s="99">
        <v>4.2860000000000227</v>
      </c>
      <c r="L269" s="103">
        <v>60.003999999999984</v>
      </c>
    </row>
    <row r="270" spans="1:12" x14ac:dyDescent="0.45">
      <c r="A270" s="98" t="s">
        <v>295</v>
      </c>
      <c r="B270" s="87">
        <v>334</v>
      </c>
      <c r="C270" s="98" t="s">
        <v>141</v>
      </c>
      <c r="D270" s="93">
        <v>44689</v>
      </c>
      <c r="E270" s="99">
        <v>196.84</v>
      </c>
      <c r="F270" s="100"/>
      <c r="G270" s="101">
        <v>25</v>
      </c>
      <c r="H270" s="102">
        <v>3</v>
      </c>
      <c r="I270" s="99">
        <v>7.8735999999999997</v>
      </c>
      <c r="J270" s="99">
        <v>0</v>
      </c>
      <c r="K270" s="99">
        <v>13.122666666666873</v>
      </c>
      <c r="L270" s="103">
        <v>183.71733333333313</v>
      </c>
    </row>
    <row r="271" spans="1:12" x14ac:dyDescent="0.45">
      <c r="A271" s="98" t="s">
        <v>295</v>
      </c>
      <c r="B271" s="87">
        <v>334</v>
      </c>
      <c r="C271" s="98" t="s">
        <v>141</v>
      </c>
      <c r="D271" s="93">
        <v>44328</v>
      </c>
      <c r="E271" s="99">
        <v>257.81</v>
      </c>
      <c r="F271" s="100"/>
      <c r="G271" s="101">
        <v>25</v>
      </c>
      <c r="H271" s="102">
        <v>4</v>
      </c>
      <c r="I271" s="99">
        <v>10.3124</v>
      </c>
      <c r="J271" s="99">
        <v>0</v>
      </c>
      <c r="K271" s="99">
        <v>27.499733333333154</v>
      </c>
      <c r="L271" s="103">
        <v>230.31026666666685</v>
      </c>
    </row>
    <row r="272" spans="1:12" x14ac:dyDescent="0.45">
      <c r="A272" s="98" t="s">
        <v>295</v>
      </c>
      <c r="B272" s="87">
        <v>334</v>
      </c>
      <c r="C272" s="98" t="s">
        <v>141</v>
      </c>
      <c r="D272" s="93">
        <v>44342</v>
      </c>
      <c r="E272" s="99">
        <v>4721.92</v>
      </c>
      <c r="F272" s="100"/>
      <c r="G272" s="101">
        <v>25</v>
      </c>
      <c r="H272" s="102">
        <v>4</v>
      </c>
      <c r="I272" s="99">
        <v>188.8768</v>
      </c>
      <c r="J272" s="99">
        <v>0</v>
      </c>
      <c r="K272" s="99">
        <v>503.67146666668123</v>
      </c>
      <c r="L272" s="103">
        <v>4218.2485333333188</v>
      </c>
    </row>
    <row r="273" spans="1:12" x14ac:dyDescent="0.45">
      <c r="A273" s="98" t="s">
        <v>295</v>
      </c>
      <c r="B273" s="87">
        <v>334</v>
      </c>
      <c r="C273" s="98" t="s">
        <v>141</v>
      </c>
      <c r="D273" s="93">
        <v>44712</v>
      </c>
      <c r="E273" s="99">
        <v>976.5</v>
      </c>
      <c r="F273" s="100"/>
      <c r="G273" s="101">
        <v>25</v>
      </c>
      <c r="H273" s="102">
        <v>3</v>
      </c>
      <c r="I273" s="99">
        <v>39.06</v>
      </c>
      <c r="J273" s="99">
        <v>0</v>
      </c>
      <c r="K273" s="99">
        <v>65.099999999999909</v>
      </c>
      <c r="L273" s="103">
        <v>911.40000000000009</v>
      </c>
    </row>
    <row r="274" spans="1:12" x14ac:dyDescent="0.45">
      <c r="A274" s="98" t="s">
        <v>295</v>
      </c>
      <c r="B274" s="87">
        <v>334</v>
      </c>
      <c r="C274" s="98" t="s">
        <v>141</v>
      </c>
      <c r="D274" s="93">
        <v>45078</v>
      </c>
      <c r="E274" s="99">
        <v>6018.3</v>
      </c>
      <c r="F274" s="100"/>
      <c r="G274" s="101">
        <v>25</v>
      </c>
      <c r="H274" s="102">
        <v>2</v>
      </c>
      <c r="I274" s="99">
        <v>240.732</v>
      </c>
      <c r="J274" s="99">
        <v>0</v>
      </c>
      <c r="K274" s="99">
        <v>140.42699999999786</v>
      </c>
      <c r="L274" s="103">
        <v>5877.8730000000023</v>
      </c>
    </row>
    <row r="275" spans="1:12" x14ac:dyDescent="0.45">
      <c r="A275" s="98" t="s">
        <v>295</v>
      </c>
      <c r="B275" s="87">
        <v>334</v>
      </c>
      <c r="C275" s="98" t="s">
        <v>141</v>
      </c>
      <c r="D275" s="93">
        <v>45092</v>
      </c>
      <c r="E275" s="99">
        <v>629.99</v>
      </c>
      <c r="F275" s="100"/>
      <c r="G275" s="101">
        <v>25</v>
      </c>
      <c r="H275" s="102">
        <v>2</v>
      </c>
      <c r="I275" s="99">
        <v>25.1996</v>
      </c>
      <c r="J275" s="99">
        <v>0</v>
      </c>
      <c r="K275" s="99">
        <v>14.699766666666619</v>
      </c>
      <c r="L275" s="103">
        <v>615.29023333333339</v>
      </c>
    </row>
    <row r="276" spans="1:12" x14ac:dyDescent="0.45">
      <c r="A276" s="98" t="s">
        <v>295</v>
      </c>
      <c r="B276" s="87">
        <v>334</v>
      </c>
      <c r="C276" s="98" t="s">
        <v>141</v>
      </c>
      <c r="D276" s="93">
        <v>45097</v>
      </c>
      <c r="E276" s="99">
        <v>826.57999999999993</v>
      </c>
      <c r="F276" s="100"/>
      <c r="G276" s="101">
        <v>25</v>
      </c>
      <c r="H276" s="102">
        <v>2</v>
      </c>
      <c r="I276" s="99">
        <v>33.063199999999995</v>
      </c>
      <c r="J276" s="99">
        <v>0</v>
      </c>
      <c r="K276" s="99">
        <v>19.286866666666697</v>
      </c>
      <c r="L276" s="103">
        <v>807.29313333333323</v>
      </c>
    </row>
    <row r="277" spans="1:12" x14ac:dyDescent="0.45">
      <c r="A277" s="98" t="s">
        <v>295</v>
      </c>
      <c r="B277" s="87">
        <v>334</v>
      </c>
      <c r="C277" s="98" t="s">
        <v>141</v>
      </c>
      <c r="D277" s="93">
        <v>44368</v>
      </c>
      <c r="E277" s="99">
        <v>738.02</v>
      </c>
      <c r="F277" s="100"/>
      <c r="G277" s="101">
        <v>25</v>
      </c>
      <c r="H277" s="102">
        <v>4</v>
      </c>
      <c r="I277" s="99">
        <v>29.520799999999998</v>
      </c>
      <c r="J277" s="99">
        <v>0</v>
      </c>
      <c r="K277" s="99">
        <v>76.262066666666101</v>
      </c>
      <c r="L277" s="103">
        <v>661.75793333333388</v>
      </c>
    </row>
    <row r="278" spans="1:12" x14ac:dyDescent="0.45">
      <c r="A278" s="98" t="s">
        <v>295</v>
      </c>
      <c r="B278" s="87">
        <v>334</v>
      </c>
      <c r="C278" s="98" t="s">
        <v>141</v>
      </c>
      <c r="D278" s="93">
        <v>45104</v>
      </c>
      <c r="E278" s="99">
        <v>2363.13</v>
      </c>
      <c r="F278" s="100"/>
      <c r="G278" s="101">
        <v>25</v>
      </c>
      <c r="H278" s="102">
        <v>2</v>
      </c>
      <c r="I278" s="99">
        <v>94.525199999999998</v>
      </c>
      <c r="J278" s="99">
        <v>0</v>
      </c>
      <c r="K278" s="99">
        <v>55.139700000001085</v>
      </c>
      <c r="L278" s="103">
        <v>2307.990299999999</v>
      </c>
    </row>
    <row r="279" spans="1:12" x14ac:dyDescent="0.45">
      <c r="A279" s="98" t="s">
        <v>295</v>
      </c>
      <c r="B279" s="87">
        <v>334</v>
      </c>
      <c r="C279" s="98" t="s">
        <v>141</v>
      </c>
      <c r="D279" s="93">
        <v>44742</v>
      </c>
      <c r="E279" s="99">
        <v>872.88</v>
      </c>
      <c r="F279" s="100"/>
      <c r="G279" s="101">
        <v>25</v>
      </c>
      <c r="H279" s="102">
        <v>3</v>
      </c>
      <c r="I279" s="99">
        <v>34.915199999999999</v>
      </c>
      <c r="J279" s="99">
        <v>0</v>
      </c>
      <c r="K279" s="99">
        <v>55.282399999999143</v>
      </c>
      <c r="L279" s="103">
        <v>817.59760000000085</v>
      </c>
    </row>
    <row r="280" spans="1:12" x14ac:dyDescent="0.45">
      <c r="A280" s="98" t="s">
        <v>295</v>
      </c>
      <c r="B280" s="87">
        <v>334</v>
      </c>
      <c r="C280" s="98" t="s">
        <v>141</v>
      </c>
      <c r="D280" s="93">
        <v>44747</v>
      </c>
      <c r="E280" s="99">
        <v>336.17</v>
      </c>
      <c r="F280" s="100"/>
      <c r="G280" s="101">
        <v>25</v>
      </c>
      <c r="H280" s="102">
        <v>3</v>
      </c>
      <c r="I280" s="99">
        <v>13.446800000000001</v>
      </c>
      <c r="J280" s="99">
        <v>0</v>
      </c>
      <c r="K280" s="99">
        <v>20.170199999999909</v>
      </c>
      <c r="L280" s="103">
        <v>315.99980000000011</v>
      </c>
    </row>
    <row r="281" spans="1:12" x14ac:dyDescent="0.45">
      <c r="A281" s="98" t="s">
        <v>295</v>
      </c>
      <c r="B281" s="87">
        <v>334</v>
      </c>
      <c r="C281" s="98" t="s">
        <v>141</v>
      </c>
      <c r="D281" s="93">
        <v>44750</v>
      </c>
      <c r="E281" s="99">
        <v>364.88</v>
      </c>
      <c r="F281" s="100"/>
      <c r="G281" s="101">
        <v>25</v>
      </c>
      <c r="H281" s="102">
        <v>3</v>
      </c>
      <c r="I281" s="99">
        <v>14.5952</v>
      </c>
      <c r="J281" s="99">
        <v>0</v>
      </c>
      <c r="K281" s="99">
        <v>21.892800000000307</v>
      </c>
      <c r="L281" s="103">
        <v>342.98719999999969</v>
      </c>
    </row>
    <row r="282" spans="1:12" x14ac:dyDescent="0.45">
      <c r="A282" s="98" t="s">
        <v>295</v>
      </c>
      <c r="B282" s="87">
        <v>334</v>
      </c>
      <c r="C282" s="98" t="s">
        <v>141</v>
      </c>
      <c r="D282" s="93">
        <v>44760</v>
      </c>
      <c r="E282" s="99">
        <v>107.18</v>
      </c>
      <c r="F282" s="100"/>
      <c r="G282" s="101">
        <v>25</v>
      </c>
      <c r="H282" s="102">
        <v>3</v>
      </c>
      <c r="I282" s="99">
        <v>4.2872000000000003</v>
      </c>
      <c r="J282" s="99">
        <v>0</v>
      </c>
      <c r="K282" s="99">
        <v>6.4307999999998913</v>
      </c>
      <c r="L282" s="103">
        <v>100.74920000000012</v>
      </c>
    </row>
    <row r="283" spans="1:12" x14ac:dyDescent="0.45">
      <c r="A283" s="98" t="s">
        <v>295</v>
      </c>
      <c r="B283" s="87">
        <v>334</v>
      </c>
      <c r="C283" s="98" t="s">
        <v>141</v>
      </c>
      <c r="D283" s="93">
        <v>44407</v>
      </c>
      <c r="E283" s="99">
        <v>166.19</v>
      </c>
      <c r="F283" s="100"/>
      <c r="G283" s="101">
        <v>25</v>
      </c>
      <c r="H283" s="102">
        <v>4</v>
      </c>
      <c r="I283" s="99">
        <v>6.6475999999999997</v>
      </c>
      <c r="J283" s="99">
        <v>0</v>
      </c>
      <c r="K283" s="99">
        <v>16.619000000000028</v>
      </c>
      <c r="L283" s="103">
        <v>149.57099999999997</v>
      </c>
    </row>
    <row r="284" spans="1:12" x14ac:dyDescent="0.45">
      <c r="A284" s="98" t="s">
        <v>295</v>
      </c>
      <c r="B284" s="87">
        <v>334</v>
      </c>
      <c r="C284" s="98" t="s">
        <v>141</v>
      </c>
      <c r="D284" s="93">
        <v>44774</v>
      </c>
      <c r="E284" s="99">
        <v>2360.96</v>
      </c>
      <c r="F284" s="100"/>
      <c r="G284" s="101">
        <v>25</v>
      </c>
      <c r="H284" s="102">
        <v>3</v>
      </c>
      <c r="I284" s="99">
        <v>94.438400000000001</v>
      </c>
      <c r="J284" s="99">
        <v>0</v>
      </c>
      <c r="K284" s="99">
        <v>133.7877333333372</v>
      </c>
      <c r="L284" s="103">
        <v>2227.1722666666628</v>
      </c>
    </row>
    <row r="285" spans="1:12" x14ac:dyDescent="0.45">
      <c r="A285" s="98" t="s">
        <v>295</v>
      </c>
      <c r="B285" s="87">
        <v>334</v>
      </c>
      <c r="C285" s="98" t="s">
        <v>141</v>
      </c>
      <c r="D285" s="93">
        <v>45141</v>
      </c>
      <c r="E285" s="99">
        <v>895.19</v>
      </c>
      <c r="F285" s="100"/>
      <c r="G285" s="101">
        <v>25</v>
      </c>
      <c r="H285" s="102">
        <v>2</v>
      </c>
      <c r="I285" s="99">
        <v>35.807600000000001</v>
      </c>
      <c r="J285" s="99">
        <v>0</v>
      </c>
      <c r="K285" s="99">
        <v>14.919833333333372</v>
      </c>
      <c r="L285" s="103">
        <v>880.27016666666668</v>
      </c>
    </row>
    <row r="286" spans="1:12" x14ac:dyDescent="0.45">
      <c r="A286" s="98" t="s">
        <v>295</v>
      </c>
      <c r="B286" s="87">
        <v>334</v>
      </c>
      <c r="C286" s="98" t="s">
        <v>141</v>
      </c>
      <c r="D286" s="93">
        <v>45170</v>
      </c>
      <c r="E286" s="99">
        <v>3831.41</v>
      </c>
      <c r="F286" s="100"/>
      <c r="G286" s="101">
        <v>25</v>
      </c>
      <c r="H286" s="102">
        <v>2</v>
      </c>
      <c r="I286" s="99">
        <v>153.25639999999999</v>
      </c>
      <c r="J286" s="99">
        <v>0</v>
      </c>
      <c r="K286" s="99">
        <v>51.085466666667344</v>
      </c>
      <c r="L286" s="103">
        <v>3780.3245333333325</v>
      </c>
    </row>
    <row r="287" spans="1:12" x14ac:dyDescent="0.45">
      <c r="A287" s="98" t="s">
        <v>295</v>
      </c>
      <c r="B287" s="87">
        <v>334</v>
      </c>
      <c r="C287" s="98" t="s">
        <v>141</v>
      </c>
      <c r="D287" s="93">
        <v>45182</v>
      </c>
      <c r="E287" s="99">
        <v>382.43</v>
      </c>
      <c r="F287" s="100"/>
      <c r="G287" s="101">
        <v>25</v>
      </c>
      <c r="H287" s="102">
        <v>2</v>
      </c>
      <c r="I287" s="99">
        <v>15.2972</v>
      </c>
      <c r="J287" s="99">
        <v>0</v>
      </c>
      <c r="K287" s="99">
        <v>5.0990666666666584</v>
      </c>
      <c r="L287" s="103">
        <v>377.33093333333335</v>
      </c>
    </row>
    <row r="288" spans="1:12" x14ac:dyDescent="0.45">
      <c r="A288" s="98" t="s">
        <v>295</v>
      </c>
      <c r="B288" s="87">
        <v>334</v>
      </c>
      <c r="C288" s="98" t="s">
        <v>141</v>
      </c>
      <c r="D288" s="93">
        <v>44455</v>
      </c>
      <c r="E288" s="99">
        <v>222.67</v>
      </c>
      <c r="F288" s="100"/>
      <c r="G288" s="101">
        <v>25</v>
      </c>
      <c r="H288" s="102">
        <v>4</v>
      </c>
      <c r="I288" s="99">
        <v>8.9067999999999987</v>
      </c>
      <c r="J288" s="99">
        <v>0</v>
      </c>
      <c r="K288" s="99">
        <v>20.782533333333276</v>
      </c>
      <c r="L288" s="103">
        <v>201.88746666666671</v>
      </c>
    </row>
    <row r="289" spans="1:12" x14ac:dyDescent="0.45">
      <c r="A289" s="98" t="s">
        <v>295</v>
      </c>
      <c r="B289" s="87">
        <v>334</v>
      </c>
      <c r="C289" s="98" t="s">
        <v>141</v>
      </c>
      <c r="D289" s="93">
        <v>45196</v>
      </c>
      <c r="E289" s="99">
        <v>10609.32</v>
      </c>
      <c r="F289" s="100"/>
      <c r="G289" s="101">
        <v>25</v>
      </c>
      <c r="H289" s="102">
        <v>2</v>
      </c>
      <c r="I289" s="99">
        <v>424.37279999999998</v>
      </c>
      <c r="J289" s="99">
        <v>0</v>
      </c>
      <c r="K289" s="99">
        <v>141.45760000000155</v>
      </c>
      <c r="L289" s="103">
        <v>10467.862399999998</v>
      </c>
    </row>
    <row r="290" spans="1:12" x14ac:dyDescent="0.45">
      <c r="A290" s="98" t="s">
        <v>295</v>
      </c>
      <c r="B290" s="87">
        <v>334</v>
      </c>
      <c r="C290" s="98" t="s">
        <v>141</v>
      </c>
      <c r="D290" s="93">
        <v>44467</v>
      </c>
      <c r="E290" s="99">
        <v>1237.3800000000001</v>
      </c>
      <c r="F290" s="100"/>
      <c r="G290" s="101">
        <v>25</v>
      </c>
      <c r="H290" s="102">
        <v>4</v>
      </c>
      <c r="I290" s="99">
        <v>49.495200000000004</v>
      </c>
      <c r="J290" s="99">
        <v>0</v>
      </c>
      <c r="K290" s="99">
        <v>115.48880000000281</v>
      </c>
      <c r="L290" s="103">
        <v>1121.8911999999973</v>
      </c>
    </row>
    <row r="291" spans="1:12" x14ac:dyDescent="0.45">
      <c r="A291" s="98" t="s">
        <v>295</v>
      </c>
      <c r="B291" s="87">
        <v>334</v>
      </c>
      <c r="C291" s="98" t="s">
        <v>141</v>
      </c>
      <c r="D291" s="93">
        <v>44470</v>
      </c>
      <c r="E291" s="99">
        <v>528.75</v>
      </c>
      <c r="F291" s="100"/>
      <c r="G291" s="101">
        <v>25</v>
      </c>
      <c r="H291" s="102">
        <v>3</v>
      </c>
      <c r="I291" s="99">
        <v>21.15</v>
      </c>
      <c r="J291" s="99">
        <v>0</v>
      </c>
      <c r="K291" s="99">
        <v>47.587500000000205</v>
      </c>
      <c r="L291" s="103">
        <v>481.1624999999998</v>
      </c>
    </row>
    <row r="292" spans="1:12" x14ac:dyDescent="0.45">
      <c r="A292" s="98" t="s">
        <v>295</v>
      </c>
      <c r="B292" s="87">
        <v>334</v>
      </c>
      <c r="C292" s="98" t="s">
        <v>141</v>
      </c>
      <c r="D292" s="93">
        <v>45200</v>
      </c>
      <c r="E292" s="99">
        <v>890.28</v>
      </c>
      <c r="F292" s="100"/>
      <c r="G292" s="101">
        <v>25</v>
      </c>
      <c r="H292" s="102">
        <v>1</v>
      </c>
      <c r="I292" s="99">
        <v>35.611199999999997</v>
      </c>
      <c r="J292" s="99">
        <v>0</v>
      </c>
      <c r="K292" s="99">
        <v>8.9027999999998428</v>
      </c>
      <c r="L292" s="103">
        <v>881.37720000000013</v>
      </c>
    </row>
    <row r="293" spans="1:12" x14ac:dyDescent="0.45">
      <c r="A293" s="98" t="s">
        <v>295</v>
      </c>
      <c r="B293" s="87">
        <v>334</v>
      </c>
      <c r="C293" s="98" t="s">
        <v>141</v>
      </c>
      <c r="D293" s="93">
        <v>45202</v>
      </c>
      <c r="E293" s="99">
        <v>1392.38</v>
      </c>
      <c r="F293" s="100"/>
      <c r="G293" s="101">
        <v>25</v>
      </c>
      <c r="H293" s="102">
        <v>1</v>
      </c>
      <c r="I293" s="99">
        <v>55.695200000000007</v>
      </c>
      <c r="J293" s="99">
        <v>0</v>
      </c>
      <c r="K293" s="99">
        <v>13.923800000000256</v>
      </c>
      <c r="L293" s="103">
        <v>1378.4561999999999</v>
      </c>
    </row>
    <row r="294" spans="1:12" x14ac:dyDescent="0.45">
      <c r="A294" s="98" t="s">
        <v>295</v>
      </c>
      <c r="B294" s="87">
        <v>334</v>
      </c>
      <c r="C294" s="98" t="s">
        <v>141</v>
      </c>
      <c r="D294" s="93">
        <v>44482</v>
      </c>
      <c r="E294" s="99">
        <v>276.62</v>
      </c>
      <c r="F294" s="100"/>
      <c r="G294" s="101">
        <v>25</v>
      </c>
      <c r="H294" s="102">
        <v>3</v>
      </c>
      <c r="I294" s="99">
        <v>11.0648</v>
      </c>
      <c r="J294" s="99">
        <v>0</v>
      </c>
      <c r="K294" s="99">
        <v>24.895800000000605</v>
      </c>
      <c r="L294" s="103">
        <v>251.7241999999994</v>
      </c>
    </row>
    <row r="295" spans="1:12" x14ac:dyDescent="0.45">
      <c r="A295" s="98" t="s">
        <v>295</v>
      </c>
      <c r="B295" s="87">
        <v>334</v>
      </c>
      <c r="C295" s="98" t="s">
        <v>141</v>
      </c>
      <c r="D295" s="93">
        <v>45217</v>
      </c>
      <c r="E295" s="99">
        <v>142.22999999999999</v>
      </c>
      <c r="F295" s="100"/>
      <c r="G295" s="101">
        <v>25</v>
      </c>
      <c r="H295" s="102">
        <v>1</v>
      </c>
      <c r="I295" s="99">
        <v>5.6891999999999996</v>
      </c>
      <c r="J295" s="99">
        <v>0</v>
      </c>
      <c r="K295" s="99">
        <v>1.4222999999999786</v>
      </c>
      <c r="L295" s="103">
        <v>140.80770000000001</v>
      </c>
    </row>
    <row r="296" spans="1:12" x14ac:dyDescent="0.45">
      <c r="A296" s="98" t="s">
        <v>295</v>
      </c>
      <c r="B296" s="87">
        <v>334</v>
      </c>
      <c r="C296" s="98" t="s">
        <v>141</v>
      </c>
      <c r="D296" s="93">
        <v>45223</v>
      </c>
      <c r="E296" s="99">
        <v>213.62</v>
      </c>
      <c r="F296" s="100"/>
      <c r="G296" s="101">
        <v>25</v>
      </c>
      <c r="H296" s="102">
        <v>1</v>
      </c>
      <c r="I296" s="99">
        <v>8.5448000000000004</v>
      </c>
      <c r="J296" s="99">
        <v>0</v>
      </c>
      <c r="K296" s="99">
        <v>2.1361999999999739</v>
      </c>
      <c r="L296" s="103">
        <v>211.48380000000003</v>
      </c>
    </row>
    <row r="297" spans="1:12" x14ac:dyDescent="0.45">
      <c r="A297" s="98" t="s">
        <v>295</v>
      </c>
      <c r="B297" s="87">
        <v>334</v>
      </c>
      <c r="C297" s="98" t="s">
        <v>141</v>
      </c>
      <c r="D297" s="93">
        <v>45225</v>
      </c>
      <c r="E297" s="99">
        <v>370.05</v>
      </c>
      <c r="F297" s="100"/>
      <c r="G297" s="101">
        <v>25</v>
      </c>
      <c r="H297" s="102">
        <v>1</v>
      </c>
      <c r="I297" s="99">
        <v>14.802</v>
      </c>
      <c r="J297" s="99">
        <v>0</v>
      </c>
      <c r="K297" s="99">
        <v>3.7004999999999768</v>
      </c>
      <c r="L297" s="103">
        <v>366.34950000000003</v>
      </c>
    </row>
    <row r="298" spans="1:12" x14ac:dyDescent="0.45">
      <c r="A298" s="98" t="s">
        <v>295</v>
      </c>
      <c r="B298" s="87">
        <v>334</v>
      </c>
      <c r="C298" s="98" t="s">
        <v>141</v>
      </c>
      <c r="D298" s="93">
        <v>44499</v>
      </c>
      <c r="E298" s="99">
        <v>6492.64</v>
      </c>
      <c r="F298" s="100"/>
      <c r="G298" s="101">
        <v>25</v>
      </c>
      <c r="H298" s="102">
        <v>3</v>
      </c>
      <c r="I298" s="99">
        <v>259.7056</v>
      </c>
      <c r="J298" s="99">
        <v>0</v>
      </c>
      <c r="K298" s="99">
        <v>584.33760000001075</v>
      </c>
      <c r="L298" s="103">
        <v>5908.3023999999896</v>
      </c>
    </row>
    <row r="299" spans="1:12" x14ac:dyDescent="0.45">
      <c r="A299" s="98" t="s">
        <v>295</v>
      </c>
      <c r="B299" s="87">
        <v>334</v>
      </c>
      <c r="C299" s="98" t="s">
        <v>141</v>
      </c>
      <c r="D299" s="93">
        <v>45230</v>
      </c>
      <c r="E299" s="99">
        <v>9635.2000000000007</v>
      </c>
      <c r="F299" s="100"/>
      <c r="G299" s="101">
        <v>25</v>
      </c>
      <c r="H299" s="102">
        <v>1</v>
      </c>
      <c r="I299" s="99">
        <v>385.40800000000002</v>
      </c>
      <c r="J299" s="99">
        <v>0</v>
      </c>
      <c r="K299" s="99">
        <v>96.352000000000771</v>
      </c>
      <c r="L299" s="103">
        <v>9538.848</v>
      </c>
    </row>
    <row r="300" spans="1:12" x14ac:dyDescent="0.45">
      <c r="A300" s="98" t="s">
        <v>295</v>
      </c>
      <c r="B300" s="87">
        <v>334</v>
      </c>
      <c r="C300" s="98" t="s">
        <v>141</v>
      </c>
      <c r="D300" s="93">
        <v>44868</v>
      </c>
      <c r="E300" s="99">
        <v>71.12</v>
      </c>
      <c r="F300" s="100"/>
      <c r="G300" s="101">
        <v>25</v>
      </c>
      <c r="H300" s="102">
        <v>2</v>
      </c>
      <c r="I300" s="99">
        <v>2.8448000000000002</v>
      </c>
      <c r="J300" s="99">
        <v>0</v>
      </c>
      <c r="K300" s="99">
        <v>3.3189333333332911</v>
      </c>
      <c r="L300" s="103">
        <v>67.801066666666713</v>
      </c>
    </row>
    <row r="301" spans="1:12" x14ac:dyDescent="0.45">
      <c r="A301" s="98" t="s">
        <v>295</v>
      </c>
      <c r="B301" s="87">
        <v>334</v>
      </c>
      <c r="C301" s="98" t="s">
        <v>141</v>
      </c>
      <c r="D301" s="93">
        <v>45239</v>
      </c>
      <c r="E301" s="99">
        <v>897.03</v>
      </c>
      <c r="F301" s="100"/>
      <c r="G301" s="101">
        <v>25</v>
      </c>
      <c r="H301" s="102">
        <v>1</v>
      </c>
      <c r="I301" s="99">
        <v>35.8812</v>
      </c>
      <c r="J301" s="99">
        <v>0</v>
      </c>
      <c r="K301" s="99">
        <v>5.980199999999968</v>
      </c>
      <c r="L301" s="103">
        <v>891.0498</v>
      </c>
    </row>
    <row r="302" spans="1:12" x14ac:dyDescent="0.45">
      <c r="A302" s="98" t="s">
        <v>295</v>
      </c>
      <c r="B302" s="87">
        <v>334</v>
      </c>
      <c r="C302" s="98" t="s">
        <v>141</v>
      </c>
      <c r="D302" s="93">
        <v>44886</v>
      </c>
      <c r="E302" s="99">
        <v>309.88</v>
      </c>
      <c r="F302" s="100"/>
      <c r="G302" s="101">
        <v>25</v>
      </c>
      <c r="H302" s="102">
        <v>2</v>
      </c>
      <c r="I302" s="99">
        <v>12.395199999999999</v>
      </c>
      <c r="J302" s="99">
        <v>0</v>
      </c>
      <c r="K302" s="99">
        <v>14.461066666666852</v>
      </c>
      <c r="L302" s="103">
        <v>295.41893333333314</v>
      </c>
    </row>
    <row r="303" spans="1:12" x14ac:dyDescent="0.45">
      <c r="A303" s="98" t="s">
        <v>295</v>
      </c>
      <c r="B303" s="87">
        <v>334</v>
      </c>
      <c r="C303" s="98" t="s">
        <v>141</v>
      </c>
      <c r="D303" s="93">
        <v>44522</v>
      </c>
      <c r="E303" s="99">
        <v>267.19</v>
      </c>
      <c r="F303" s="100"/>
      <c r="G303" s="101">
        <v>25</v>
      </c>
      <c r="H303" s="102">
        <v>3</v>
      </c>
      <c r="I303" s="99">
        <v>10.6876</v>
      </c>
      <c r="J303" s="99">
        <v>0</v>
      </c>
      <c r="K303" s="99">
        <v>23.156466666666518</v>
      </c>
      <c r="L303" s="103">
        <v>244.03353333333348</v>
      </c>
    </row>
    <row r="304" spans="1:12" x14ac:dyDescent="0.45">
      <c r="A304" s="98" t="s">
        <v>295</v>
      </c>
      <c r="B304" s="87">
        <v>334</v>
      </c>
      <c r="C304" s="98" t="s">
        <v>141</v>
      </c>
      <c r="D304" s="93">
        <v>45257</v>
      </c>
      <c r="E304" s="99">
        <v>13251.15</v>
      </c>
      <c r="F304" s="100"/>
      <c r="G304" s="101">
        <v>25</v>
      </c>
      <c r="H304" s="102">
        <v>1</v>
      </c>
      <c r="I304" s="99">
        <v>530.04599999999994</v>
      </c>
      <c r="J304" s="99">
        <v>0</v>
      </c>
      <c r="K304" s="99">
        <v>88.341000000000349</v>
      </c>
      <c r="L304" s="103">
        <v>13162.808999999999</v>
      </c>
    </row>
    <row r="305" spans="1:12" x14ac:dyDescent="0.45">
      <c r="A305" s="98" t="s">
        <v>295</v>
      </c>
      <c r="B305" s="87">
        <v>334</v>
      </c>
      <c r="C305" s="98" t="s">
        <v>141</v>
      </c>
      <c r="D305" s="93">
        <v>44530</v>
      </c>
      <c r="E305" s="99">
        <v>4721.92</v>
      </c>
      <c r="F305" s="100"/>
      <c r="G305" s="101">
        <v>25</v>
      </c>
      <c r="H305" s="102">
        <v>3</v>
      </c>
      <c r="I305" s="99">
        <v>188.8768</v>
      </c>
      <c r="J305" s="99">
        <v>0</v>
      </c>
      <c r="K305" s="99">
        <v>409.2330666666785</v>
      </c>
      <c r="L305" s="103">
        <v>4312.6869333333216</v>
      </c>
    </row>
    <row r="306" spans="1:12" x14ac:dyDescent="0.45">
      <c r="A306" s="98" t="s">
        <v>295</v>
      </c>
      <c r="B306" s="87">
        <v>334</v>
      </c>
      <c r="C306" s="98" t="s">
        <v>141</v>
      </c>
      <c r="D306" s="93">
        <v>44895</v>
      </c>
      <c r="E306" s="99">
        <v>3024.51</v>
      </c>
      <c r="F306" s="100"/>
      <c r="G306" s="101">
        <v>25</v>
      </c>
      <c r="H306" s="102">
        <v>2</v>
      </c>
      <c r="I306" s="99">
        <v>120.9804</v>
      </c>
      <c r="J306" s="99">
        <v>0</v>
      </c>
      <c r="K306" s="99">
        <v>141.14380000000256</v>
      </c>
      <c r="L306" s="103">
        <v>2883.3661999999977</v>
      </c>
    </row>
    <row r="307" spans="1:12" x14ac:dyDescent="0.45">
      <c r="A307" s="98" t="s">
        <v>295</v>
      </c>
      <c r="B307" s="87">
        <v>334</v>
      </c>
      <c r="C307" s="98" t="s">
        <v>323</v>
      </c>
      <c r="D307" s="93">
        <v>44895</v>
      </c>
      <c r="E307" s="99">
        <v>108.6</v>
      </c>
      <c r="F307" s="100"/>
      <c r="G307" s="101">
        <v>25</v>
      </c>
      <c r="H307" s="102">
        <v>2</v>
      </c>
      <c r="I307" s="99">
        <v>4.3439999999999994</v>
      </c>
      <c r="J307" s="99">
        <v>0</v>
      </c>
      <c r="K307" s="99">
        <v>5.0679999999999268</v>
      </c>
      <c r="L307" s="103">
        <v>103.53200000000007</v>
      </c>
    </row>
    <row r="308" spans="1:12" x14ac:dyDescent="0.45">
      <c r="A308" s="98" t="s">
        <v>295</v>
      </c>
      <c r="B308" s="87">
        <v>334</v>
      </c>
      <c r="C308" s="98" t="s">
        <v>324</v>
      </c>
      <c r="D308" s="93">
        <v>44895</v>
      </c>
      <c r="E308" s="99">
        <v>108.6</v>
      </c>
      <c r="F308" s="100"/>
      <c r="G308" s="101">
        <v>25</v>
      </c>
      <c r="H308" s="102">
        <v>2</v>
      </c>
      <c r="I308" s="99">
        <v>4.3439999999999994</v>
      </c>
      <c r="J308" s="99">
        <v>0</v>
      </c>
      <c r="K308" s="99">
        <v>5.0679999999999268</v>
      </c>
      <c r="L308" s="103">
        <v>103.53200000000007</v>
      </c>
    </row>
    <row r="309" spans="1:12" x14ac:dyDescent="0.45">
      <c r="A309" s="98" t="s">
        <v>295</v>
      </c>
      <c r="B309" s="87">
        <v>348</v>
      </c>
      <c r="C309" s="98" t="s">
        <v>144</v>
      </c>
      <c r="D309" s="93">
        <v>45223</v>
      </c>
      <c r="E309" s="99">
        <v>963.83</v>
      </c>
      <c r="F309" s="100"/>
      <c r="G309" s="101">
        <v>10</v>
      </c>
      <c r="H309" s="102">
        <v>1</v>
      </c>
      <c r="I309" s="99">
        <v>96.38300000000001</v>
      </c>
      <c r="J309" s="99">
        <v>0</v>
      </c>
      <c r="K309" s="99">
        <v>24.095750000000066</v>
      </c>
      <c r="L309" s="103">
        <v>939.73424999999997</v>
      </c>
    </row>
    <row r="310" spans="1:12" x14ac:dyDescent="0.45">
      <c r="A310" s="98" t="s">
        <v>295</v>
      </c>
      <c r="B310" s="87">
        <v>348</v>
      </c>
      <c r="C310" s="98" t="s">
        <v>325</v>
      </c>
      <c r="D310" s="93">
        <v>44866</v>
      </c>
      <c r="E310" s="99">
        <v>2528</v>
      </c>
      <c r="F310" s="100"/>
      <c r="G310" s="101">
        <v>10</v>
      </c>
      <c r="H310" s="102">
        <v>2</v>
      </c>
      <c r="I310" s="99">
        <v>252.8</v>
      </c>
      <c r="J310" s="99">
        <v>0</v>
      </c>
      <c r="K310" s="99">
        <v>294.93333333333248</v>
      </c>
      <c r="L310" s="103">
        <v>2233.0666666666675</v>
      </c>
    </row>
    <row r="311" spans="1:12" x14ac:dyDescent="0.45">
      <c r="A311" s="98" t="s">
        <v>295</v>
      </c>
      <c r="B311" s="87">
        <v>334</v>
      </c>
      <c r="C311" s="98" t="s">
        <v>326</v>
      </c>
      <c r="D311" s="93">
        <v>44675</v>
      </c>
      <c r="E311" s="99">
        <v>70.52</v>
      </c>
      <c r="F311" s="100"/>
      <c r="G311" s="101">
        <v>25</v>
      </c>
      <c r="H311" s="102">
        <v>3</v>
      </c>
      <c r="I311" s="99">
        <v>2.8207999999999998</v>
      </c>
      <c r="J311" s="99">
        <v>0</v>
      </c>
      <c r="K311" s="99">
        <v>4.9364000000000345</v>
      </c>
      <c r="L311" s="103">
        <v>65.583599999999961</v>
      </c>
    </row>
    <row r="312" spans="1:12" x14ac:dyDescent="0.45">
      <c r="A312" s="98" t="s">
        <v>295</v>
      </c>
      <c r="B312" s="87">
        <v>334</v>
      </c>
      <c r="C312" s="98" t="s">
        <v>327</v>
      </c>
      <c r="D312" s="93">
        <v>44921</v>
      </c>
      <c r="E312" s="99">
        <v>1629</v>
      </c>
      <c r="F312" s="100"/>
      <c r="G312" s="101">
        <v>25</v>
      </c>
      <c r="H312" s="102">
        <v>2</v>
      </c>
      <c r="I312" s="99">
        <v>65.16</v>
      </c>
      <c r="J312" s="99">
        <v>0</v>
      </c>
      <c r="K312" s="99">
        <v>70.590000000000828</v>
      </c>
      <c r="L312" s="103">
        <v>1558.4099999999992</v>
      </c>
    </row>
    <row r="313" spans="1:12" x14ac:dyDescent="0.45">
      <c r="A313" s="98" t="s">
        <v>295</v>
      </c>
      <c r="B313" s="87">
        <v>334</v>
      </c>
      <c r="C313" s="98" t="s">
        <v>327</v>
      </c>
      <c r="D313" s="93">
        <v>44953</v>
      </c>
      <c r="E313" s="99">
        <v>141.18</v>
      </c>
      <c r="F313" s="100"/>
      <c r="G313" s="101">
        <v>25</v>
      </c>
      <c r="H313" s="102">
        <v>2</v>
      </c>
      <c r="I313" s="99">
        <v>5.6472000000000007</v>
      </c>
      <c r="J313" s="99">
        <v>0</v>
      </c>
      <c r="K313" s="99">
        <v>5.6471999999998843</v>
      </c>
      <c r="L313" s="103">
        <v>135.53280000000012</v>
      </c>
    </row>
    <row r="314" spans="1:12" x14ac:dyDescent="0.45">
      <c r="A314" s="98" t="s">
        <v>295</v>
      </c>
      <c r="B314" s="87">
        <v>311</v>
      </c>
      <c r="C314" s="98" t="s">
        <v>328</v>
      </c>
      <c r="D314" s="93">
        <v>45107</v>
      </c>
      <c r="E314" s="99">
        <v>363.8</v>
      </c>
      <c r="F314" s="100"/>
      <c r="G314" s="101">
        <v>25</v>
      </c>
      <c r="H314" s="102">
        <v>2</v>
      </c>
      <c r="I314" s="99">
        <v>14.552</v>
      </c>
      <c r="J314" s="99">
        <v>0</v>
      </c>
      <c r="K314" s="99">
        <v>8.4886666666667452</v>
      </c>
      <c r="L314" s="103">
        <v>355.31133333333327</v>
      </c>
    </row>
    <row r="315" spans="1:12" x14ac:dyDescent="0.45">
      <c r="A315" s="98" t="s">
        <v>295</v>
      </c>
      <c r="B315" s="87">
        <v>334</v>
      </c>
      <c r="C315" s="98" t="s">
        <v>329</v>
      </c>
      <c r="D315" s="93">
        <v>45130</v>
      </c>
      <c r="E315" s="99">
        <v>440.58</v>
      </c>
      <c r="F315" s="100"/>
      <c r="G315" s="101">
        <v>25</v>
      </c>
      <c r="H315" s="102">
        <v>2</v>
      </c>
      <c r="I315" s="99">
        <v>17.623200000000001</v>
      </c>
      <c r="J315" s="99">
        <v>0</v>
      </c>
      <c r="K315" s="99">
        <v>8.8115999999998849</v>
      </c>
      <c r="L315" s="103">
        <v>431.7684000000001</v>
      </c>
    </row>
    <row r="316" spans="1:12" x14ac:dyDescent="0.45">
      <c r="A316" s="98" t="s">
        <v>295</v>
      </c>
      <c r="B316" s="87">
        <v>334</v>
      </c>
      <c r="C316" s="98" t="s">
        <v>330</v>
      </c>
      <c r="D316" s="93">
        <v>45130</v>
      </c>
      <c r="E316" s="99">
        <v>105.89</v>
      </c>
      <c r="F316" s="100"/>
      <c r="G316" s="101">
        <v>25</v>
      </c>
      <c r="H316" s="102">
        <v>2</v>
      </c>
      <c r="I316" s="99">
        <v>4.2355999999999998</v>
      </c>
      <c r="J316" s="99">
        <v>0</v>
      </c>
      <c r="K316" s="99">
        <v>2.1177999999999599</v>
      </c>
      <c r="L316" s="103">
        <v>103.77220000000004</v>
      </c>
    </row>
    <row r="317" spans="1:12" x14ac:dyDescent="0.45">
      <c r="A317" s="98" t="s">
        <v>295</v>
      </c>
      <c r="B317" s="87">
        <v>334</v>
      </c>
      <c r="C317" s="98" t="s">
        <v>331</v>
      </c>
      <c r="D317" s="93">
        <v>45196</v>
      </c>
      <c r="E317" s="99">
        <v>1482.06</v>
      </c>
      <c r="F317" s="100"/>
      <c r="G317" s="101">
        <v>25</v>
      </c>
      <c r="H317" s="102">
        <v>2</v>
      </c>
      <c r="I317" s="99">
        <v>59.282399999999996</v>
      </c>
      <c r="J317" s="99">
        <v>0</v>
      </c>
      <c r="K317" s="99">
        <v>19.760800000000017</v>
      </c>
      <c r="L317" s="103">
        <v>1462.2991999999999</v>
      </c>
    </row>
    <row r="318" spans="1:12" x14ac:dyDescent="0.45">
      <c r="A318" s="98" t="s">
        <v>295</v>
      </c>
      <c r="B318" s="87">
        <v>304</v>
      </c>
      <c r="C318" s="98" t="s">
        <v>332</v>
      </c>
      <c r="D318" s="93">
        <v>45215</v>
      </c>
      <c r="E318" s="99">
        <v>2231.85</v>
      </c>
      <c r="F318" s="100"/>
      <c r="G318" s="101">
        <v>35</v>
      </c>
      <c r="H318" s="102">
        <v>1</v>
      </c>
      <c r="I318" s="99">
        <v>63.767142857142858</v>
      </c>
      <c r="J318" s="99">
        <v>0</v>
      </c>
      <c r="K318" s="99">
        <v>15.941785714286198</v>
      </c>
      <c r="L318" s="103">
        <v>2215.9082142857137</v>
      </c>
    </row>
    <row r="319" spans="1:12" x14ac:dyDescent="0.45">
      <c r="A319" s="98" t="s">
        <v>295</v>
      </c>
      <c r="B319" s="87">
        <v>334</v>
      </c>
      <c r="C319" s="98" t="s">
        <v>333</v>
      </c>
      <c r="D319" s="93">
        <v>45291</v>
      </c>
      <c r="E319" s="99">
        <v>428.97</v>
      </c>
      <c r="F319" s="100"/>
      <c r="G319" s="101">
        <v>25</v>
      </c>
      <c r="H319" s="102">
        <v>1</v>
      </c>
      <c r="I319" s="99">
        <v>0</v>
      </c>
      <c r="J319" s="99">
        <v>0</v>
      </c>
      <c r="K319" s="99">
        <v>430.3999</v>
      </c>
      <c r="L319" s="103">
        <v>-1.4298999999999751</v>
      </c>
    </row>
    <row r="320" spans="1:12" x14ac:dyDescent="0.45">
      <c r="A320" s="98" t="s">
        <v>334</v>
      </c>
      <c r="B320" s="87">
        <v>334</v>
      </c>
      <c r="C320" s="98" t="s">
        <v>335</v>
      </c>
      <c r="D320" s="93">
        <v>43698</v>
      </c>
      <c r="E320" s="99">
        <v>100.55</v>
      </c>
      <c r="F320" s="100"/>
      <c r="G320" s="101">
        <v>25</v>
      </c>
      <c r="H320" s="102">
        <v>6</v>
      </c>
      <c r="I320" s="99">
        <v>4.0220000000000002</v>
      </c>
      <c r="J320" s="99">
        <v>0</v>
      </c>
      <c r="K320" s="99">
        <v>17.763833333333295</v>
      </c>
      <c r="L320" s="103">
        <v>82.786166666666702</v>
      </c>
    </row>
    <row r="321" spans="1:12" x14ac:dyDescent="0.45">
      <c r="A321" s="98" t="s">
        <v>334</v>
      </c>
      <c r="B321" s="87">
        <v>311</v>
      </c>
      <c r="C321" s="98" t="s">
        <v>336</v>
      </c>
      <c r="D321" s="93">
        <v>43991</v>
      </c>
      <c r="E321" s="99">
        <v>373.93</v>
      </c>
      <c r="F321" s="100"/>
      <c r="G321" s="101">
        <v>25</v>
      </c>
      <c r="H321" s="102">
        <v>5</v>
      </c>
      <c r="I321" s="99">
        <v>14.9572</v>
      </c>
      <c r="J321" s="99">
        <v>0</v>
      </c>
      <c r="K321" s="99">
        <v>53.596633333334353</v>
      </c>
      <c r="L321" s="103">
        <v>320.33336666666565</v>
      </c>
    </row>
    <row r="322" spans="1:12" x14ac:dyDescent="0.45">
      <c r="A322" s="98" t="s">
        <v>334</v>
      </c>
      <c r="B322" s="87">
        <v>334</v>
      </c>
      <c r="C322" s="98" t="s">
        <v>337</v>
      </c>
      <c r="D322" s="93">
        <v>44007</v>
      </c>
      <c r="E322" s="99">
        <v>1088</v>
      </c>
      <c r="F322" s="100"/>
      <c r="G322" s="101">
        <v>25</v>
      </c>
      <c r="H322" s="102">
        <v>5</v>
      </c>
      <c r="I322" s="99">
        <v>43.52</v>
      </c>
      <c r="J322" s="99">
        <v>0</v>
      </c>
      <c r="K322" s="99">
        <v>155.94666666666853</v>
      </c>
      <c r="L322" s="103">
        <v>932.05333333333147</v>
      </c>
    </row>
    <row r="323" spans="1:12" x14ac:dyDescent="0.45">
      <c r="A323" s="98" t="s">
        <v>334</v>
      </c>
      <c r="B323" s="87">
        <v>334</v>
      </c>
      <c r="C323" s="98" t="s">
        <v>338</v>
      </c>
      <c r="D323" s="93">
        <v>44066</v>
      </c>
      <c r="E323" s="99">
        <v>1632</v>
      </c>
      <c r="F323" s="100"/>
      <c r="G323" s="101">
        <v>25</v>
      </c>
      <c r="H323" s="102">
        <v>5</v>
      </c>
      <c r="I323" s="99">
        <v>65.28</v>
      </c>
      <c r="J323" s="99">
        <v>0</v>
      </c>
      <c r="K323" s="99">
        <v>223.04000000000224</v>
      </c>
      <c r="L323" s="103">
        <v>1408.9599999999978</v>
      </c>
    </row>
    <row r="324" spans="1:12" x14ac:dyDescent="0.45">
      <c r="A324" s="98" t="s">
        <v>339</v>
      </c>
      <c r="B324" s="87">
        <v>301</v>
      </c>
      <c r="C324" s="98" t="s">
        <v>285</v>
      </c>
      <c r="D324" s="93">
        <v>43584</v>
      </c>
      <c r="E324" s="99">
        <v>5072.3099999999977</v>
      </c>
      <c r="F324" s="100"/>
      <c r="G324" s="101">
        <v>10</v>
      </c>
      <c r="H324" s="102">
        <v>6</v>
      </c>
      <c r="I324" s="99">
        <v>507.23099999999977</v>
      </c>
      <c r="J324" s="99">
        <v>0</v>
      </c>
      <c r="K324" s="99">
        <v>2325.7351993150696</v>
      </c>
      <c r="L324" s="103">
        <v>2746.5748006849281</v>
      </c>
    </row>
    <row r="325" spans="1:12" x14ac:dyDescent="0.45">
      <c r="A325" s="98" t="s">
        <v>340</v>
      </c>
      <c r="B325" s="87">
        <v>303</v>
      </c>
      <c r="C325" s="98" t="s">
        <v>341</v>
      </c>
      <c r="D325" s="93">
        <v>44105</v>
      </c>
      <c r="E325" s="99">
        <v>9000</v>
      </c>
      <c r="F325" s="100"/>
      <c r="G325" s="101">
        <v>0</v>
      </c>
      <c r="H325" s="102">
        <v>0</v>
      </c>
      <c r="I325" s="99">
        <v>0</v>
      </c>
      <c r="J325" s="99">
        <v>0</v>
      </c>
      <c r="K325" s="99">
        <v>0</v>
      </c>
      <c r="L325" s="103">
        <v>9000</v>
      </c>
    </row>
    <row r="326" spans="1:12" x14ac:dyDescent="0.45">
      <c r="A326" s="98" t="s">
        <v>340</v>
      </c>
      <c r="B326" s="87">
        <v>348</v>
      </c>
      <c r="C326" s="98" t="s">
        <v>342</v>
      </c>
      <c r="D326" s="93">
        <v>43480</v>
      </c>
      <c r="E326" s="99">
        <v>1636.75</v>
      </c>
      <c r="F326" s="100"/>
      <c r="G326" s="101">
        <v>6</v>
      </c>
      <c r="H326" s="102">
        <v>6</v>
      </c>
      <c r="I326" s="99">
        <v>0</v>
      </c>
      <c r="J326" s="99">
        <v>0</v>
      </c>
      <c r="K326" s="99">
        <v>1363.9583333333348</v>
      </c>
      <c r="L326" s="103">
        <v>272.79166666666515</v>
      </c>
    </row>
    <row r="327" spans="1:12" x14ac:dyDescent="0.45">
      <c r="A327" s="98" t="s">
        <v>340</v>
      </c>
      <c r="B327" s="87">
        <v>307</v>
      </c>
      <c r="C327" s="98" t="s">
        <v>343</v>
      </c>
      <c r="D327" s="93">
        <v>43504</v>
      </c>
      <c r="E327" s="99">
        <v>2125</v>
      </c>
      <c r="F327" s="100"/>
      <c r="G327" s="101">
        <v>35</v>
      </c>
      <c r="H327" s="102">
        <v>6</v>
      </c>
      <c r="I327" s="99">
        <v>60.714285714285715</v>
      </c>
      <c r="J327" s="99">
        <v>0</v>
      </c>
      <c r="K327" s="99">
        <v>293.45238095238346</v>
      </c>
      <c r="L327" s="103">
        <v>1831.5476190476165</v>
      </c>
    </row>
    <row r="328" spans="1:12" x14ac:dyDescent="0.45">
      <c r="A328" s="98" t="s">
        <v>340</v>
      </c>
      <c r="B328" s="87">
        <v>348</v>
      </c>
      <c r="C328" s="98" t="s">
        <v>344</v>
      </c>
      <c r="D328" s="93">
        <v>43515</v>
      </c>
      <c r="E328" s="99">
        <v>1154.25</v>
      </c>
      <c r="F328" s="100"/>
      <c r="G328" s="101">
        <v>6</v>
      </c>
      <c r="H328" s="102">
        <v>6</v>
      </c>
      <c r="I328" s="99">
        <v>192.375</v>
      </c>
      <c r="J328" s="99">
        <v>0</v>
      </c>
      <c r="K328" s="99">
        <v>945.84375</v>
      </c>
      <c r="L328" s="103">
        <v>208.40625</v>
      </c>
    </row>
    <row r="329" spans="1:12" x14ac:dyDescent="0.45">
      <c r="A329" s="98" t="s">
        <v>340</v>
      </c>
      <c r="B329" s="87">
        <v>348</v>
      </c>
      <c r="C329" s="98" t="s">
        <v>345</v>
      </c>
      <c r="D329" s="93">
        <v>43553</v>
      </c>
      <c r="E329" s="99">
        <v>1585.25</v>
      </c>
      <c r="F329" s="100"/>
      <c r="G329" s="101">
        <v>6</v>
      </c>
      <c r="H329" s="102">
        <v>6</v>
      </c>
      <c r="I329" s="99">
        <v>264.20833333333331</v>
      </c>
      <c r="J329" s="99">
        <v>0</v>
      </c>
      <c r="K329" s="99">
        <v>1277.006944444443</v>
      </c>
      <c r="L329" s="103">
        <v>308.24305555555702</v>
      </c>
    </row>
    <row r="330" spans="1:12" x14ac:dyDescent="0.45">
      <c r="A330" s="98" t="s">
        <v>340</v>
      </c>
      <c r="B330" s="87">
        <v>334</v>
      </c>
      <c r="C330" s="98" t="s">
        <v>346</v>
      </c>
      <c r="D330" s="93">
        <v>43555</v>
      </c>
      <c r="E330" s="99">
        <v>734.81</v>
      </c>
      <c r="F330" s="100"/>
      <c r="G330" s="101">
        <v>25</v>
      </c>
      <c r="H330" s="102">
        <v>6</v>
      </c>
      <c r="I330" s="99">
        <v>29.392399999999999</v>
      </c>
      <c r="J330" s="99">
        <v>0</v>
      </c>
      <c r="K330" s="99">
        <v>142.06326666666973</v>
      </c>
      <c r="L330" s="103">
        <v>592.74673333333021</v>
      </c>
    </row>
    <row r="331" spans="1:12" x14ac:dyDescent="0.45">
      <c r="A331" s="98" t="s">
        <v>340</v>
      </c>
      <c r="B331" s="87">
        <v>334</v>
      </c>
      <c r="C331" s="98" t="s">
        <v>346</v>
      </c>
      <c r="D331" s="93">
        <v>43555</v>
      </c>
      <c r="E331" s="99">
        <v>708.72</v>
      </c>
      <c r="F331" s="100"/>
      <c r="G331" s="101">
        <v>25</v>
      </c>
      <c r="H331" s="102">
        <v>6</v>
      </c>
      <c r="I331" s="99">
        <v>28.348800000000001</v>
      </c>
      <c r="J331" s="99">
        <v>0</v>
      </c>
      <c r="K331" s="99">
        <v>137.01919999999882</v>
      </c>
      <c r="L331" s="103">
        <v>571.70080000000121</v>
      </c>
    </row>
    <row r="332" spans="1:12" x14ac:dyDescent="0.45">
      <c r="A332" s="98" t="s">
        <v>340</v>
      </c>
      <c r="B332" s="87">
        <v>334</v>
      </c>
      <c r="C332" s="98" t="s">
        <v>347</v>
      </c>
      <c r="D332" s="93">
        <v>43555</v>
      </c>
      <c r="E332" s="99">
        <v>647.53</v>
      </c>
      <c r="F332" s="100"/>
      <c r="G332" s="101">
        <v>25</v>
      </c>
      <c r="H332" s="102">
        <v>6</v>
      </c>
      <c r="I332" s="99">
        <v>25.901199999999999</v>
      </c>
      <c r="J332" s="99">
        <v>0</v>
      </c>
      <c r="K332" s="99">
        <v>125.18913333333012</v>
      </c>
      <c r="L332" s="103">
        <v>522.34086666666985</v>
      </c>
    </row>
    <row r="333" spans="1:12" x14ac:dyDescent="0.45">
      <c r="A333" s="98" t="s">
        <v>340</v>
      </c>
      <c r="B333" s="87">
        <v>334</v>
      </c>
      <c r="C333" s="98" t="s">
        <v>346</v>
      </c>
      <c r="D333" s="93">
        <v>43555</v>
      </c>
      <c r="E333" s="99">
        <v>273.92</v>
      </c>
      <c r="F333" s="100"/>
      <c r="G333" s="101">
        <v>25</v>
      </c>
      <c r="H333" s="102">
        <v>6</v>
      </c>
      <c r="I333" s="99">
        <v>10.956800000000001</v>
      </c>
      <c r="J333" s="99">
        <v>0</v>
      </c>
      <c r="K333" s="99">
        <v>52.957866666667428</v>
      </c>
      <c r="L333" s="103">
        <v>220.96213333333259</v>
      </c>
    </row>
    <row r="334" spans="1:12" x14ac:dyDescent="0.45">
      <c r="A334" s="98" t="s">
        <v>340</v>
      </c>
      <c r="B334" s="87">
        <v>334</v>
      </c>
      <c r="C334" s="98" t="s">
        <v>346</v>
      </c>
      <c r="D334" s="93">
        <v>43555</v>
      </c>
      <c r="E334" s="99">
        <v>273.92</v>
      </c>
      <c r="F334" s="100"/>
      <c r="G334" s="101">
        <v>25</v>
      </c>
      <c r="H334" s="102">
        <v>6</v>
      </c>
      <c r="I334" s="99">
        <v>10.956800000000001</v>
      </c>
      <c r="J334" s="99">
        <v>0</v>
      </c>
      <c r="K334" s="99">
        <v>52.957866666667428</v>
      </c>
      <c r="L334" s="103">
        <v>220.96213333333259</v>
      </c>
    </row>
    <row r="335" spans="1:12" x14ac:dyDescent="0.45">
      <c r="A335" s="98" t="s">
        <v>340</v>
      </c>
      <c r="B335" s="87">
        <v>334</v>
      </c>
      <c r="C335" s="98" t="s">
        <v>348</v>
      </c>
      <c r="D335" s="93">
        <v>43555</v>
      </c>
      <c r="E335" s="99">
        <v>155.44</v>
      </c>
      <c r="F335" s="100"/>
      <c r="G335" s="101">
        <v>25</v>
      </c>
      <c r="H335" s="102">
        <v>6</v>
      </c>
      <c r="I335" s="99">
        <v>6.2176</v>
      </c>
      <c r="J335" s="99">
        <v>0</v>
      </c>
      <c r="K335" s="99">
        <v>30.05173333333363</v>
      </c>
      <c r="L335" s="103">
        <v>125.38826666666637</v>
      </c>
    </row>
    <row r="336" spans="1:12" x14ac:dyDescent="0.45">
      <c r="A336" s="98" t="s">
        <v>340</v>
      </c>
      <c r="B336" s="87">
        <v>334</v>
      </c>
      <c r="C336" s="98" t="s">
        <v>349</v>
      </c>
      <c r="D336" s="93">
        <v>43555</v>
      </c>
      <c r="E336" s="99">
        <v>38.049999999999997</v>
      </c>
      <c r="F336" s="100"/>
      <c r="G336" s="101">
        <v>25</v>
      </c>
      <c r="H336" s="102">
        <v>6</v>
      </c>
      <c r="I336" s="99">
        <v>1.5219999999999998</v>
      </c>
      <c r="J336" s="99">
        <v>0</v>
      </c>
      <c r="K336" s="99">
        <v>7.3563333333331933</v>
      </c>
      <c r="L336" s="103">
        <v>30.693666666666804</v>
      </c>
    </row>
    <row r="337" spans="1:12" x14ac:dyDescent="0.45">
      <c r="A337" s="98" t="s">
        <v>340</v>
      </c>
      <c r="B337" s="87">
        <v>311</v>
      </c>
      <c r="C337" s="98" t="s">
        <v>350</v>
      </c>
      <c r="D337" s="93">
        <v>43555</v>
      </c>
      <c r="E337" s="99">
        <v>568.5</v>
      </c>
      <c r="F337" s="100"/>
      <c r="G337" s="101">
        <v>20</v>
      </c>
      <c r="H337" s="102">
        <v>6</v>
      </c>
      <c r="I337" s="99">
        <v>28.425000000000001</v>
      </c>
      <c r="J337" s="99">
        <v>0</v>
      </c>
      <c r="K337" s="99">
        <v>137.38749999999868</v>
      </c>
      <c r="L337" s="103">
        <v>431.11250000000132</v>
      </c>
    </row>
    <row r="338" spans="1:12" x14ac:dyDescent="0.45">
      <c r="A338" s="98" t="s">
        <v>340</v>
      </c>
      <c r="B338" s="87">
        <v>311</v>
      </c>
      <c r="C338" s="98" t="s">
        <v>351</v>
      </c>
      <c r="D338" s="93">
        <v>43555</v>
      </c>
      <c r="E338" s="99">
        <v>2600.1</v>
      </c>
      <c r="F338" s="100"/>
      <c r="G338" s="101">
        <v>20</v>
      </c>
      <c r="H338" s="102">
        <v>6</v>
      </c>
      <c r="I338" s="99">
        <v>130.005</v>
      </c>
      <c r="J338" s="99">
        <v>0</v>
      </c>
      <c r="K338" s="99">
        <v>628.35749999998916</v>
      </c>
      <c r="L338" s="103">
        <v>1971.7425000000108</v>
      </c>
    </row>
    <row r="339" spans="1:12" x14ac:dyDescent="0.45">
      <c r="A339" s="98" t="s">
        <v>340</v>
      </c>
      <c r="B339" s="87">
        <v>311</v>
      </c>
      <c r="C339" s="98" t="s">
        <v>352</v>
      </c>
      <c r="D339" s="93">
        <v>43555</v>
      </c>
      <c r="E339" s="99">
        <v>12365.71</v>
      </c>
      <c r="F339" s="100"/>
      <c r="G339" s="101">
        <v>20</v>
      </c>
      <c r="H339" s="102">
        <v>6</v>
      </c>
      <c r="I339" s="99">
        <v>618.28549999999996</v>
      </c>
      <c r="J339" s="99">
        <v>0</v>
      </c>
      <c r="K339" s="99">
        <v>2988.3799166666577</v>
      </c>
      <c r="L339" s="103">
        <v>9377.3300833333415</v>
      </c>
    </row>
    <row r="340" spans="1:12" x14ac:dyDescent="0.45">
      <c r="A340" s="98" t="s">
        <v>340</v>
      </c>
      <c r="B340" s="87">
        <v>330</v>
      </c>
      <c r="C340" s="98" t="s">
        <v>353</v>
      </c>
      <c r="D340" s="93">
        <v>43555</v>
      </c>
      <c r="E340" s="99">
        <v>758.73</v>
      </c>
      <c r="F340" s="100"/>
      <c r="G340" s="101">
        <v>50</v>
      </c>
      <c r="H340" s="102">
        <v>6</v>
      </c>
      <c r="I340" s="99">
        <v>15.1746</v>
      </c>
      <c r="J340" s="99">
        <v>0</v>
      </c>
      <c r="K340" s="99">
        <v>73.343899999999167</v>
      </c>
      <c r="L340" s="103">
        <v>685.38610000000085</v>
      </c>
    </row>
    <row r="341" spans="1:12" x14ac:dyDescent="0.45">
      <c r="A341" s="98" t="s">
        <v>340</v>
      </c>
      <c r="B341" s="87">
        <v>311</v>
      </c>
      <c r="C341" s="98" t="s">
        <v>354</v>
      </c>
      <c r="D341" s="93">
        <v>43574</v>
      </c>
      <c r="E341" s="99">
        <v>7007.82</v>
      </c>
      <c r="F341" s="100"/>
      <c r="G341" s="101">
        <v>20</v>
      </c>
      <c r="H341" s="102">
        <v>6</v>
      </c>
      <c r="I341" s="99">
        <v>350.39099999999996</v>
      </c>
      <c r="J341" s="99">
        <v>0</v>
      </c>
      <c r="K341" s="99">
        <v>1664.3572499999809</v>
      </c>
      <c r="L341" s="103">
        <v>5343.4627500000188</v>
      </c>
    </row>
    <row r="342" spans="1:12" x14ac:dyDescent="0.45">
      <c r="A342" s="98" t="s">
        <v>340</v>
      </c>
      <c r="B342" s="87">
        <v>348</v>
      </c>
      <c r="C342" s="98" t="s">
        <v>355</v>
      </c>
      <c r="D342" s="93">
        <v>43578</v>
      </c>
      <c r="E342" s="99">
        <v>484</v>
      </c>
      <c r="F342" s="100"/>
      <c r="G342" s="101">
        <v>6</v>
      </c>
      <c r="H342" s="102">
        <v>6</v>
      </c>
      <c r="I342" s="99">
        <v>80.666666666666671</v>
      </c>
      <c r="J342" s="99">
        <v>0</v>
      </c>
      <c r="K342" s="99">
        <v>383.16666666666703</v>
      </c>
      <c r="L342" s="103">
        <v>100.83333333333297</v>
      </c>
    </row>
    <row r="343" spans="1:12" x14ac:dyDescent="0.45">
      <c r="A343" s="98" t="s">
        <v>340</v>
      </c>
      <c r="B343" s="87">
        <v>334</v>
      </c>
      <c r="C343" s="98" t="s">
        <v>356</v>
      </c>
      <c r="D343" s="93">
        <v>43594</v>
      </c>
      <c r="E343" s="99">
        <v>201.1</v>
      </c>
      <c r="F343" s="100"/>
      <c r="G343" s="101">
        <v>25</v>
      </c>
      <c r="H343" s="102">
        <v>6</v>
      </c>
      <c r="I343" s="99">
        <v>8.0440000000000005</v>
      </c>
      <c r="J343" s="99">
        <v>0</v>
      </c>
      <c r="K343" s="99">
        <v>37.538666666666586</v>
      </c>
      <c r="L343" s="103">
        <v>163.56133333333341</v>
      </c>
    </row>
    <row r="344" spans="1:12" x14ac:dyDescent="0.45">
      <c r="A344" s="98" t="s">
        <v>340</v>
      </c>
      <c r="B344" s="87">
        <v>333</v>
      </c>
      <c r="C344" s="98" t="s">
        <v>357</v>
      </c>
      <c r="D344" s="93">
        <v>43613</v>
      </c>
      <c r="E344" s="99">
        <v>1554.11</v>
      </c>
      <c r="F344" s="100"/>
      <c r="G344" s="101">
        <v>35</v>
      </c>
      <c r="H344" s="102">
        <v>6</v>
      </c>
      <c r="I344" s="99">
        <v>44.403142857142853</v>
      </c>
      <c r="J344" s="99">
        <v>0</v>
      </c>
      <c r="K344" s="99">
        <v>0</v>
      </c>
      <c r="L344" s="103">
        <v>1554.11</v>
      </c>
    </row>
    <row r="345" spans="1:12" x14ac:dyDescent="0.45">
      <c r="A345" s="98" t="s">
        <v>340</v>
      </c>
      <c r="B345" s="87">
        <v>344</v>
      </c>
      <c r="C345" s="98" t="s">
        <v>358</v>
      </c>
      <c r="D345" s="93">
        <v>43627</v>
      </c>
      <c r="E345" s="99">
        <v>4002.77</v>
      </c>
      <c r="F345" s="100"/>
      <c r="G345" s="101">
        <v>20</v>
      </c>
      <c r="H345" s="102">
        <v>6</v>
      </c>
      <c r="I345" s="99">
        <v>200.13849999999999</v>
      </c>
      <c r="J345" s="99">
        <v>0</v>
      </c>
      <c r="K345" s="99">
        <v>917.30145833332926</v>
      </c>
      <c r="L345" s="103">
        <v>3085.4685416666707</v>
      </c>
    </row>
    <row r="346" spans="1:12" x14ac:dyDescent="0.45">
      <c r="A346" s="98" t="s">
        <v>340</v>
      </c>
      <c r="B346" s="87">
        <v>348</v>
      </c>
      <c r="C346" s="98" t="s">
        <v>342</v>
      </c>
      <c r="D346" s="93">
        <v>43636</v>
      </c>
      <c r="E346" s="99">
        <v>787</v>
      </c>
      <c r="F346" s="100"/>
      <c r="G346" s="101">
        <v>6</v>
      </c>
      <c r="H346" s="102">
        <v>6</v>
      </c>
      <c r="I346" s="99">
        <v>131.16666666666666</v>
      </c>
      <c r="J346" s="99">
        <v>0</v>
      </c>
      <c r="K346" s="99">
        <v>601.18055555555486</v>
      </c>
      <c r="L346" s="103">
        <v>185.81944444444514</v>
      </c>
    </row>
    <row r="347" spans="1:12" x14ac:dyDescent="0.45">
      <c r="A347" s="98" t="s">
        <v>340</v>
      </c>
      <c r="B347" s="87">
        <v>303</v>
      </c>
      <c r="C347" s="98" t="s">
        <v>359</v>
      </c>
      <c r="D347" s="93">
        <v>43713</v>
      </c>
      <c r="E347" s="99">
        <v>0</v>
      </c>
      <c r="F347" s="100"/>
      <c r="G347" s="101">
        <v>0</v>
      </c>
      <c r="H347" s="102">
        <v>0</v>
      </c>
      <c r="I347" s="99">
        <v>0</v>
      </c>
      <c r="J347" s="99">
        <v>0</v>
      </c>
      <c r="K347" s="99">
        <v>0</v>
      </c>
      <c r="L347" s="103">
        <v>0</v>
      </c>
    </row>
    <row r="348" spans="1:12" x14ac:dyDescent="0.45">
      <c r="A348" s="98" t="s">
        <v>340</v>
      </c>
      <c r="B348" s="87">
        <v>334</v>
      </c>
      <c r="C348" s="98" t="s">
        <v>360</v>
      </c>
      <c r="D348" s="93">
        <v>43724</v>
      </c>
      <c r="E348" s="99">
        <v>791.99</v>
      </c>
      <c r="F348" s="100"/>
      <c r="G348" s="101">
        <v>25</v>
      </c>
      <c r="H348" s="102">
        <v>6</v>
      </c>
      <c r="I348" s="99">
        <v>31.679600000000001</v>
      </c>
      <c r="J348" s="99">
        <v>0</v>
      </c>
      <c r="K348" s="99">
        <v>137.27826666666442</v>
      </c>
      <c r="L348" s="103">
        <v>654.71173333333559</v>
      </c>
    </row>
    <row r="349" spans="1:12" x14ac:dyDescent="0.45">
      <c r="A349" s="98" t="s">
        <v>340</v>
      </c>
      <c r="B349" s="87">
        <v>334</v>
      </c>
      <c r="C349" s="98" t="s">
        <v>361</v>
      </c>
      <c r="D349" s="93">
        <v>43724</v>
      </c>
      <c r="E349" s="99">
        <v>946.51</v>
      </c>
      <c r="F349" s="100"/>
      <c r="G349" s="101">
        <v>25</v>
      </c>
      <c r="H349" s="102">
        <v>6</v>
      </c>
      <c r="I349" s="99">
        <v>37.860399999999998</v>
      </c>
      <c r="J349" s="99">
        <v>0</v>
      </c>
      <c r="K349" s="99">
        <v>164.06173333333345</v>
      </c>
      <c r="L349" s="103">
        <v>782.44826666666654</v>
      </c>
    </row>
    <row r="350" spans="1:12" x14ac:dyDescent="0.45">
      <c r="A350" s="98" t="s">
        <v>340</v>
      </c>
      <c r="B350" s="87">
        <v>334</v>
      </c>
      <c r="C350" s="98" t="s">
        <v>362</v>
      </c>
      <c r="D350" s="93">
        <v>43724</v>
      </c>
      <c r="E350" s="99">
        <v>340.23</v>
      </c>
      <c r="F350" s="100"/>
      <c r="G350" s="101">
        <v>25</v>
      </c>
      <c r="H350" s="102">
        <v>6</v>
      </c>
      <c r="I350" s="99">
        <v>13.609200000000001</v>
      </c>
      <c r="J350" s="99">
        <v>0</v>
      </c>
      <c r="K350" s="99">
        <v>58.973199999999451</v>
      </c>
      <c r="L350" s="103">
        <v>281.25680000000057</v>
      </c>
    </row>
    <row r="351" spans="1:12" x14ac:dyDescent="0.45">
      <c r="A351" s="98" t="s">
        <v>340</v>
      </c>
      <c r="B351" s="87">
        <v>334</v>
      </c>
      <c r="C351" s="98" t="s">
        <v>363</v>
      </c>
      <c r="D351" s="93">
        <v>43724</v>
      </c>
      <c r="E351" s="99">
        <v>340.23</v>
      </c>
      <c r="F351" s="100"/>
      <c r="G351" s="101">
        <v>25</v>
      </c>
      <c r="H351" s="102">
        <v>6</v>
      </c>
      <c r="I351" s="99">
        <v>13.609200000000001</v>
      </c>
      <c r="J351" s="99">
        <v>0</v>
      </c>
      <c r="K351" s="99">
        <v>58.973199999999451</v>
      </c>
      <c r="L351" s="103">
        <v>281.25680000000057</v>
      </c>
    </row>
    <row r="352" spans="1:12" x14ac:dyDescent="0.45">
      <c r="A352" s="98" t="s">
        <v>340</v>
      </c>
      <c r="B352" s="87">
        <v>334</v>
      </c>
      <c r="C352" s="98" t="s">
        <v>364</v>
      </c>
      <c r="D352" s="93">
        <v>43724</v>
      </c>
      <c r="E352" s="99">
        <v>208.7</v>
      </c>
      <c r="F352" s="100"/>
      <c r="G352" s="101">
        <v>25</v>
      </c>
      <c r="H352" s="102">
        <v>6</v>
      </c>
      <c r="I352" s="99">
        <v>8.347999999999999</v>
      </c>
      <c r="J352" s="99">
        <v>0</v>
      </c>
      <c r="K352" s="99">
        <v>36.174666666665985</v>
      </c>
      <c r="L352" s="103">
        <v>172.525333333334</v>
      </c>
    </row>
    <row r="353" spans="1:12" x14ac:dyDescent="0.45">
      <c r="A353" s="98" t="s">
        <v>340</v>
      </c>
      <c r="B353" s="87">
        <v>303</v>
      </c>
      <c r="C353" s="98" t="s">
        <v>225</v>
      </c>
      <c r="D353" s="93">
        <v>43740</v>
      </c>
      <c r="E353" s="99">
        <v>156343.39000000001</v>
      </c>
      <c r="F353" s="100"/>
      <c r="G353" s="101">
        <v>0</v>
      </c>
      <c r="H353" s="102">
        <v>0</v>
      </c>
      <c r="I353" s="99">
        <v>0</v>
      </c>
      <c r="J353" s="99">
        <v>0</v>
      </c>
      <c r="K353" s="99">
        <v>0</v>
      </c>
      <c r="L353" s="103">
        <v>156343.39000000001</v>
      </c>
    </row>
    <row r="354" spans="1:12" x14ac:dyDescent="0.45">
      <c r="A354" s="98" t="s">
        <v>340</v>
      </c>
      <c r="B354" s="87">
        <v>303</v>
      </c>
      <c r="C354" s="98" t="s">
        <v>365</v>
      </c>
      <c r="D354" s="93">
        <v>43742</v>
      </c>
      <c r="E354" s="99">
        <v>3137.28</v>
      </c>
      <c r="F354" s="100"/>
      <c r="G354" s="101">
        <v>6</v>
      </c>
      <c r="H354" s="102">
        <v>5</v>
      </c>
      <c r="I354" s="99">
        <v>522.88</v>
      </c>
      <c r="J354" s="99">
        <v>0</v>
      </c>
      <c r="K354" s="99">
        <v>0</v>
      </c>
      <c r="L354" s="103">
        <v>3137.28</v>
      </c>
    </row>
    <row r="355" spans="1:12" x14ac:dyDescent="0.45">
      <c r="A355" s="98" t="s">
        <v>340</v>
      </c>
      <c r="B355" s="87">
        <v>311</v>
      </c>
      <c r="C355" s="98" t="s">
        <v>366</v>
      </c>
      <c r="D355" s="93">
        <v>43941</v>
      </c>
      <c r="E355" s="99">
        <v>2943.6</v>
      </c>
      <c r="F355" s="100"/>
      <c r="G355" s="101">
        <v>20</v>
      </c>
      <c r="H355" s="102">
        <v>5</v>
      </c>
      <c r="I355" s="99">
        <v>147.18</v>
      </c>
      <c r="J355" s="99">
        <v>0</v>
      </c>
      <c r="K355" s="99">
        <v>551.92499999999427</v>
      </c>
      <c r="L355" s="103">
        <v>2391.6750000000056</v>
      </c>
    </row>
    <row r="356" spans="1:12" x14ac:dyDescent="0.45">
      <c r="A356" s="98" t="s">
        <v>340</v>
      </c>
      <c r="B356" s="87">
        <v>307</v>
      </c>
      <c r="C356" s="98" t="s">
        <v>367</v>
      </c>
      <c r="D356" s="93">
        <v>43978</v>
      </c>
      <c r="E356" s="99">
        <v>20211.669999999998</v>
      </c>
      <c r="F356" s="100"/>
      <c r="G356" s="101">
        <v>35</v>
      </c>
      <c r="H356" s="102">
        <v>5</v>
      </c>
      <c r="I356" s="99">
        <v>577.47628571428561</v>
      </c>
      <c r="J356" s="99">
        <v>0</v>
      </c>
      <c r="K356" s="99">
        <v>2117.4130476190185</v>
      </c>
      <c r="L356" s="103">
        <v>18094.25695238098</v>
      </c>
    </row>
    <row r="357" spans="1:12" x14ac:dyDescent="0.45">
      <c r="A357" s="98" t="s">
        <v>340</v>
      </c>
      <c r="B357" s="87">
        <v>304</v>
      </c>
      <c r="C357" s="98" t="s">
        <v>368</v>
      </c>
      <c r="D357" s="93">
        <v>43982</v>
      </c>
      <c r="E357" s="99">
        <v>7880.75</v>
      </c>
      <c r="F357" s="100"/>
      <c r="G357" s="101">
        <v>35</v>
      </c>
      <c r="H357" s="102">
        <v>5</v>
      </c>
      <c r="I357" s="99">
        <v>225.16428571428571</v>
      </c>
      <c r="J357" s="99">
        <v>0</v>
      </c>
      <c r="K357" s="99">
        <v>825.60238095237219</v>
      </c>
      <c r="L357" s="103">
        <v>7055.1476190476278</v>
      </c>
    </row>
    <row r="358" spans="1:12" x14ac:dyDescent="0.45">
      <c r="A358" s="98" t="s">
        <v>340</v>
      </c>
      <c r="B358" s="87">
        <v>331</v>
      </c>
      <c r="C358" s="98" t="s">
        <v>369</v>
      </c>
      <c r="D358" s="93">
        <v>43986</v>
      </c>
      <c r="E358" s="99">
        <v>1235.9100000000001</v>
      </c>
      <c r="F358" s="100"/>
      <c r="G358" s="101">
        <v>50</v>
      </c>
      <c r="H358" s="102">
        <v>5</v>
      </c>
      <c r="I358" s="99">
        <v>24.718200000000003</v>
      </c>
      <c r="J358" s="99">
        <v>0</v>
      </c>
      <c r="K358" s="99">
        <v>88.573550000004161</v>
      </c>
      <c r="L358" s="103">
        <v>1147.3364499999959</v>
      </c>
    </row>
    <row r="359" spans="1:12" x14ac:dyDescent="0.45">
      <c r="A359" s="98" t="s">
        <v>340</v>
      </c>
      <c r="B359" s="87">
        <v>304</v>
      </c>
      <c r="C359" s="98" t="s">
        <v>370</v>
      </c>
      <c r="D359" s="93">
        <v>43987</v>
      </c>
      <c r="E359" s="99">
        <v>600</v>
      </c>
      <c r="F359" s="100"/>
      <c r="G359" s="101">
        <v>35</v>
      </c>
      <c r="H359" s="102">
        <v>5</v>
      </c>
      <c r="I359" s="99">
        <v>17.142857142857142</v>
      </c>
      <c r="J359" s="99">
        <v>0</v>
      </c>
      <c r="K359" s="99">
        <v>61.428571428572127</v>
      </c>
      <c r="L359" s="103">
        <v>538.57142857142787</v>
      </c>
    </row>
    <row r="360" spans="1:12" x14ac:dyDescent="0.45">
      <c r="A360" s="98" t="s">
        <v>340</v>
      </c>
      <c r="B360" s="87">
        <v>331</v>
      </c>
      <c r="C360" s="98" t="s">
        <v>371</v>
      </c>
      <c r="D360" s="93">
        <v>43987</v>
      </c>
      <c r="E360" s="99">
        <v>-681.54</v>
      </c>
      <c r="F360" s="100"/>
      <c r="G360" s="101">
        <v>50</v>
      </c>
      <c r="H360" s="102">
        <v>5</v>
      </c>
      <c r="I360" s="99">
        <v>0</v>
      </c>
      <c r="J360" s="99">
        <v>0</v>
      </c>
      <c r="K360" s="99">
        <v>-48.843699999999671</v>
      </c>
      <c r="L360" s="103">
        <v>-632.69630000000029</v>
      </c>
    </row>
    <row r="361" spans="1:12" x14ac:dyDescent="0.45">
      <c r="A361" s="98" t="s">
        <v>340</v>
      </c>
      <c r="B361" s="87">
        <v>307</v>
      </c>
      <c r="C361" s="98" t="s">
        <v>372</v>
      </c>
      <c r="D361" s="93">
        <v>43992</v>
      </c>
      <c r="E361" s="99">
        <v>38.18</v>
      </c>
      <c r="F361" s="100"/>
      <c r="G361" s="101">
        <v>35</v>
      </c>
      <c r="H361" s="102">
        <v>5</v>
      </c>
      <c r="I361" s="99">
        <v>1.0908571428571427</v>
      </c>
      <c r="J361" s="99">
        <v>0</v>
      </c>
      <c r="K361" s="99">
        <v>3.9089047619046724</v>
      </c>
      <c r="L361" s="103">
        <v>34.271095238095327</v>
      </c>
    </row>
    <row r="362" spans="1:12" x14ac:dyDescent="0.45">
      <c r="A362" s="98" t="s">
        <v>340</v>
      </c>
      <c r="B362" s="87">
        <v>331</v>
      </c>
      <c r="C362" s="98" t="s">
        <v>373</v>
      </c>
      <c r="D362" s="93">
        <v>43998</v>
      </c>
      <c r="E362" s="99">
        <v>655.46</v>
      </c>
      <c r="F362" s="100"/>
      <c r="G362" s="101">
        <v>50</v>
      </c>
      <c r="H362" s="102">
        <v>5</v>
      </c>
      <c r="I362" s="99">
        <v>13.109200000000001</v>
      </c>
      <c r="J362" s="99">
        <v>0</v>
      </c>
      <c r="K362" s="99">
        <v>46.974633333334509</v>
      </c>
      <c r="L362" s="103">
        <v>608.48536666666553</v>
      </c>
    </row>
    <row r="363" spans="1:12" x14ac:dyDescent="0.45">
      <c r="A363" s="98" t="s">
        <v>340</v>
      </c>
      <c r="B363" s="87">
        <v>304</v>
      </c>
      <c r="C363" s="98" t="s">
        <v>374</v>
      </c>
      <c r="D363" s="93">
        <v>43999</v>
      </c>
      <c r="E363" s="99">
        <v>552</v>
      </c>
      <c r="F363" s="100"/>
      <c r="G363" s="101">
        <v>35</v>
      </c>
      <c r="H363" s="102">
        <v>5</v>
      </c>
      <c r="I363" s="99">
        <v>15.771428571428572</v>
      </c>
      <c r="J363" s="99">
        <v>0</v>
      </c>
      <c r="K363" s="99">
        <v>56.514285714284597</v>
      </c>
      <c r="L363" s="103">
        <v>495.4857142857154</v>
      </c>
    </row>
    <row r="364" spans="1:12" x14ac:dyDescent="0.45">
      <c r="A364" s="98" t="s">
        <v>340</v>
      </c>
      <c r="B364" s="87">
        <v>310</v>
      </c>
      <c r="C364" s="98" t="s">
        <v>375</v>
      </c>
      <c r="D364" s="93">
        <v>44003</v>
      </c>
      <c r="E364" s="99">
        <v>27597.83</v>
      </c>
      <c r="F364" s="100"/>
      <c r="G364" s="101">
        <v>15</v>
      </c>
      <c r="H364" s="102">
        <v>5</v>
      </c>
      <c r="I364" s="99">
        <v>1839.8553333333334</v>
      </c>
      <c r="J364" s="99">
        <v>0</v>
      </c>
      <c r="K364" s="99">
        <v>6592.8149444444171</v>
      </c>
      <c r="L364" s="103">
        <v>21005.015055555585</v>
      </c>
    </row>
    <row r="365" spans="1:12" x14ac:dyDescent="0.45">
      <c r="A365" s="98" t="s">
        <v>340</v>
      </c>
      <c r="B365" s="87">
        <v>307</v>
      </c>
      <c r="C365" s="98" t="s">
        <v>376</v>
      </c>
      <c r="D365" s="93">
        <v>44007</v>
      </c>
      <c r="E365" s="99">
        <v>1980.08</v>
      </c>
      <c r="F365" s="100"/>
      <c r="G365" s="101">
        <v>35</v>
      </c>
      <c r="H365" s="102">
        <v>5</v>
      </c>
      <c r="I365" s="99">
        <v>56.573714285714281</v>
      </c>
      <c r="J365" s="99">
        <v>0</v>
      </c>
      <c r="K365" s="99">
        <v>202.72247619047926</v>
      </c>
      <c r="L365" s="103">
        <v>1777.3575238095207</v>
      </c>
    </row>
    <row r="366" spans="1:12" x14ac:dyDescent="0.45">
      <c r="A366" s="98" t="s">
        <v>340</v>
      </c>
      <c r="B366" s="87">
        <v>310</v>
      </c>
      <c r="C366" s="98" t="s">
        <v>377</v>
      </c>
      <c r="D366" s="93">
        <v>44012</v>
      </c>
      <c r="E366" s="99">
        <v>15978.9</v>
      </c>
      <c r="F366" s="100"/>
      <c r="G366" s="101">
        <v>15</v>
      </c>
      <c r="H366" s="102">
        <v>5</v>
      </c>
      <c r="I366" s="99">
        <v>1065.26</v>
      </c>
      <c r="J366" s="99">
        <v>0</v>
      </c>
      <c r="K366" s="99">
        <v>3817.1816666667</v>
      </c>
      <c r="L366" s="103">
        <v>12161.7183333333</v>
      </c>
    </row>
    <row r="367" spans="1:12" x14ac:dyDescent="0.45">
      <c r="A367" s="98" t="s">
        <v>340</v>
      </c>
      <c r="B367" s="87">
        <v>310</v>
      </c>
      <c r="C367" s="98" t="s">
        <v>378</v>
      </c>
      <c r="D367" s="93">
        <v>44012</v>
      </c>
      <c r="E367" s="99">
        <v>2119.65</v>
      </c>
      <c r="F367" s="100"/>
      <c r="G367" s="101">
        <v>15</v>
      </c>
      <c r="H367" s="102">
        <v>5</v>
      </c>
      <c r="I367" s="99">
        <v>141.31</v>
      </c>
      <c r="J367" s="99">
        <v>0</v>
      </c>
      <c r="K367" s="99">
        <v>506.3608333333334</v>
      </c>
      <c r="L367" s="103">
        <v>1613.2891666666667</v>
      </c>
    </row>
    <row r="368" spans="1:12" x14ac:dyDescent="0.45">
      <c r="A368" s="98" t="s">
        <v>340</v>
      </c>
      <c r="B368" s="87">
        <v>310</v>
      </c>
      <c r="C368" s="98" t="s">
        <v>379</v>
      </c>
      <c r="D368" s="93">
        <v>44019</v>
      </c>
      <c r="E368" s="99">
        <v>9.5399999999999991</v>
      </c>
      <c r="F368" s="100"/>
      <c r="G368" s="101">
        <v>15</v>
      </c>
      <c r="H368" s="102">
        <v>5</v>
      </c>
      <c r="I368" s="99">
        <v>0.6359999999999999</v>
      </c>
      <c r="J368" s="99">
        <v>0</v>
      </c>
      <c r="K368" s="99">
        <v>2.2260000000000231</v>
      </c>
      <c r="L368" s="103">
        <v>7.3139999999999761</v>
      </c>
    </row>
    <row r="369" spans="1:12" x14ac:dyDescent="0.45">
      <c r="A369" s="98" t="s">
        <v>340</v>
      </c>
      <c r="B369" s="87">
        <v>310</v>
      </c>
      <c r="C369" s="98" t="s">
        <v>380</v>
      </c>
      <c r="D369" s="93">
        <v>44020</v>
      </c>
      <c r="E369" s="99">
        <v>29.4</v>
      </c>
      <c r="F369" s="100"/>
      <c r="G369" s="101">
        <v>15</v>
      </c>
      <c r="H369" s="102">
        <v>5</v>
      </c>
      <c r="I369" s="99">
        <v>1.96</v>
      </c>
      <c r="J369" s="99">
        <v>0</v>
      </c>
      <c r="K369" s="99">
        <v>6.8600000000000279</v>
      </c>
      <c r="L369" s="103">
        <v>22.539999999999971</v>
      </c>
    </row>
    <row r="370" spans="1:12" x14ac:dyDescent="0.45">
      <c r="A370" s="98" t="s">
        <v>340</v>
      </c>
      <c r="B370" s="87">
        <v>310</v>
      </c>
      <c r="C370" s="98" t="s">
        <v>381</v>
      </c>
      <c r="D370" s="93">
        <v>44022</v>
      </c>
      <c r="E370" s="99">
        <v>106.27</v>
      </c>
      <c r="F370" s="100"/>
      <c r="G370" s="101">
        <v>15</v>
      </c>
      <c r="H370" s="102">
        <v>5</v>
      </c>
      <c r="I370" s="99">
        <v>7.0846666666666662</v>
      </c>
      <c r="J370" s="99">
        <v>0</v>
      </c>
      <c r="K370" s="99">
        <v>24.796333333333621</v>
      </c>
      <c r="L370" s="103">
        <v>81.473666666666375</v>
      </c>
    </row>
    <row r="371" spans="1:12" x14ac:dyDescent="0.45">
      <c r="A371" s="98" t="s">
        <v>340</v>
      </c>
      <c r="B371" s="87">
        <v>310</v>
      </c>
      <c r="C371" s="98" t="s">
        <v>382</v>
      </c>
      <c r="D371" s="93">
        <v>44034</v>
      </c>
      <c r="E371" s="99">
        <v>426.72</v>
      </c>
      <c r="F371" s="100"/>
      <c r="G371" s="101">
        <v>15</v>
      </c>
      <c r="H371" s="102">
        <v>5</v>
      </c>
      <c r="I371" s="99">
        <v>28.448</v>
      </c>
      <c r="J371" s="99">
        <v>0</v>
      </c>
      <c r="K371" s="99">
        <v>99.56800000000112</v>
      </c>
      <c r="L371" s="103">
        <v>327.15199999999891</v>
      </c>
    </row>
    <row r="372" spans="1:12" x14ac:dyDescent="0.45">
      <c r="A372" s="98" t="s">
        <v>340</v>
      </c>
      <c r="B372" s="87">
        <v>310</v>
      </c>
      <c r="C372" s="98" t="s">
        <v>383</v>
      </c>
      <c r="D372" s="93">
        <v>44034</v>
      </c>
      <c r="E372" s="99">
        <v>426.72</v>
      </c>
      <c r="F372" s="100"/>
      <c r="G372" s="101">
        <v>15</v>
      </c>
      <c r="H372" s="102">
        <v>5</v>
      </c>
      <c r="I372" s="99">
        <v>28.448</v>
      </c>
      <c r="J372" s="99">
        <v>0</v>
      </c>
      <c r="K372" s="99">
        <v>99.56800000000112</v>
      </c>
      <c r="L372" s="103">
        <v>327.15199999999891</v>
      </c>
    </row>
    <row r="373" spans="1:12" x14ac:dyDescent="0.45">
      <c r="A373" s="98" t="s">
        <v>340</v>
      </c>
      <c r="B373" s="87">
        <v>310</v>
      </c>
      <c r="C373" s="98" t="s">
        <v>384</v>
      </c>
      <c r="D373" s="93">
        <v>44046</v>
      </c>
      <c r="E373" s="99">
        <v>29299</v>
      </c>
      <c r="F373" s="100"/>
      <c r="G373" s="101">
        <v>15</v>
      </c>
      <c r="H373" s="102">
        <v>5</v>
      </c>
      <c r="I373" s="99">
        <v>1953.2666666666667</v>
      </c>
      <c r="J373" s="99">
        <v>0</v>
      </c>
      <c r="K373" s="99">
        <v>6673.6611111110979</v>
      </c>
      <c r="L373" s="103">
        <v>22625.338888888902</v>
      </c>
    </row>
    <row r="374" spans="1:12" x14ac:dyDescent="0.45">
      <c r="A374" s="98" t="s">
        <v>340</v>
      </c>
      <c r="B374" s="87">
        <v>310</v>
      </c>
      <c r="C374" s="98" t="s">
        <v>385</v>
      </c>
      <c r="D374" s="93">
        <v>44046</v>
      </c>
      <c r="E374" s="99">
        <v>28768.54</v>
      </c>
      <c r="F374" s="100"/>
      <c r="G374" s="101">
        <v>15</v>
      </c>
      <c r="H374" s="102">
        <v>5</v>
      </c>
      <c r="I374" s="99">
        <v>1917.9026666666666</v>
      </c>
      <c r="J374" s="99">
        <v>0</v>
      </c>
      <c r="K374" s="99">
        <v>6552.8341111110931</v>
      </c>
      <c r="L374" s="103">
        <v>22215.705888888908</v>
      </c>
    </row>
    <row r="375" spans="1:12" x14ac:dyDescent="0.45">
      <c r="A375" s="98" t="s">
        <v>340</v>
      </c>
      <c r="B375" s="87">
        <v>311</v>
      </c>
      <c r="C375" s="98" t="s">
        <v>386</v>
      </c>
      <c r="D375" s="93">
        <v>44046</v>
      </c>
      <c r="E375" s="99">
        <v>978.3</v>
      </c>
      <c r="F375" s="100"/>
      <c r="G375" s="101">
        <v>20</v>
      </c>
      <c r="H375" s="102">
        <v>5</v>
      </c>
      <c r="I375" s="99">
        <v>48.914999999999999</v>
      </c>
      <c r="J375" s="99">
        <v>0</v>
      </c>
      <c r="K375" s="99">
        <v>167.12624999999832</v>
      </c>
      <c r="L375" s="103">
        <v>811.17375000000163</v>
      </c>
    </row>
    <row r="376" spans="1:12" x14ac:dyDescent="0.45">
      <c r="A376" s="98" t="s">
        <v>340</v>
      </c>
      <c r="B376" s="87">
        <v>304</v>
      </c>
      <c r="C376" s="98" t="s">
        <v>387</v>
      </c>
      <c r="D376" s="93">
        <v>44049</v>
      </c>
      <c r="E376" s="99">
        <v>1271.79</v>
      </c>
      <c r="F376" s="100"/>
      <c r="G376" s="101">
        <v>35</v>
      </c>
      <c r="H376" s="102">
        <v>5</v>
      </c>
      <c r="I376" s="99">
        <v>36.336857142857141</v>
      </c>
      <c r="J376" s="99">
        <v>0</v>
      </c>
      <c r="K376" s="99">
        <v>124.15092857142599</v>
      </c>
      <c r="L376" s="103">
        <v>1147.639071428574</v>
      </c>
    </row>
    <row r="377" spans="1:12" x14ac:dyDescent="0.45">
      <c r="A377" s="98" t="s">
        <v>340</v>
      </c>
      <c r="B377" s="87">
        <v>311</v>
      </c>
      <c r="C377" s="98" t="s">
        <v>388</v>
      </c>
      <c r="D377" s="93">
        <v>44074</v>
      </c>
      <c r="E377" s="99">
        <v>2550.1</v>
      </c>
      <c r="F377" s="100"/>
      <c r="G377" s="101">
        <v>20</v>
      </c>
      <c r="H377" s="102">
        <v>5</v>
      </c>
      <c r="I377" s="99">
        <v>127.505</v>
      </c>
      <c r="J377" s="99">
        <v>0</v>
      </c>
      <c r="K377" s="99">
        <v>435.64208333333681</v>
      </c>
      <c r="L377" s="103">
        <v>2114.4579166666631</v>
      </c>
    </row>
    <row r="378" spans="1:12" x14ac:dyDescent="0.45">
      <c r="A378" s="98" t="s">
        <v>340</v>
      </c>
      <c r="B378" s="87">
        <v>310</v>
      </c>
      <c r="C378" s="98" t="s">
        <v>389</v>
      </c>
      <c r="D378" s="93">
        <v>44077</v>
      </c>
      <c r="E378" s="99">
        <v>2331.06</v>
      </c>
      <c r="F378" s="100"/>
      <c r="G378" s="101">
        <v>15</v>
      </c>
      <c r="H378" s="102">
        <v>5</v>
      </c>
      <c r="I378" s="99">
        <v>155.404</v>
      </c>
      <c r="J378" s="99">
        <v>0</v>
      </c>
      <c r="K378" s="99">
        <v>518.01333333332877</v>
      </c>
      <c r="L378" s="103">
        <v>1813.0466666666712</v>
      </c>
    </row>
    <row r="379" spans="1:12" x14ac:dyDescent="0.45">
      <c r="A379" s="98" t="s">
        <v>340</v>
      </c>
      <c r="B379" s="87">
        <v>310</v>
      </c>
      <c r="C379" s="98" t="s">
        <v>390</v>
      </c>
      <c r="D379" s="93">
        <v>44077</v>
      </c>
      <c r="E379" s="99">
        <v>2331.06</v>
      </c>
      <c r="F379" s="100"/>
      <c r="G379" s="101">
        <v>15</v>
      </c>
      <c r="H379" s="102">
        <v>5</v>
      </c>
      <c r="I379" s="99">
        <v>155.404</v>
      </c>
      <c r="J379" s="99">
        <v>0</v>
      </c>
      <c r="K379" s="99">
        <v>518.01333333332877</v>
      </c>
      <c r="L379" s="103">
        <v>1813.0466666666712</v>
      </c>
    </row>
    <row r="380" spans="1:12" x14ac:dyDescent="0.45">
      <c r="A380" s="98" t="s">
        <v>340</v>
      </c>
      <c r="B380" s="87">
        <v>310</v>
      </c>
      <c r="C380" s="98" t="s">
        <v>389</v>
      </c>
      <c r="D380" s="93">
        <v>44092</v>
      </c>
      <c r="E380" s="99">
        <v>538.86</v>
      </c>
      <c r="F380" s="100"/>
      <c r="G380" s="101">
        <v>15</v>
      </c>
      <c r="H380" s="102">
        <v>5</v>
      </c>
      <c r="I380" s="99">
        <v>35.923999999999999</v>
      </c>
      <c r="J380" s="99">
        <v>0</v>
      </c>
      <c r="K380" s="99">
        <v>119.7466666666669</v>
      </c>
      <c r="L380" s="103">
        <v>419.11333333333312</v>
      </c>
    </row>
    <row r="381" spans="1:12" x14ac:dyDescent="0.45">
      <c r="A381" s="98" t="s">
        <v>340</v>
      </c>
      <c r="B381" s="87">
        <v>310</v>
      </c>
      <c r="C381" s="98" t="s">
        <v>390</v>
      </c>
      <c r="D381" s="93">
        <v>44092</v>
      </c>
      <c r="E381" s="99">
        <v>531.39</v>
      </c>
      <c r="F381" s="100"/>
      <c r="G381" s="101">
        <v>15</v>
      </c>
      <c r="H381" s="102">
        <v>5</v>
      </c>
      <c r="I381" s="99">
        <v>35.426000000000002</v>
      </c>
      <c r="J381" s="99">
        <v>0</v>
      </c>
      <c r="K381" s="99">
        <v>118.08666666666602</v>
      </c>
      <c r="L381" s="103">
        <v>413.30333333333397</v>
      </c>
    </row>
    <row r="382" spans="1:12" x14ac:dyDescent="0.45">
      <c r="A382" s="98" t="s">
        <v>340</v>
      </c>
      <c r="B382" s="87">
        <v>304</v>
      </c>
      <c r="C382" s="98" t="s">
        <v>391</v>
      </c>
      <c r="D382" s="93">
        <v>44056</v>
      </c>
      <c r="E382" s="99">
        <v>0</v>
      </c>
      <c r="F382" s="100"/>
      <c r="G382" s="101">
        <v>35</v>
      </c>
      <c r="H382" s="102">
        <v>5</v>
      </c>
      <c r="I382" s="99">
        <v>0</v>
      </c>
      <c r="J382" s="99">
        <v>0</v>
      </c>
      <c r="K382" s="99">
        <v>0</v>
      </c>
      <c r="L382" s="103">
        <v>0</v>
      </c>
    </row>
    <row r="383" spans="1:12" x14ac:dyDescent="0.45">
      <c r="A383" s="98" t="s">
        <v>340</v>
      </c>
      <c r="B383" s="87">
        <v>311</v>
      </c>
      <c r="C383" s="98" t="s">
        <v>392</v>
      </c>
      <c r="D383" s="93">
        <v>44099</v>
      </c>
      <c r="E383" s="99">
        <v>235.87</v>
      </c>
      <c r="F383" s="100"/>
      <c r="G383" s="101">
        <v>20</v>
      </c>
      <c r="H383" s="102">
        <v>5</v>
      </c>
      <c r="I383" s="99">
        <v>11.7935</v>
      </c>
      <c r="J383" s="99">
        <v>0</v>
      </c>
      <c r="K383" s="99">
        <v>39.31166666666627</v>
      </c>
      <c r="L383" s="103">
        <v>196.55833333333374</v>
      </c>
    </row>
    <row r="384" spans="1:12" x14ac:dyDescent="0.45">
      <c r="A384" s="98" t="s">
        <v>340</v>
      </c>
      <c r="B384" s="87">
        <v>304</v>
      </c>
      <c r="C384" s="98" t="s">
        <v>393</v>
      </c>
      <c r="D384" s="93">
        <v>44106</v>
      </c>
      <c r="E384" s="99">
        <v>29566.400000000001</v>
      </c>
      <c r="F384" s="100"/>
      <c r="G384" s="101">
        <v>35</v>
      </c>
      <c r="H384" s="102">
        <v>4</v>
      </c>
      <c r="I384" s="99">
        <v>844.75428571428574</v>
      </c>
      <c r="J384" s="99">
        <v>0</v>
      </c>
      <c r="K384" s="99">
        <v>2745.451428571374</v>
      </c>
      <c r="L384" s="103">
        <v>26820.948571428627</v>
      </c>
    </row>
    <row r="385" spans="1:12" x14ac:dyDescent="0.45">
      <c r="A385" s="98" t="s">
        <v>340</v>
      </c>
      <c r="B385" s="87">
        <v>311</v>
      </c>
      <c r="C385" s="98" t="s">
        <v>394</v>
      </c>
      <c r="D385" s="93">
        <v>44117</v>
      </c>
      <c r="E385" s="99">
        <v>518.88</v>
      </c>
      <c r="F385" s="100"/>
      <c r="G385" s="101">
        <v>20</v>
      </c>
      <c r="H385" s="102">
        <v>4</v>
      </c>
      <c r="I385" s="99">
        <v>25.943999999999999</v>
      </c>
      <c r="J385" s="99">
        <v>0</v>
      </c>
      <c r="K385" s="99">
        <v>84.317999999999302</v>
      </c>
      <c r="L385" s="103">
        <v>434.56200000000069</v>
      </c>
    </row>
    <row r="386" spans="1:12" x14ac:dyDescent="0.45">
      <c r="A386" s="98" t="s">
        <v>340</v>
      </c>
      <c r="B386" s="87">
        <v>334</v>
      </c>
      <c r="C386" s="98" t="s">
        <v>395</v>
      </c>
      <c r="D386" s="93">
        <v>44118</v>
      </c>
      <c r="E386" s="99">
        <v>760.9</v>
      </c>
      <c r="F386" s="100"/>
      <c r="G386" s="101">
        <v>25</v>
      </c>
      <c r="H386" s="102">
        <v>4</v>
      </c>
      <c r="I386" s="99">
        <v>30.436</v>
      </c>
      <c r="J386" s="99">
        <v>0</v>
      </c>
      <c r="K386" s="99">
        <v>98.917000000000485</v>
      </c>
      <c r="L386" s="103">
        <v>661.98299999999949</v>
      </c>
    </row>
    <row r="387" spans="1:12" x14ac:dyDescent="0.45">
      <c r="A387" s="98" t="s">
        <v>340</v>
      </c>
      <c r="B387" s="87">
        <v>348</v>
      </c>
      <c r="C387" s="98" t="s">
        <v>396</v>
      </c>
      <c r="D387" s="93">
        <v>44201</v>
      </c>
      <c r="E387" s="99">
        <v>4218.5</v>
      </c>
      <c r="F387" s="100"/>
      <c r="G387" s="101">
        <v>6</v>
      </c>
      <c r="H387" s="102">
        <v>4</v>
      </c>
      <c r="I387" s="99">
        <v>703.08333333333337</v>
      </c>
      <c r="J387" s="99">
        <v>0</v>
      </c>
      <c r="K387" s="99">
        <v>2109.2500000000009</v>
      </c>
      <c r="L387" s="103">
        <v>2109.2499999999991</v>
      </c>
    </row>
    <row r="388" spans="1:12" x14ac:dyDescent="0.45">
      <c r="A388" s="98" t="s">
        <v>340</v>
      </c>
      <c r="B388" s="87">
        <v>334</v>
      </c>
      <c r="C388" s="98" t="s">
        <v>397</v>
      </c>
      <c r="D388" s="93">
        <v>44129</v>
      </c>
      <c r="E388" s="99">
        <v>129.72</v>
      </c>
      <c r="F388" s="100"/>
      <c r="G388" s="101">
        <v>25</v>
      </c>
      <c r="H388" s="102">
        <v>4</v>
      </c>
      <c r="I388" s="99">
        <v>5.1887999999999996</v>
      </c>
      <c r="J388" s="99">
        <v>0</v>
      </c>
      <c r="K388" s="99">
        <v>16.863600000000048</v>
      </c>
      <c r="L388" s="103">
        <v>112.85639999999995</v>
      </c>
    </row>
    <row r="389" spans="1:12" x14ac:dyDescent="0.45">
      <c r="A389" s="98" t="s">
        <v>340</v>
      </c>
      <c r="B389" s="87">
        <v>310</v>
      </c>
      <c r="C389" s="98" t="s">
        <v>398</v>
      </c>
      <c r="D389" s="93">
        <v>44129</v>
      </c>
      <c r="E389" s="99">
        <v>259.44</v>
      </c>
      <c r="F389" s="100"/>
      <c r="G389" s="101">
        <v>15</v>
      </c>
      <c r="H389" s="102">
        <v>4</v>
      </c>
      <c r="I389" s="99">
        <v>17.295999999999999</v>
      </c>
      <c r="J389" s="99">
        <v>0</v>
      </c>
      <c r="K389" s="99">
        <v>56.212000000000472</v>
      </c>
      <c r="L389" s="103">
        <v>203.22799999999953</v>
      </c>
    </row>
    <row r="390" spans="1:12" x14ac:dyDescent="0.45">
      <c r="A390" s="98" t="s">
        <v>340</v>
      </c>
      <c r="B390" s="87">
        <v>348</v>
      </c>
      <c r="C390" s="98" t="s">
        <v>399</v>
      </c>
      <c r="D390" s="93">
        <v>44201</v>
      </c>
      <c r="E390" s="99">
        <v>81.72</v>
      </c>
      <c r="F390" s="100"/>
      <c r="G390" s="101">
        <v>6</v>
      </c>
      <c r="H390" s="102">
        <v>4</v>
      </c>
      <c r="I390" s="99">
        <v>13.62</v>
      </c>
      <c r="J390" s="99">
        <v>0</v>
      </c>
      <c r="K390" s="99">
        <v>40.860000000000035</v>
      </c>
      <c r="L390" s="103">
        <v>40.859999999999964</v>
      </c>
    </row>
    <row r="391" spans="1:12" x14ac:dyDescent="0.45">
      <c r="A391" s="98" t="s">
        <v>340</v>
      </c>
      <c r="B391" s="87">
        <v>348</v>
      </c>
      <c r="C391" s="98" t="s">
        <v>400</v>
      </c>
      <c r="D391" s="93">
        <v>44201</v>
      </c>
      <c r="E391" s="99">
        <v>163.44</v>
      </c>
      <c r="F391" s="100"/>
      <c r="G391" s="101">
        <v>6</v>
      </c>
      <c r="H391" s="102">
        <v>4</v>
      </c>
      <c r="I391" s="99">
        <v>27.24</v>
      </c>
      <c r="J391" s="99">
        <v>0</v>
      </c>
      <c r="K391" s="99">
        <v>81.72000000000007</v>
      </c>
      <c r="L391" s="103">
        <v>81.719999999999928</v>
      </c>
    </row>
    <row r="392" spans="1:12" x14ac:dyDescent="0.45">
      <c r="A392" s="98" t="s">
        <v>340</v>
      </c>
      <c r="B392" s="87">
        <v>348</v>
      </c>
      <c r="C392" s="98" t="s">
        <v>401</v>
      </c>
      <c r="D392" s="93">
        <v>44201</v>
      </c>
      <c r="E392" s="99">
        <v>40.86</v>
      </c>
      <c r="F392" s="100"/>
      <c r="G392" s="101">
        <v>6</v>
      </c>
      <c r="H392" s="102">
        <v>4</v>
      </c>
      <c r="I392" s="99">
        <v>6.81</v>
      </c>
      <c r="J392" s="99">
        <v>0</v>
      </c>
      <c r="K392" s="99">
        <v>20.430000000000017</v>
      </c>
      <c r="L392" s="103">
        <v>20.429999999999982</v>
      </c>
    </row>
    <row r="393" spans="1:12" x14ac:dyDescent="0.45">
      <c r="A393" s="98" t="s">
        <v>340</v>
      </c>
      <c r="B393" s="87">
        <v>310</v>
      </c>
      <c r="C393" s="98" t="s">
        <v>402</v>
      </c>
      <c r="D393" s="93">
        <v>44129</v>
      </c>
      <c r="E393" s="99">
        <v>204.3</v>
      </c>
      <c r="F393" s="100"/>
      <c r="G393" s="101">
        <v>15</v>
      </c>
      <c r="H393" s="102">
        <v>4</v>
      </c>
      <c r="I393" s="99">
        <v>13.620000000000001</v>
      </c>
      <c r="J393" s="99">
        <v>0</v>
      </c>
      <c r="K393" s="99">
        <v>44.264999999999645</v>
      </c>
      <c r="L393" s="103">
        <v>160.03500000000037</v>
      </c>
    </row>
    <row r="394" spans="1:12" x14ac:dyDescent="0.45">
      <c r="A394" s="98" t="s">
        <v>340</v>
      </c>
      <c r="B394" s="87">
        <v>310</v>
      </c>
      <c r="C394" s="98" t="s">
        <v>403</v>
      </c>
      <c r="D394" s="93">
        <v>44129</v>
      </c>
      <c r="E394" s="99">
        <v>129.72</v>
      </c>
      <c r="F394" s="100"/>
      <c r="G394" s="101">
        <v>15</v>
      </c>
      <c r="H394" s="102">
        <v>4</v>
      </c>
      <c r="I394" s="99">
        <v>8.6479999999999997</v>
      </c>
      <c r="J394" s="99">
        <v>0</v>
      </c>
      <c r="K394" s="99">
        <v>28.106000000000236</v>
      </c>
      <c r="L394" s="103">
        <v>101.61399999999976</v>
      </c>
    </row>
    <row r="395" spans="1:12" x14ac:dyDescent="0.45">
      <c r="A395" s="98" t="s">
        <v>340</v>
      </c>
      <c r="B395" s="87">
        <v>310</v>
      </c>
      <c r="C395" s="98" t="s">
        <v>404</v>
      </c>
      <c r="D395" s="93">
        <v>44129</v>
      </c>
      <c r="E395" s="99">
        <v>942.91</v>
      </c>
      <c r="F395" s="100"/>
      <c r="G395" s="101">
        <v>15</v>
      </c>
      <c r="H395" s="102">
        <v>4</v>
      </c>
      <c r="I395" s="99">
        <v>62.860666666666667</v>
      </c>
      <c r="J395" s="99">
        <v>0</v>
      </c>
      <c r="K395" s="99">
        <v>204.29716666666457</v>
      </c>
      <c r="L395" s="103">
        <v>738.6128333333354</v>
      </c>
    </row>
    <row r="396" spans="1:12" x14ac:dyDescent="0.45">
      <c r="A396" s="98" t="s">
        <v>340</v>
      </c>
      <c r="B396" s="87">
        <v>310</v>
      </c>
      <c r="C396" s="98" t="s">
        <v>405</v>
      </c>
      <c r="D396" s="93">
        <v>44129</v>
      </c>
      <c r="E396" s="99">
        <v>48</v>
      </c>
      <c r="F396" s="100"/>
      <c r="G396" s="101">
        <v>15</v>
      </c>
      <c r="H396" s="102">
        <v>4</v>
      </c>
      <c r="I396" s="99">
        <v>3.2</v>
      </c>
      <c r="J396" s="99">
        <v>0</v>
      </c>
      <c r="K396" s="99">
        <v>10.399999999999963</v>
      </c>
      <c r="L396" s="103">
        <v>37.600000000000037</v>
      </c>
    </row>
    <row r="397" spans="1:12" x14ac:dyDescent="0.45">
      <c r="A397" s="98" t="s">
        <v>340</v>
      </c>
      <c r="B397" s="87">
        <v>310</v>
      </c>
      <c r="C397" s="98" t="s">
        <v>406</v>
      </c>
      <c r="D397" s="93">
        <v>44129</v>
      </c>
      <c r="E397" s="99">
        <v>908.04</v>
      </c>
      <c r="F397" s="100"/>
      <c r="G397" s="101">
        <v>15</v>
      </c>
      <c r="H397" s="102">
        <v>4</v>
      </c>
      <c r="I397" s="99">
        <v>60.535999999999994</v>
      </c>
      <c r="J397" s="99">
        <v>0</v>
      </c>
      <c r="K397" s="99">
        <v>196.74200000000019</v>
      </c>
      <c r="L397" s="103">
        <v>711.29799999999977</v>
      </c>
    </row>
    <row r="398" spans="1:12" x14ac:dyDescent="0.45">
      <c r="A398" s="98" t="s">
        <v>340</v>
      </c>
      <c r="B398" s="87">
        <v>310</v>
      </c>
      <c r="C398" s="98" t="s">
        <v>407</v>
      </c>
      <c r="D398" s="93">
        <v>44129</v>
      </c>
      <c r="E398" s="99">
        <v>518.88</v>
      </c>
      <c r="F398" s="100"/>
      <c r="G398" s="101">
        <v>15</v>
      </c>
      <c r="H398" s="102">
        <v>4</v>
      </c>
      <c r="I398" s="99">
        <v>34.591999999999999</v>
      </c>
      <c r="J398" s="99">
        <v>0</v>
      </c>
      <c r="K398" s="99">
        <v>112.42400000000094</v>
      </c>
      <c r="L398" s="103">
        <v>406.45599999999905</v>
      </c>
    </row>
    <row r="399" spans="1:12" x14ac:dyDescent="0.45">
      <c r="A399" s="98" t="s">
        <v>340</v>
      </c>
      <c r="B399" s="87">
        <v>310</v>
      </c>
      <c r="C399" s="98" t="s">
        <v>408</v>
      </c>
      <c r="D399" s="93">
        <v>44129</v>
      </c>
      <c r="E399" s="99">
        <v>259.44</v>
      </c>
      <c r="F399" s="100"/>
      <c r="G399" s="101">
        <v>15</v>
      </c>
      <c r="H399" s="102">
        <v>4</v>
      </c>
      <c r="I399" s="99">
        <v>17.295999999999999</v>
      </c>
      <c r="J399" s="99">
        <v>0</v>
      </c>
      <c r="K399" s="99">
        <v>56.212000000000472</v>
      </c>
      <c r="L399" s="103">
        <v>203.22799999999953</v>
      </c>
    </row>
    <row r="400" spans="1:12" x14ac:dyDescent="0.45">
      <c r="A400" s="98" t="s">
        <v>340</v>
      </c>
      <c r="B400" s="87">
        <v>310</v>
      </c>
      <c r="C400" s="98" t="s">
        <v>409</v>
      </c>
      <c r="D400" s="93">
        <v>44129</v>
      </c>
      <c r="E400" s="99">
        <v>324.3</v>
      </c>
      <c r="F400" s="100"/>
      <c r="G400" s="101">
        <v>15</v>
      </c>
      <c r="H400" s="102">
        <v>4</v>
      </c>
      <c r="I400" s="99">
        <v>21.62</v>
      </c>
      <c r="J400" s="99">
        <v>0</v>
      </c>
      <c r="K400" s="99">
        <v>70.265000000000384</v>
      </c>
      <c r="L400" s="103">
        <v>254.03499999999963</v>
      </c>
    </row>
    <row r="401" spans="1:12" x14ac:dyDescent="0.45">
      <c r="A401" s="98" t="s">
        <v>340</v>
      </c>
      <c r="B401" s="87">
        <v>311</v>
      </c>
      <c r="C401" s="98" t="s">
        <v>410</v>
      </c>
      <c r="D401" s="93">
        <v>44129</v>
      </c>
      <c r="E401" s="99">
        <v>434.67</v>
      </c>
      <c r="F401" s="100"/>
      <c r="G401" s="101">
        <v>20</v>
      </c>
      <c r="H401" s="102">
        <v>4</v>
      </c>
      <c r="I401" s="99">
        <v>21.733499999999999</v>
      </c>
      <c r="J401" s="99">
        <v>0</v>
      </c>
      <c r="K401" s="99">
        <v>70.63387500000016</v>
      </c>
      <c r="L401" s="103">
        <v>364.03612499999986</v>
      </c>
    </row>
    <row r="402" spans="1:12" x14ac:dyDescent="0.45">
      <c r="A402" s="98" t="s">
        <v>340</v>
      </c>
      <c r="B402" s="87">
        <v>311</v>
      </c>
      <c r="C402" s="98" t="s">
        <v>411</v>
      </c>
      <c r="D402" s="93">
        <v>44129</v>
      </c>
      <c r="E402" s="99">
        <v>259.44</v>
      </c>
      <c r="F402" s="100"/>
      <c r="G402" s="101">
        <v>20</v>
      </c>
      <c r="H402" s="102">
        <v>4</v>
      </c>
      <c r="I402" s="99">
        <v>12.972</v>
      </c>
      <c r="J402" s="99">
        <v>0</v>
      </c>
      <c r="K402" s="99">
        <v>42.158999999999651</v>
      </c>
      <c r="L402" s="103">
        <v>217.28100000000035</v>
      </c>
    </row>
    <row r="403" spans="1:12" x14ac:dyDescent="0.45">
      <c r="A403" s="98" t="s">
        <v>340</v>
      </c>
      <c r="B403" s="87">
        <v>311</v>
      </c>
      <c r="C403" s="98" t="s">
        <v>412</v>
      </c>
      <c r="D403" s="93">
        <v>44129</v>
      </c>
      <c r="E403" s="99">
        <v>259.44</v>
      </c>
      <c r="F403" s="100"/>
      <c r="G403" s="101">
        <v>20</v>
      </c>
      <c r="H403" s="102">
        <v>4</v>
      </c>
      <c r="I403" s="99">
        <v>12.972</v>
      </c>
      <c r="J403" s="99">
        <v>0</v>
      </c>
      <c r="K403" s="99">
        <v>42.158999999999651</v>
      </c>
      <c r="L403" s="103">
        <v>217.28100000000035</v>
      </c>
    </row>
    <row r="404" spans="1:12" x14ac:dyDescent="0.45">
      <c r="A404" s="98" t="s">
        <v>340</v>
      </c>
      <c r="B404" s="87">
        <v>311</v>
      </c>
      <c r="C404" s="98" t="s">
        <v>413</v>
      </c>
      <c r="D404" s="93">
        <v>44129</v>
      </c>
      <c r="E404" s="99">
        <v>129.72</v>
      </c>
      <c r="F404" s="100"/>
      <c r="G404" s="101">
        <v>20</v>
      </c>
      <c r="H404" s="102">
        <v>4</v>
      </c>
      <c r="I404" s="99">
        <v>6.4859999999999998</v>
      </c>
      <c r="J404" s="99">
        <v>0</v>
      </c>
      <c r="K404" s="99">
        <v>21.079499999999825</v>
      </c>
      <c r="L404" s="103">
        <v>108.64050000000017</v>
      </c>
    </row>
    <row r="405" spans="1:12" x14ac:dyDescent="0.45">
      <c r="A405" s="98" t="s">
        <v>340</v>
      </c>
      <c r="B405" s="87">
        <v>307</v>
      </c>
      <c r="C405" s="98" t="s">
        <v>414</v>
      </c>
      <c r="D405" s="93">
        <v>44129</v>
      </c>
      <c r="E405" s="99">
        <v>1055.2</v>
      </c>
      <c r="F405" s="100"/>
      <c r="G405" s="101">
        <v>35</v>
      </c>
      <c r="H405" s="102">
        <v>4</v>
      </c>
      <c r="I405" s="99">
        <v>30.148571428571429</v>
      </c>
      <c r="J405" s="99">
        <v>0</v>
      </c>
      <c r="K405" s="99">
        <v>97.982857142855437</v>
      </c>
      <c r="L405" s="103">
        <v>957.21714285714461</v>
      </c>
    </row>
    <row r="406" spans="1:12" x14ac:dyDescent="0.45">
      <c r="A406" s="98" t="s">
        <v>340</v>
      </c>
      <c r="B406" s="87">
        <v>307</v>
      </c>
      <c r="C406" s="98" t="s">
        <v>415</v>
      </c>
      <c r="D406" s="93">
        <v>44129</v>
      </c>
      <c r="E406" s="99">
        <v>2145.2600000000002</v>
      </c>
      <c r="F406" s="100"/>
      <c r="G406" s="101">
        <v>35</v>
      </c>
      <c r="H406" s="102">
        <v>4</v>
      </c>
      <c r="I406" s="99">
        <v>61.293142857142861</v>
      </c>
      <c r="J406" s="99">
        <v>0</v>
      </c>
      <c r="K406" s="99">
        <v>199.20271428571414</v>
      </c>
      <c r="L406" s="103">
        <v>1946.0572857142861</v>
      </c>
    </row>
    <row r="407" spans="1:12" x14ac:dyDescent="0.45">
      <c r="A407" s="98" t="s">
        <v>340</v>
      </c>
      <c r="B407" s="87">
        <v>307</v>
      </c>
      <c r="C407" s="98" t="s">
        <v>416</v>
      </c>
      <c r="D407" s="93">
        <v>44129</v>
      </c>
      <c r="E407" s="99">
        <v>79.319999999999993</v>
      </c>
      <c r="F407" s="100"/>
      <c r="G407" s="101">
        <v>35</v>
      </c>
      <c r="H407" s="102">
        <v>4</v>
      </c>
      <c r="I407" s="99">
        <v>2.266285714285714</v>
      </c>
      <c r="J407" s="99">
        <v>0</v>
      </c>
      <c r="K407" s="99">
        <v>7.3654285714286658</v>
      </c>
      <c r="L407" s="103">
        <v>71.954571428571327</v>
      </c>
    </row>
    <row r="408" spans="1:12" x14ac:dyDescent="0.45">
      <c r="A408" s="98" t="s">
        <v>340</v>
      </c>
      <c r="B408" s="87">
        <v>307</v>
      </c>
      <c r="C408" s="98" t="s">
        <v>417</v>
      </c>
      <c r="D408" s="93">
        <v>44129</v>
      </c>
      <c r="E408" s="99">
        <v>40.86</v>
      </c>
      <c r="F408" s="100"/>
      <c r="G408" s="101">
        <v>35</v>
      </c>
      <c r="H408" s="102">
        <v>4</v>
      </c>
      <c r="I408" s="99">
        <v>1.1674285714285715</v>
      </c>
      <c r="J408" s="99">
        <v>0</v>
      </c>
      <c r="K408" s="99">
        <v>3.7941428571427238</v>
      </c>
      <c r="L408" s="103">
        <v>37.065857142857276</v>
      </c>
    </row>
    <row r="409" spans="1:12" x14ac:dyDescent="0.45">
      <c r="A409" s="98" t="s">
        <v>340</v>
      </c>
      <c r="B409" s="87">
        <v>307</v>
      </c>
      <c r="C409" s="98" t="s">
        <v>418</v>
      </c>
      <c r="D409" s="93">
        <v>44129</v>
      </c>
      <c r="E409" s="99">
        <v>966.85</v>
      </c>
      <c r="F409" s="100"/>
      <c r="G409" s="101">
        <v>35</v>
      </c>
      <c r="H409" s="102">
        <v>4</v>
      </c>
      <c r="I409" s="99">
        <v>27.624285714285715</v>
      </c>
      <c r="J409" s="99">
        <v>0</v>
      </c>
      <c r="K409" s="99">
        <v>89.77892857142831</v>
      </c>
      <c r="L409" s="103">
        <v>877.07107142857171</v>
      </c>
    </row>
    <row r="410" spans="1:12" x14ac:dyDescent="0.45">
      <c r="A410" s="98" t="s">
        <v>340</v>
      </c>
      <c r="B410" s="87">
        <v>311</v>
      </c>
      <c r="C410" s="98" t="s">
        <v>392</v>
      </c>
      <c r="D410" s="93">
        <v>44136</v>
      </c>
      <c r="E410" s="99">
        <v>265.35000000000002</v>
      </c>
      <c r="F410" s="100"/>
      <c r="G410" s="101">
        <v>20</v>
      </c>
      <c r="H410" s="102">
        <v>4</v>
      </c>
      <c r="I410" s="99">
        <v>13.267500000000002</v>
      </c>
      <c r="J410" s="99">
        <v>0</v>
      </c>
      <c r="K410" s="99">
        <v>42.013749999999902</v>
      </c>
      <c r="L410" s="103">
        <v>223.33625000000012</v>
      </c>
    </row>
    <row r="411" spans="1:12" x14ac:dyDescent="0.45">
      <c r="A411" s="98" t="s">
        <v>340</v>
      </c>
      <c r="B411" s="87">
        <v>304</v>
      </c>
      <c r="C411" s="98" t="s">
        <v>419</v>
      </c>
      <c r="D411" s="93">
        <v>44173</v>
      </c>
      <c r="E411" s="99">
        <v>194.58</v>
      </c>
      <c r="F411" s="100"/>
      <c r="G411" s="101">
        <v>35</v>
      </c>
      <c r="H411" s="102">
        <v>4</v>
      </c>
      <c r="I411" s="99">
        <v>5.5594285714285716</v>
      </c>
      <c r="J411" s="99">
        <v>0</v>
      </c>
      <c r="K411" s="99">
        <v>17.141571428571552</v>
      </c>
      <c r="L411" s="103">
        <v>177.43842857142846</v>
      </c>
    </row>
    <row r="412" spans="1:12" x14ac:dyDescent="0.45">
      <c r="A412" s="98" t="s">
        <v>340</v>
      </c>
      <c r="B412" s="87">
        <v>330</v>
      </c>
      <c r="C412" s="98" t="s">
        <v>420</v>
      </c>
      <c r="D412" s="93">
        <v>44186</v>
      </c>
      <c r="E412" s="99">
        <v>12254.84</v>
      </c>
      <c r="F412" s="100"/>
      <c r="G412" s="101">
        <v>50</v>
      </c>
      <c r="H412" s="102">
        <v>4</v>
      </c>
      <c r="I412" s="99">
        <v>245.0968</v>
      </c>
      <c r="J412" s="99">
        <v>0</v>
      </c>
      <c r="K412" s="99">
        <v>755.71513333333132</v>
      </c>
      <c r="L412" s="103">
        <v>11499.124866666669</v>
      </c>
    </row>
    <row r="413" spans="1:12" x14ac:dyDescent="0.45">
      <c r="A413" s="98" t="s">
        <v>340</v>
      </c>
      <c r="B413" s="87">
        <v>348</v>
      </c>
      <c r="C413" s="98" t="s">
        <v>421</v>
      </c>
      <c r="D413" s="93">
        <v>44201</v>
      </c>
      <c r="E413" s="99">
        <v>1953</v>
      </c>
      <c r="F413" s="100"/>
      <c r="G413" s="101">
        <v>6</v>
      </c>
      <c r="H413" s="102">
        <v>4</v>
      </c>
      <c r="I413" s="99">
        <v>325.5</v>
      </c>
      <c r="J413" s="99">
        <v>0</v>
      </c>
      <c r="K413" s="99">
        <v>976.5</v>
      </c>
      <c r="L413" s="103">
        <v>976.5</v>
      </c>
    </row>
    <row r="414" spans="1:12" x14ac:dyDescent="0.45">
      <c r="A414" s="98" t="s">
        <v>340</v>
      </c>
      <c r="B414" s="87">
        <v>348</v>
      </c>
      <c r="C414" s="98" t="s">
        <v>422</v>
      </c>
      <c r="D414" s="93">
        <v>44201</v>
      </c>
      <c r="E414" s="99">
        <v>23135</v>
      </c>
      <c r="F414" s="100"/>
      <c r="G414" s="101">
        <v>6</v>
      </c>
      <c r="H414" s="102">
        <v>4</v>
      </c>
      <c r="I414" s="99">
        <v>3855.8333333333335</v>
      </c>
      <c r="J414" s="99">
        <v>0</v>
      </c>
      <c r="K414" s="99">
        <v>11567.500000000029</v>
      </c>
      <c r="L414" s="103">
        <v>11567.499999999971</v>
      </c>
    </row>
    <row r="415" spans="1:12" x14ac:dyDescent="0.45">
      <c r="A415" s="98" t="s">
        <v>340</v>
      </c>
      <c r="B415" s="87">
        <v>348</v>
      </c>
      <c r="C415" s="98" t="s">
        <v>423</v>
      </c>
      <c r="D415" s="93">
        <v>44201</v>
      </c>
      <c r="E415" s="99">
        <v>13466.5</v>
      </c>
      <c r="F415" s="100"/>
      <c r="G415" s="101">
        <v>6</v>
      </c>
      <c r="H415" s="102">
        <v>4</v>
      </c>
      <c r="I415" s="99">
        <v>2244.4166666666665</v>
      </c>
      <c r="J415" s="99">
        <v>0</v>
      </c>
      <c r="K415" s="99">
        <v>6733.2500000000146</v>
      </c>
      <c r="L415" s="103">
        <v>6733.2499999999854</v>
      </c>
    </row>
    <row r="416" spans="1:12" x14ac:dyDescent="0.45">
      <c r="A416" s="98" t="s">
        <v>340</v>
      </c>
      <c r="B416" s="87">
        <v>334</v>
      </c>
      <c r="C416" s="98" t="s">
        <v>424</v>
      </c>
      <c r="D416" s="93">
        <v>43890</v>
      </c>
      <c r="E416" s="99">
        <v>3254.48</v>
      </c>
      <c r="F416" s="100"/>
      <c r="G416" s="101">
        <v>25</v>
      </c>
      <c r="H416" s="102">
        <v>5</v>
      </c>
      <c r="I416" s="99">
        <v>130.17920000000001</v>
      </c>
      <c r="J416" s="99">
        <v>0</v>
      </c>
      <c r="K416" s="99">
        <v>509.86853333334238</v>
      </c>
      <c r="L416" s="103">
        <v>2744.6114666666576</v>
      </c>
    </row>
    <row r="417" spans="1:12" x14ac:dyDescent="0.45">
      <c r="A417" s="98" t="s">
        <v>340</v>
      </c>
      <c r="B417" s="87">
        <v>334</v>
      </c>
      <c r="C417" s="98" t="s">
        <v>425</v>
      </c>
      <c r="D417" s="93">
        <v>43890</v>
      </c>
      <c r="E417" s="99">
        <v>2352.27</v>
      </c>
      <c r="F417" s="100"/>
      <c r="G417" s="101">
        <v>25</v>
      </c>
      <c r="H417" s="102">
        <v>5</v>
      </c>
      <c r="I417" s="99">
        <v>94.090800000000002</v>
      </c>
      <c r="J417" s="99">
        <v>0</v>
      </c>
      <c r="K417" s="99">
        <v>368.52230000000486</v>
      </c>
      <c r="L417" s="103">
        <v>1983.7476999999951</v>
      </c>
    </row>
    <row r="418" spans="1:12" x14ac:dyDescent="0.45">
      <c r="A418" s="98" t="s">
        <v>340</v>
      </c>
      <c r="B418" s="87">
        <v>334</v>
      </c>
      <c r="C418" s="98" t="s">
        <v>426</v>
      </c>
      <c r="D418" s="93">
        <v>43890</v>
      </c>
      <c r="E418" s="99">
        <v>1550.07</v>
      </c>
      <c r="F418" s="100"/>
      <c r="G418" s="101">
        <v>25</v>
      </c>
      <c r="H418" s="102">
        <v>5</v>
      </c>
      <c r="I418" s="99">
        <v>62.002800000000001</v>
      </c>
      <c r="J418" s="99">
        <v>0</v>
      </c>
      <c r="K418" s="99">
        <v>242.84429999999725</v>
      </c>
      <c r="L418" s="103">
        <v>1307.2257000000027</v>
      </c>
    </row>
    <row r="419" spans="1:12" x14ac:dyDescent="0.45">
      <c r="A419" s="98" t="s">
        <v>340</v>
      </c>
      <c r="B419" s="87">
        <v>334</v>
      </c>
      <c r="C419" s="98" t="s">
        <v>427</v>
      </c>
      <c r="D419" s="93">
        <v>43890</v>
      </c>
      <c r="E419" s="99">
        <v>1550.07</v>
      </c>
      <c r="F419" s="100"/>
      <c r="G419" s="101">
        <v>25</v>
      </c>
      <c r="H419" s="102">
        <v>5</v>
      </c>
      <c r="I419" s="99">
        <v>62.002800000000001</v>
      </c>
      <c r="J419" s="99">
        <v>0</v>
      </c>
      <c r="K419" s="99">
        <v>242.84429999999725</v>
      </c>
      <c r="L419" s="103">
        <v>1307.2257000000027</v>
      </c>
    </row>
    <row r="420" spans="1:12" x14ac:dyDescent="0.45">
      <c r="A420" s="98" t="s">
        <v>340</v>
      </c>
      <c r="B420" s="87">
        <v>334</v>
      </c>
      <c r="C420" s="98" t="s">
        <v>428</v>
      </c>
      <c r="D420" s="93">
        <v>43890</v>
      </c>
      <c r="E420" s="99">
        <v>1176.1300000000001</v>
      </c>
      <c r="F420" s="100"/>
      <c r="G420" s="101">
        <v>25</v>
      </c>
      <c r="H420" s="102">
        <v>5</v>
      </c>
      <c r="I420" s="99">
        <v>47.045200000000001</v>
      </c>
      <c r="J420" s="99">
        <v>0</v>
      </c>
      <c r="K420" s="99">
        <v>184.26036666666243</v>
      </c>
      <c r="L420" s="103">
        <v>991.86963333333767</v>
      </c>
    </row>
    <row r="421" spans="1:12" x14ac:dyDescent="0.45">
      <c r="A421" s="98" t="s">
        <v>340</v>
      </c>
      <c r="B421" s="87">
        <v>334</v>
      </c>
      <c r="C421" s="98" t="s">
        <v>429</v>
      </c>
      <c r="D421" s="93">
        <v>43890</v>
      </c>
      <c r="E421" s="99">
        <v>1176.1300000000001</v>
      </c>
      <c r="F421" s="100"/>
      <c r="G421" s="101">
        <v>25</v>
      </c>
      <c r="H421" s="102">
        <v>5</v>
      </c>
      <c r="I421" s="99">
        <v>47.045200000000001</v>
      </c>
      <c r="J421" s="99">
        <v>0</v>
      </c>
      <c r="K421" s="99">
        <v>184.26036666666243</v>
      </c>
      <c r="L421" s="103">
        <v>991.86963333333767</v>
      </c>
    </row>
    <row r="422" spans="1:12" x14ac:dyDescent="0.45">
      <c r="A422" s="98" t="s">
        <v>340</v>
      </c>
      <c r="B422" s="87">
        <v>334</v>
      </c>
      <c r="C422" s="98" t="s">
        <v>430</v>
      </c>
      <c r="D422" s="93">
        <v>43890</v>
      </c>
      <c r="E422" s="99">
        <v>1084.83</v>
      </c>
      <c r="F422" s="100"/>
      <c r="G422" s="101">
        <v>25</v>
      </c>
      <c r="H422" s="102">
        <v>5</v>
      </c>
      <c r="I422" s="99">
        <v>43.3932</v>
      </c>
      <c r="J422" s="99">
        <v>0</v>
      </c>
      <c r="K422" s="99">
        <v>169.95669999999814</v>
      </c>
      <c r="L422" s="103">
        <v>914.87330000000179</v>
      </c>
    </row>
    <row r="423" spans="1:12" x14ac:dyDescent="0.45">
      <c r="A423" s="98" t="s">
        <v>340</v>
      </c>
      <c r="B423" s="87">
        <v>334</v>
      </c>
      <c r="C423" s="98" t="s">
        <v>431</v>
      </c>
      <c r="D423" s="93">
        <v>43890</v>
      </c>
      <c r="E423" s="99">
        <v>828.29</v>
      </c>
      <c r="F423" s="100"/>
      <c r="G423" s="101">
        <v>25</v>
      </c>
      <c r="H423" s="102">
        <v>5</v>
      </c>
      <c r="I423" s="99">
        <v>33.131599999999999</v>
      </c>
      <c r="J423" s="99">
        <v>0</v>
      </c>
      <c r="K423" s="99">
        <v>129.76543333333575</v>
      </c>
      <c r="L423" s="103">
        <v>698.52456666666421</v>
      </c>
    </row>
    <row r="424" spans="1:12" x14ac:dyDescent="0.45">
      <c r="A424" s="98" t="s">
        <v>340</v>
      </c>
      <c r="B424" s="87">
        <v>334</v>
      </c>
      <c r="C424" s="98" t="s">
        <v>432</v>
      </c>
      <c r="D424" s="93">
        <v>43890</v>
      </c>
      <c r="E424" s="99">
        <v>543.5</v>
      </c>
      <c r="F424" s="100"/>
      <c r="G424" s="101">
        <v>25</v>
      </c>
      <c r="H424" s="102">
        <v>5</v>
      </c>
      <c r="I424" s="99">
        <v>21.74</v>
      </c>
      <c r="J424" s="99">
        <v>0</v>
      </c>
      <c r="K424" s="99">
        <v>85.148333333332403</v>
      </c>
      <c r="L424" s="103">
        <v>458.3516666666676</v>
      </c>
    </row>
    <row r="425" spans="1:12" x14ac:dyDescent="0.45">
      <c r="A425" s="98" t="s">
        <v>340</v>
      </c>
      <c r="B425" s="87">
        <v>334</v>
      </c>
      <c r="C425" s="98" t="s">
        <v>433</v>
      </c>
      <c r="D425" s="93">
        <v>43890</v>
      </c>
      <c r="E425" s="99">
        <v>396.76</v>
      </c>
      <c r="F425" s="100"/>
      <c r="G425" s="101">
        <v>25</v>
      </c>
      <c r="H425" s="102">
        <v>5</v>
      </c>
      <c r="I425" s="99">
        <v>15.8704</v>
      </c>
      <c r="J425" s="99">
        <v>0</v>
      </c>
      <c r="K425" s="99">
        <v>62.159066666667627</v>
      </c>
      <c r="L425" s="103">
        <v>334.60093333333236</v>
      </c>
    </row>
    <row r="426" spans="1:12" x14ac:dyDescent="0.45">
      <c r="A426" s="98" t="s">
        <v>340</v>
      </c>
      <c r="B426" s="87">
        <v>334</v>
      </c>
      <c r="C426" s="98" t="s">
        <v>434</v>
      </c>
      <c r="D426" s="93">
        <v>43890</v>
      </c>
      <c r="E426" s="99">
        <v>396.76</v>
      </c>
      <c r="F426" s="100"/>
      <c r="G426" s="101">
        <v>25</v>
      </c>
      <c r="H426" s="102">
        <v>5</v>
      </c>
      <c r="I426" s="99">
        <v>15.8704</v>
      </c>
      <c r="J426" s="99">
        <v>0</v>
      </c>
      <c r="K426" s="99">
        <v>62.159066666667627</v>
      </c>
      <c r="L426" s="103">
        <v>334.60093333333236</v>
      </c>
    </row>
    <row r="427" spans="1:12" x14ac:dyDescent="0.45">
      <c r="A427" s="98" t="s">
        <v>340</v>
      </c>
      <c r="B427" s="87">
        <v>334</v>
      </c>
      <c r="C427" s="98" t="s">
        <v>435</v>
      </c>
      <c r="D427" s="93">
        <v>43890</v>
      </c>
      <c r="E427" s="99">
        <v>338.05</v>
      </c>
      <c r="F427" s="100"/>
      <c r="G427" s="101">
        <v>25</v>
      </c>
      <c r="H427" s="102">
        <v>5</v>
      </c>
      <c r="I427" s="99">
        <v>13.522</v>
      </c>
      <c r="J427" s="99">
        <v>0</v>
      </c>
      <c r="K427" s="99">
        <v>52.96116666666552</v>
      </c>
      <c r="L427" s="103">
        <v>285.08883333333449</v>
      </c>
    </row>
    <row r="428" spans="1:12" x14ac:dyDescent="0.45">
      <c r="A428" s="98" t="s">
        <v>340</v>
      </c>
      <c r="B428" s="87">
        <v>334</v>
      </c>
      <c r="C428" s="98" t="s">
        <v>436</v>
      </c>
      <c r="D428" s="93">
        <v>43890</v>
      </c>
      <c r="E428" s="99">
        <v>315.23</v>
      </c>
      <c r="F428" s="100"/>
      <c r="G428" s="101">
        <v>25</v>
      </c>
      <c r="H428" s="102">
        <v>5</v>
      </c>
      <c r="I428" s="99">
        <v>12.609200000000001</v>
      </c>
      <c r="J428" s="99">
        <v>0</v>
      </c>
      <c r="K428" s="99">
        <v>49.386033333333728</v>
      </c>
      <c r="L428" s="103">
        <v>265.84396666666629</v>
      </c>
    </row>
    <row r="429" spans="1:12" x14ac:dyDescent="0.45">
      <c r="A429" s="98" t="s">
        <v>340</v>
      </c>
      <c r="B429" s="87">
        <v>334</v>
      </c>
      <c r="C429" s="98" t="s">
        <v>437</v>
      </c>
      <c r="D429" s="93">
        <v>43890</v>
      </c>
      <c r="E429" s="99">
        <v>125</v>
      </c>
      <c r="F429" s="100"/>
      <c r="G429" s="101">
        <v>25</v>
      </c>
      <c r="H429" s="102">
        <v>5</v>
      </c>
      <c r="I429" s="99">
        <v>5</v>
      </c>
      <c r="J429" s="99">
        <v>0</v>
      </c>
      <c r="K429" s="99">
        <v>19.583333333333556</v>
      </c>
      <c r="L429" s="103">
        <v>105.41666666666644</v>
      </c>
    </row>
    <row r="430" spans="1:12" x14ac:dyDescent="0.45">
      <c r="A430" s="98" t="s">
        <v>340</v>
      </c>
      <c r="B430" s="87">
        <v>311</v>
      </c>
      <c r="C430" s="98" t="s">
        <v>438</v>
      </c>
      <c r="D430" s="93">
        <v>43890</v>
      </c>
      <c r="E430" s="99">
        <v>1635.94</v>
      </c>
      <c r="F430" s="100"/>
      <c r="G430" s="101">
        <v>20</v>
      </c>
      <c r="H430" s="102">
        <v>5</v>
      </c>
      <c r="I430" s="99">
        <v>81.796999999999997</v>
      </c>
      <c r="J430" s="99">
        <v>0</v>
      </c>
      <c r="K430" s="99">
        <v>320.37158333332809</v>
      </c>
      <c r="L430" s="103">
        <v>1315.568416666672</v>
      </c>
    </row>
    <row r="431" spans="1:12" x14ac:dyDescent="0.45">
      <c r="A431" s="98" t="s">
        <v>340</v>
      </c>
      <c r="B431" s="87">
        <v>311</v>
      </c>
      <c r="C431" s="98" t="s">
        <v>439</v>
      </c>
      <c r="D431" s="93">
        <v>43890</v>
      </c>
      <c r="E431" s="99">
        <v>1625.07</v>
      </c>
      <c r="F431" s="100"/>
      <c r="G431" s="101">
        <v>20</v>
      </c>
      <c r="H431" s="102">
        <v>5</v>
      </c>
      <c r="I431" s="99">
        <v>81.253500000000003</v>
      </c>
      <c r="J431" s="99">
        <v>0</v>
      </c>
      <c r="K431" s="99">
        <v>318.24287499999923</v>
      </c>
      <c r="L431" s="103">
        <v>1306.8271250000007</v>
      </c>
    </row>
    <row r="432" spans="1:12" x14ac:dyDescent="0.45">
      <c r="A432" s="98" t="s">
        <v>340</v>
      </c>
      <c r="B432" s="87">
        <v>311</v>
      </c>
      <c r="C432" s="98" t="s">
        <v>440</v>
      </c>
      <c r="D432" s="93">
        <v>43890</v>
      </c>
      <c r="E432" s="99">
        <v>1625.07</v>
      </c>
      <c r="F432" s="100"/>
      <c r="G432" s="101">
        <v>20</v>
      </c>
      <c r="H432" s="102">
        <v>5</v>
      </c>
      <c r="I432" s="99">
        <v>81.253500000000003</v>
      </c>
      <c r="J432" s="99">
        <v>0</v>
      </c>
      <c r="K432" s="99">
        <v>318.24287499999923</v>
      </c>
      <c r="L432" s="103">
        <v>1306.8271250000007</v>
      </c>
    </row>
    <row r="433" spans="1:12" x14ac:dyDescent="0.45">
      <c r="A433" s="98" t="s">
        <v>340</v>
      </c>
      <c r="B433" s="87">
        <v>348</v>
      </c>
      <c r="C433" s="98" t="s">
        <v>423</v>
      </c>
      <c r="D433" s="93">
        <v>44201</v>
      </c>
      <c r="E433" s="99">
        <v>8468</v>
      </c>
      <c r="F433" s="100"/>
      <c r="G433" s="101">
        <v>6</v>
      </c>
      <c r="H433" s="102">
        <v>4</v>
      </c>
      <c r="I433" s="99">
        <v>1411.3333333333333</v>
      </c>
      <c r="J433" s="99">
        <v>0</v>
      </c>
      <c r="K433" s="99">
        <v>4234.0000000000073</v>
      </c>
      <c r="L433" s="103">
        <v>4233.9999999999927</v>
      </c>
    </row>
    <row r="434" spans="1:12" x14ac:dyDescent="0.45">
      <c r="A434" s="98" t="s">
        <v>340</v>
      </c>
      <c r="B434" s="87">
        <v>311</v>
      </c>
      <c r="C434" s="98" t="s">
        <v>441</v>
      </c>
      <c r="D434" s="93">
        <v>43922</v>
      </c>
      <c r="E434" s="99">
        <v>7282.9</v>
      </c>
      <c r="F434" s="100"/>
      <c r="G434" s="101">
        <v>20</v>
      </c>
      <c r="H434" s="102">
        <v>5</v>
      </c>
      <c r="I434" s="99">
        <v>364.14499999999998</v>
      </c>
      <c r="J434" s="99">
        <v>0</v>
      </c>
      <c r="K434" s="99">
        <v>1365.5437500000153</v>
      </c>
      <c r="L434" s="103">
        <v>5917.3562499999844</v>
      </c>
    </row>
    <row r="435" spans="1:12" x14ac:dyDescent="0.45">
      <c r="A435" s="98" t="s">
        <v>340</v>
      </c>
      <c r="B435" s="87">
        <v>311</v>
      </c>
      <c r="C435" s="98" t="s">
        <v>442</v>
      </c>
      <c r="D435" s="93">
        <v>43941</v>
      </c>
      <c r="E435" s="99">
        <v>1445.71</v>
      </c>
      <c r="F435" s="100"/>
      <c r="G435" s="101">
        <v>20</v>
      </c>
      <c r="H435" s="102">
        <v>5</v>
      </c>
      <c r="I435" s="99">
        <v>72.285499999999999</v>
      </c>
      <c r="J435" s="99">
        <v>0</v>
      </c>
      <c r="K435" s="99">
        <v>271.07062500000325</v>
      </c>
      <c r="L435" s="103">
        <v>1174.6393749999968</v>
      </c>
    </row>
    <row r="436" spans="1:12" x14ac:dyDescent="0.45">
      <c r="A436" s="98" t="s">
        <v>340</v>
      </c>
      <c r="B436" s="87">
        <v>348</v>
      </c>
      <c r="C436" s="98" t="s">
        <v>423</v>
      </c>
      <c r="D436" s="93">
        <v>44201</v>
      </c>
      <c r="E436" s="99">
        <v>2120.5</v>
      </c>
      <c r="F436" s="100"/>
      <c r="G436" s="101">
        <v>6</v>
      </c>
      <c r="H436" s="102">
        <v>4</v>
      </c>
      <c r="I436" s="99">
        <v>353.41666666666669</v>
      </c>
      <c r="J436" s="99">
        <v>0</v>
      </c>
      <c r="K436" s="99">
        <v>1060.2500000000005</v>
      </c>
      <c r="L436" s="103">
        <v>1060.2499999999995</v>
      </c>
    </row>
    <row r="437" spans="1:12" x14ac:dyDescent="0.45">
      <c r="A437" s="98" t="s">
        <v>340</v>
      </c>
      <c r="B437" s="87">
        <v>331</v>
      </c>
      <c r="C437" s="98" t="s">
        <v>443</v>
      </c>
      <c r="D437" s="93">
        <v>43959</v>
      </c>
      <c r="E437" s="99">
        <v>1350.6</v>
      </c>
      <c r="F437" s="100"/>
      <c r="G437" s="101">
        <v>25</v>
      </c>
      <c r="H437" s="102">
        <v>5</v>
      </c>
      <c r="I437" s="99">
        <v>54.023999999999994</v>
      </c>
      <c r="J437" s="99">
        <v>0</v>
      </c>
      <c r="K437" s="99">
        <v>198.08799999999792</v>
      </c>
      <c r="L437" s="103">
        <v>1152.512000000002</v>
      </c>
    </row>
    <row r="438" spans="1:12" x14ac:dyDescent="0.45">
      <c r="A438" s="98" t="s">
        <v>340</v>
      </c>
      <c r="B438" s="87">
        <v>331</v>
      </c>
      <c r="C438" s="98" t="s">
        <v>444</v>
      </c>
      <c r="D438" s="93">
        <v>43959</v>
      </c>
      <c r="E438" s="99">
        <v>1106.3499999999999</v>
      </c>
      <c r="F438" s="100"/>
      <c r="G438" s="101">
        <v>25</v>
      </c>
      <c r="H438" s="102">
        <v>5</v>
      </c>
      <c r="I438" s="99">
        <v>44.253999999999998</v>
      </c>
      <c r="J438" s="99">
        <v>0</v>
      </c>
      <c r="K438" s="99">
        <v>162.26466666666715</v>
      </c>
      <c r="L438" s="103">
        <v>944.08533333333276</v>
      </c>
    </row>
    <row r="439" spans="1:12" x14ac:dyDescent="0.45">
      <c r="A439" s="98" t="s">
        <v>340</v>
      </c>
      <c r="B439" s="87">
        <v>331</v>
      </c>
      <c r="C439" s="98" t="s">
        <v>445</v>
      </c>
      <c r="D439" s="93">
        <v>43959</v>
      </c>
      <c r="E439" s="99">
        <v>888.69</v>
      </c>
      <c r="F439" s="100"/>
      <c r="G439" s="101">
        <v>25</v>
      </c>
      <c r="H439" s="102">
        <v>5</v>
      </c>
      <c r="I439" s="99">
        <v>35.547600000000003</v>
      </c>
      <c r="J439" s="99">
        <v>0</v>
      </c>
      <c r="K439" s="99">
        <v>130.34120000000121</v>
      </c>
      <c r="L439" s="103">
        <v>758.34879999999885</v>
      </c>
    </row>
    <row r="440" spans="1:12" x14ac:dyDescent="0.45">
      <c r="A440" s="98" t="s">
        <v>340</v>
      </c>
      <c r="B440" s="87">
        <v>331</v>
      </c>
      <c r="C440" s="98" t="s">
        <v>446</v>
      </c>
      <c r="D440" s="93">
        <v>43959</v>
      </c>
      <c r="E440" s="99">
        <v>723.03</v>
      </c>
      <c r="F440" s="100"/>
      <c r="G440" s="101">
        <v>25</v>
      </c>
      <c r="H440" s="102">
        <v>5</v>
      </c>
      <c r="I440" s="99">
        <v>28.921199999999999</v>
      </c>
      <c r="J440" s="99">
        <v>0</v>
      </c>
      <c r="K440" s="99">
        <v>106.0444000000025</v>
      </c>
      <c r="L440" s="103">
        <v>616.98559999999748</v>
      </c>
    </row>
    <row r="441" spans="1:12" x14ac:dyDescent="0.45">
      <c r="A441" s="98" t="s">
        <v>340</v>
      </c>
      <c r="B441" s="87">
        <v>331</v>
      </c>
      <c r="C441" s="98" t="s">
        <v>447</v>
      </c>
      <c r="D441" s="93">
        <v>43959</v>
      </c>
      <c r="E441" s="99">
        <v>293.16000000000003</v>
      </c>
      <c r="F441" s="100"/>
      <c r="G441" s="101">
        <v>25</v>
      </c>
      <c r="H441" s="102">
        <v>5</v>
      </c>
      <c r="I441" s="99">
        <v>11.726400000000002</v>
      </c>
      <c r="J441" s="99">
        <v>0</v>
      </c>
      <c r="K441" s="99">
        <v>42.996799999999382</v>
      </c>
      <c r="L441" s="103">
        <v>250.16320000000064</v>
      </c>
    </row>
    <row r="442" spans="1:12" x14ac:dyDescent="0.45">
      <c r="A442" s="98" t="s">
        <v>340</v>
      </c>
      <c r="B442" s="87">
        <v>331</v>
      </c>
      <c r="C442" s="98" t="s">
        <v>448</v>
      </c>
      <c r="D442" s="93">
        <v>43959</v>
      </c>
      <c r="E442" s="99">
        <v>168.18</v>
      </c>
      <c r="F442" s="100"/>
      <c r="G442" s="101">
        <v>25</v>
      </c>
      <c r="H442" s="102">
        <v>5</v>
      </c>
      <c r="I442" s="99">
        <v>6.7271999999999998</v>
      </c>
      <c r="J442" s="99">
        <v>0</v>
      </c>
      <c r="K442" s="99">
        <v>24.666399999999726</v>
      </c>
      <c r="L442" s="103">
        <v>143.51360000000028</v>
      </c>
    </row>
    <row r="443" spans="1:12" x14ac:dyDescent="0.45">
      <c r="A443" s="98" t="s">
        <v>340</v>
      </c>
      <c r="B443" s="87">
        <v>331</v>
      </c>
      <c r="C443" s="98" t="s">
        <v>449</v>
      </c>
      <c r="D443" s="93">
        <v>43959</v>
      </c>
      <c r="E443" s="99">
        <v>187.44</v>
      </c>
      <c r="F443" s="100"/>
      <c r="G443" s="101">
        <v>50</v>
      </c>
      <c r="H443" s="102">
        <v>5</v>
      </c>
      <c r="I443" s="99">
        <v>3.7488000000000001</v>
      </c>
      <c r="J443" s="99">
        <v>0</v>
      </c>
      <c r="K443" s="99">
        <v>13.745599999999854</v>
      </c>
      <c r="L443" s="103">
        <v>173.69440000000014</v>
      </c>
    </row>
    <row r="444" spans="1:12" x14ac:dyDescent="0.45">
      <c r="A444" s="98" t="s">
        <v>340</v>
      </c>
      <c r="B444" s="87">
        <v>304</v>
      </c>
      <c r="C444" s="98" t="s">
        <v>450</v>
      </c>
      <c r="D444" s="93">
        <v>43964</v>
      </c>
      <c r="E444" s="99">
        <v>7065</v>
      </c>
      <c r="F444" s="100"/>
      <c r="G444" s="101">
        <v>35</v>
      </c>
      <c r="H444" s="102">
        <v>5</v>
      </c>
      <c r="I444" s="99">
        <v>201.85714285714286</v>
      </c>
      <c r="J444" s="99">
        <v>0</v>
      </c>
      <c r="K444" s="99">
        <v>740.14285714285143</v>
      </c>
      <c r="L444" s="103">
        <v>6324.8571428571486</v>
      </c>
    </row>
    <row r="445" spans="1:12" x14ac:dyDescent="0.45">
      <c r="A445" s="98" t="s">
        <v>340</v>
      </c>
      <c r="B445" s="87">
        <v>348</v>
      </c>
      <c r="C445" s="98" t="s">
        <v>423</v>
      </c>
      <c r="D445" s="93">
        <v>44201</v>
      </c>
      <c r="E445" s="99">
        <v>7092.5</v>
      </c>
      <c r="F445" s="100"/>
      <c r="G445" s="101">
        <v>6</v>
      </c>
      <c r="H445" s="102">
        <v>4</v>
      </c>
      <c r="I445" s="99">
        <v>1182.0833333333333</v>
      </c>
      <c r="J445" s="99">
        <v>0</v>
      </c>
      <c r="K445" s="99">
        <v>3546.2499999999964</v>
      </c>
      <c r="L445" s="103">
        <v>3546.2500000000036</v>
      </c>
    </row>
    <row r="446" spans="1:12" x14ac:dyDescent="0.45">
      <c r="A446" s="98" t="s">
        <v>340</v>
      </c>
      <c r="B446" s="87">
        <v>304</v>
      </c>
      <c r="C446" s="98" t="s">
        <v>451</v>
      </c>
      <c r="D446" s="93">
        <v>43970</v>
      </c>
      <c r="E446" s="99">
        <v>339</v>
      </c>
      <c r="F446" s="100"/>
      <c r="G446" s="101">
        <v>35</v>
      </c>
      <c r="H446" s="102">
        <v>5</v>
      </c>
      <c r="I446" s="99">
        <v>9.6857142857142851</v>
      </c>
      <c r="J446" s="99">
        <v>0</v>
      </c>
      <c r="K446" s="99">
        <v>35.514285714286643</v>
      </c>
      <c r="L446" s="103">
        <v>303.48571428571336</v>
      </c>
    </row>
    <row r="447" spans="1:12" x14ac:dyDescent="0.45">
      <c r="A447" s="98" t="s">
        <v>340</v>
      </c>
      <c r="B447" s="87">
        <v>307</v>
      </c>
      <c r="C447" s="98" t="s">
        <v>452</v>
      </c>
      <c r="D447" s="93">
        <v>43978</v>
      </c>
      <c r="E447" s="99">
        <v>1391.36</v>
      </c>
      <c r="F447" s="100"/>
      <c r="G447" s="101">
        <v>50</v>
      </c>
      <c r="H447" s="102">
        <v>5</v>
      </c>
      <c r="I447" s="99">
        <v>27.827199999999998</v>
      </c>
      <c r="J447" s="99">
        <v>0</v>
      </c>
      <c r="K447" s="99">
        <v>102.03306666666231</v>
      </c>
      <c r="L447" s="103">
        <v>1289.3269333333376</v>
      </c>
    </row>
    <row r="448" spans="1:12" x14ac:dyDescent="0.45">
      <c r="A448" s="98" t="s">
        <v>340</v>
      </c>
      <c r="B448" s="87">
        <v>304</v>
      </c>
      <c r="C448" s="98" t="s">
        <v>453</v>
      </c>
      <c r="D448" s="93">
        <v>43989</v>
      </c>
      <c r="E448" s="99">
        <v>1798.99</v>
      </c>
      <c r="F448" s="100"/>
      <c r="G448" s="101">
        <v>35</v>
      </c>
      <c r="H448" s="102">
        <v>5</v>
      </c>
      <c r="I448" s="99">
        <v>51.399714285714289</v>
      </c>
      <c r="J448" s="99">
        <v>0</v>
      </c>
      <c r="K448" s="99">
        <v>184.18230952380941</v>
      </c>
      <c r="L448" s="103">
        <v>1614.8076904761906</v>
      </c>
    </row>
    <row r="449" spans="1:12" x14ac:dyDescent="0.45">
      <c r="A449" s="98" t="s">
        <v>340</v>
      </c>
      <c r="B449" s="87">
        <v>331</v>
      </c>
      <c r="C449" s="98" t="s">
        <v>454</v>
      </c>
      <c r="D449" s="93">
        <v>43992</v>
      </c>
      <c r="E449" s="99">
        <v>20.9</v>
      </c>
      <c r="F449" s="100"/>
      <c r="G449" s="101">
        <v>35</v>
      </c>
      <c r="H449" s="102">
        <v>5</v>
      </c>
      <c r="I449" s="99">
        <v>0.59714285714285709</v>
      </c>
      <c r="J449" s="99">
        <v>0</v>
      </c>
      <c r="K449" s="99">
        <v>2.139761904761901</v>
      </c>
      <c r="L449" s="103">
        <v>18.760238095238098</v>
      </c>
    </row>
    <row r="450" spans="1:12" x14ac:dyDescent="0.45">
      <c r="A450" s="98" t="s">
        <v>340</v>
      </c>
      <c r="B450" s="87">
        <v>348</v>
      </c>
      <c r="C450" s="98" t="s">
        <v>423</v>
      </c>
      <c r="D450" s="93">
        <v>44201</v>
      </c>
      <c r="E450" s="99">
        <v>9156.5</v>
      </c>
      <c r="F450" s="100"/>
      <c r="G450" s="101">
        <v>6</v>
      </c>
      <c r="H450" s="102">
        <v>4</v>
      </c>
      <c r="I450" s="99">
        <v>1526.0833333333333</v>
      </c>
      <c r="J450" s="99">
        <v>0</v>
      </c>
      <c r="K450" s="99">
        <v>4578.2500000000073</v>
      </c>
      <c r="L450" s="103">
        <v>4578.2499999999927</v>
      </c>
    </row>
    <row r="451" spans="1:12" x14ac:dyDescent="0.45">
      <c r="A451" s="98" t="s">
        <v>340</v>
      </c>
      <c r="B451" s="87">
        <v>334</v>
      </c>
      <c r="C451" s="98" t="s">
        <v>455</v>
      </c>
      <c r="D451" s="93">
        <v>44007</v>
      </c>
      <c r="E451" s="99">
        <v>375.01</v>
      </c>
      <c r="F451" s="100"/>
      <c r="G451" s="101">
        <v>25</v>
      </c>
      <c r="H451" s="102">
        <v>5</v>
      </c>
      <c r="I451" s="99">
        <v>15.000399999999999</v>
      </c>
      <c r="J451" s="99">
        <v>0</v>
      </c>
      <c r="K451" s="99">
        <v>53.751433333332159</v>
      </c>
      <c r="L451" s="103">
        <v>321.25856666666783</v>
      </c>
    </row>
    <row r="452" spans="1:12" x14ac:dyDescent="0.45">
      <c r="A452" s="98" t="s">
        <v>340</v>
      </c>
      <c r="B452" s="87">
        <v>310</v>
      </c>
      <c r="C452" s="98" t="s">
        <v>456</v>
      </c>
      <c r="D452" s="93">
        <v>44007</v>
      </c>
      <c r="E452" s="99">
        <v>22397.56</v>
      </c>
      <c r="F452" s="100"/>
      <c r="G452" s="101">
        <v>15</v>
      </c>
      <c r="H452" s="102">
        <v>5</v>
      </c>
      <c r="I452" s="99">
        <v>1493.1706666666666</v>
      </c>
      <c r="J452" s="99">
        <v>0</v>
      </c>
      <c r="K452" s="99">
        <v>5350.5282222221904</v>
      </c>
      <c r="L452" s="103">
        <v>17047.031777777811</v>
      </c>
    </row>
    <row r="453" spans="1:12" x14ac:dyDescent="0.45">
      <c r="A453" s="98" t="s">
        <v>340</v>
      </c>
      <c r="B453" s="87">
        <v>307</v>
      </c>
      <c r="C453" s="98" t="s">
        <v>457</v>
      </c>
      <c r="D453" s="93">
        <v>44021</v>
      </c>
      <c r="E453" s="99">
        <v>88</v>
      </c>
      <c r="F453" s="100"/>
      <c r="G453" s="101">
        <v>35</v>
      </c>
      <c r="H453" s="102">
        <v>5</v>
      </c>
      <c r="I453" s="99">
        <v>2.5142857142857142</v>
      </c>
      <c r="J453" s="99">
        <v>0</v>
      </c>
      <c r="K453" s="99">
        <v>8.8000000000002672</v>
      </c>
      <c r="L453" s="103">
        <v>79.199999999999733</v>
      </c>
    </row>
    <row r="454" spans="1:12" x14ac:dyDescent="0.45">
      <c r="A454" s="98" t="s">
        <v>340</v>
      </c>
      <c r="B454" s="87">
        <v>348</v>
      </c>
      <c r="C454" s="98" t="s">
        <v>423</v>
      </c>
      <c r="D454" s="93">
        <v>44201</v>
      </c>
      <c r="E454" s="99">
        <v>9021.5</v>
      </c>
      <c r="F454" s="100"/>
      <c r="G454" s="101">
        <v>6</v>
      </c>
      <c r="H454" s="102">
        <v>4</v>
      </c>
      <c r="I454" s="99">
        <v>1503.5833333333333</v>
      </c>
      <c r="J454" s="99">
        <v>0</v>
      </c>
      <c r="K454" s="99">
        <v>4510.7500000000073</v>
      </c>
      <c r="L454" s="103">
        <v>4510.7499999999927</v>
      </c>
    </row>
    <row r="455" spans="1:12" x14ac:dyDescent="0.45">
      <c r="A455" s="98" t="s">
        <v>340</v>
      </c>
      <c r="B455" s="87">
        <v>310</v>
      </c>
      <c r="C455" s="98" t="s">
        <v>458</v>
      </c>
      <c r="D455" s="93">
        <v>44034</v>
      </c>
      <c r="E455" s="99">
        <v>851.18</v>
      </c>
      <c r="F455" s="100"/>
      <c r="G455" s="101">
        <v>15</v>
      </c>
      <c r="H455" s="102">
        <v>5</v>
      </c>
      <c r="I455" s="99">
        <v>56.745333333333328</v>
      </c>
      <c r="J455" s="99">
        <v>0</v>
      </c>
      <c r="K455" s="99">
        <v>198.60866666666493</v>
      </c>
      <c r="L455" s="103">
        <v>652.57133333333502</v>
      </c>
    </row>
    <row r="456" spans="1:12" x14ac:dyDescent="0.45">
      <c r="A456" s="98" t="s">
        <v>340</v>
      </c>
      <c r="B456" s="87">
        <v>310</v>
      </c>
      <c r="C456" s="98" t="s">
        <v>459</v>
      </c>
      <c r="D456" s="93">
        <v>44034</v>
      </c>
      <c r="E456" s="99">
        <v>622.52</v>
      </c>
      <c r="F456" s="100"/>
      <c r="G456" s="101">
        <v>15</v>
      </c>
      <c r="H456" s="102">
        <v>5</v>
      </c>
      <c r="I456" s="99">
        <v>41.501333333333335</v>
      </c>
      <c r="J456" s="99">
        <v>0</v>
      </c>
      <c r="K456" s="99">
        <v>145.25466666666762</v>
      </c>
      <c r="L456" s="103">
        <v>477.26533333333236</v>
      </c>
    </row>
    <row r="457" spans="1:12" x14ac:dyDescent="0.45">
      <c r="A457" s="98" t="s">
        <v>340</v>
      </c>
      <c r="B457" s="87">
        <v>310</v>
      </c>
      <c r="C457" s="98" t="s">
        <v>460</v>
      </c>
      <c r="D457" s="93">
        <v>44034</v>
      </c>
      <c r="E457" s="99">
        <v>426.52</v>
      </c>
      <c r="F457" s="100"/>
      <c r="G457" s="101">
        <v>15</v>
      </c>
      <c r="H457" s="102">
        <v>5</v>
      </c>
      <c r="I457" s="99">
        <v>28.434666666666665</v>
      </c>
      <c r="J457" s="99">
        <v>0</v>
      </c>
      <c r="K457" s="99">
        <v>99.5213333333337</v>
      </c>
      <c r="L457" s="103">
        <v>326.99866666666628</v>
      </c>
    </row>
    <row r="458" spans="1:12" x14ac:dyDescent="0.45">
      <c r="A458" s="98" t="s">
        <v>340</v>
      </c>
      <c r="B458" s="87">
        <v>334</v>
      </c>
      <c r="C458" s="98" t="s">
        <v>461</v>
      </c>
      <c r="D458" s="93">
        <v>44042</v>
      </c>
      <c r="E458" s="99">
        <v>793.51</v>
      </c>
      <c r="F458" s="100"/>
      <c r="G458" s="101">
        <v>25</v>
      </c>
      <c r="H458" s="102">
        <v>5</v>
      </c>
      <c r="I458" s="99">
        <v>31.740400000000001</v>
      </c>
      <c r="J458" s="99">
        <v>0</v>
      </c>
      <c r="K458" s="99">
        <v>111.09140000000048</v>
      </c>
      <c r="L458" s="103">
        <v>682.41859999999951</v>
      </c>
    </row>
    <row r="459" spans="1:12" x14ac:dyDescent="0.45">
      <c r="A459" s="98" t="s">
        <v>340</v>
      </c>
      <c r="B459" s="87">
        <v>310</v>
      </c>
      <c r="C459" s="98" t="s">
        <v>462</v>
      </c>
      <c r="D459" s="93">
        <v>44042</v>
      </c>
      <c r="E459" s="99">
        <v>4460.67</v>
      </c>
      <c r="F459" s="100"/>
      <c r="G459" s="101">
        <v>20</v>
      </c>
      <c r="H459" s="102">
        <v>5</v>
      </c>
      <c r="I459" s="99">
        <v>223.0335</v>
      </c>
      <c r="J459" s="99">
        <v>0</v>
      </c>
      <c r="K459" s="99">
        <v>780.61724999999205</v>
      </c>
      <c r="L459" s="103">
        <v>3680.052750000008</v>
      </c>
    </row>
    <row r="460" spans="1:12" x14ac:dyDescent="0.45">
      <c r="A460" s="98" t="s">
        <v>340</v>
      </c>
      <c r="B460" s="87">
        <v>310</v>
      </c>
      <c r="C460" s="98" t="s">
        <v>463</v>
      </c>
      <c r="D460" s="93">
        <v>44042</v>
      </c>
      <c r="E460" s="99">
        <v>894.6</v>
      </c>
      <c r="F460" s="100"/>
      <c r="G460" s="101">
        <v>20</v>
      </c>
      <c r="H460" s="102">
        <v>5</v>
      </c>
      <c r="I460" s="99">
        <v>44.730000000000004</v>
      </c>
      <c r="J460" s="99">
        <v>0</v>
      </c>
      <c r="K460" s="99">
        <v>156.55499999999847</v>
      </c>
      <c r="L460" s="103">
        <v>738.04500000000155</v>
      </c>
    </row>
    <row r="461" spans="1:12" x14ac:dyDescent="0.45">
      <c r="A461" s="98" t="s">
        <v>340</v>
      </c>
      <c r="B461" s="87">
        <v>304</v>
      </c>
      <c r="C461" s="98" t="s">
        <v>464</v>
      </c>
      <c r="D461" s="93">
        <v>44042</v>
      </c>
      <c r="E461" s="99">
        <v>400.02</v>
      </c>
      <c r="F461" s="100"/>
      <c r="G461" s="101">
        <v>35</v>
      </c>
      <c r="H461" s="102">
        <v>5</v>
      </c>
      <c r="I461" s="99">
        <v>11.429142857142857</v>
      </c>
      <c r="J461" s="99">
        <v>0</v>
      </c>
      <c r="K461" s="99">
        <v>40.002000000000521</v>
      </c>
      <c r="L461" s="103">
        <v>360.01799999999946</v>
      </c>
    </row>
    <row r="462" spans="1:12" x14ac:dyDescent="0.45">
      <c r="A462" s="98" t="s">
        <v>340</v>
      </c>
      <c r="B462" s="87">
        <v>310</v>
      </c>
      <c r="C462" s="98" t="s">
        <v>465</v>
      </c>
      <c r="D462" s="93">
        <v>44066</v>
      </c>
      <c r="E462" s="99">
        <v>30429.06</v>
      </c>
      <c r="F462" s="100"/>
      <c r="G462" s="101">
        <v>15</v>
      </c>
      <c r="H462" s="102">
        <v>5</v>
      </c>
      <c r="I462" s="99">
        <v>2028.604</v>
      </c>
      <c r="J462" s="99">
        <v>0</v>
      </c>
      <c r="K462" s="99">
        <v>6931.0636666666396</v>
      </c>
      <c r="L462" s="103">
        <v>23497.996333333362</v>
      </c>
    </row>
    <row r="463" spans="1:12" x14ac:dyDescent="0.45">
      <c r="A463" s="98" t="s">
        <v>340</v>
      </c>
      <c r="B463" s="87">
        <v>310</v>
      </c>
      <c r="C463" s="98" t="s">
        <v>465</v>
      </c>
      <c r="D463" s="93">
        <v>44066</v>
      </c>
      <c r="E463" s="99">
        <v>28785.88</v>
      </c>
      <c r="F463" s="100"/>
      <c r="G463" s="101">
        <v>15</v>
      </c>
      <c r="H463" s="102">
        <v>5</v>
      </c>
      <c r="I463" s="99">
        <v>1919.0586666666668</v>
      </c>
      <c r="J463" s="99">
        <v>0</v>
      </c>
      <c r="K463" s="99">
        <v>6556.7837777778186</v>
      </c>
      <c r="L463" s="103">
        <v>22229.096222222182</v>
      </c>
    </row>
    <row r="464" spans="1:12" x14ac:dyDescent="0.45">
      <c r="A464" s="98" t="s">
        <v>340</v>
      </c>
      <c r="B464" s="87">
        <v>310</v>
      </c>
      <c r="C464" s="98" t="s">
        <v>466</v>
      </c>
      <c r="D464" s="93">
        <v>44066</v>
      </c>
      <c r="E464" s="99">
        <v>83.7</v>
      </c>
      <c r="F464" s="100"/>
      <c r="G464" s="101">
        <v>15</v>
      </c>
      <c r="H464" s="102">
        <v>5</v>
      </c>
      <c r="I464" s="99">
        <v>5.58</v>
      </c>
      <c r="J464" s="99">
        <v>0</v>
      </c>
      <c r="K464" s="99">
        <v>19.06500000000014</v>
      </c>
      <c r="L464" s="103">
        <v>64.634999999999863</v>
      </c>
    </row>
    <row r="465" spans="1:12" x14ac:dyDescent="0.45">
      <c r="A465" s="98" t="s">
        <v>340</v>
      </c>
      <c r="B465" s="87">
        <v>348</v>
      </c>
      <c r="C465" s="98" t="s">
        <v>423</v>
      </c>
      <c r="D465" s="93">
        <v>44201</v>
      </c>
      <c r="E465" s="99">
        <v>11677.25</v>
      </c>
      <c r="F465" s="100"/>
      <c r="G465" s="101">
        <v>6</v>
      </c>
      <c r="H465" s="102">
        <v>4</v>
      </c>
      <c r="I465" s="99">
        <v>1946.2083333333333</v>
      </c>
      <c r="J465" s="99">
        <v>0</v>
      </c>
      <c r="K465" s="99">
        <v>5838.6249999999854</v>
      </c>
      <c r="L465" s="103">
        <v>5838.6250000000146</v>
      </c>
    </row>
    <row r="466" spans="1:12" x14ac:dyDescent="0.45">
      <c r="A466" s="98" t="s">
        <v>340</v>
      </c>
      <c r="B466" s="87">
        <v>311</v>
      </c>
      <c r="C466" s="98" t="s">
        <v>467</v>
      </c>
      <c r="D466" s="93">
        <v>44074</v>
      </c>
      <c r="E466" s="99">
        <v>6374.87</v>
      </c>
      <c r="F466" s="100"/>
      <c r="G466" s="101">
        <v>20</v>
      </c>
      <c r="H466" s="102">
        <v>5</v>
      </c>
      <c r="I466" s="99">
        <v>318.74349999999998</v>
      </c>
      <c r="J466" s="99">
        <v>0</v>
      </c>
      <c r="K466" s="99">
        <v>1089.0402916666808</v>
      </c>
      <c r="L466" s="103">
        <v>5285.8297083333191</v>
      </c>
    </row>
    <row r="467" spans="1:12" x14ac:dyDescent="0.45">
      <c r="A467" s="98" t="s">
        <v>340</v>
      </c>
      <c r="B467" s="87">
        <v>348</v>
      </c>
      <c r="C467" s="98" t="s">
        <v>423</v>
      </c>
      <c r="D467" s="93">
        <v>44201</v>
      </c>
      <c r="E467" s="99">
        <v>13129.75</v>
      </c>
      <c r="F467" s="100"/>
      <c r="G467" s="101">
        <v>6</v>
      </c>
      <c r="H467" s="102">
        <v>4</v>
      </c>
      <c r="I467" s="99">
        <v>2188.2916666666665</v>
      </c>
      <c r="J467" s="99">
        <v>0</v>
      </c>
      <c r="K467" s="99">
        <v>6564.8749999999927</v>
      </c>
      <c r="L467" s="103">
        <v>6564.8750000000073</v>
      </c>
    </row>
    <row r="468" spans="1:12" x14ac:dyDescent="0.45">
      <c r="A468" s="98" t="s">
        <v>340</v>
      </c>
      <c r="B468" s="87">
        <v>311</v>
      </c>
      <c r="C468" s="98" t="s">
        <v>468</v>
      </c>
      <c r="D468" s="93">
        <v>44076</v>
      </c>
      <c r="E468" s="99">
        <v>388.25</v>
      </c>
      <c r="F468" s="100"/>
      <c r="G468" s="101">
        <v>20</v>
      </c>
      <c r="H468" s="102">
        <v>5</v>
      </c>
      <c r="I468" s="99">
        <v>19.412500000000001</v>
      </c>
      <c r="J468" s="99">
        <v>0</v>
      </c>
      <c r="K468" s="99">
        <v>64.70833333333303</v>
      </c>
      <c r="L468" s="103">
        <v>323.54166666666697</v>
      </c>
    </row>
    <row r="469" spans="1:12" x14ac:dyDescent="0.45">
      <c r="A469" s="98" t="s">
        <v>340</v>
      </c>
      <c r="B469" s="87">
        <v>331</v>
      </c>
      <c r="C469" s="98" t="s">
        <v>469</v>
      </c>
      <c r="D469" s="93">
        <v>44076</v>
      </c>
      <c r="E469" s="99">
        <v>324.3</v>
      </c>
      <c r="F469" s="100"/>
      <c r="G469" s="101">
        <v>50</v>
      </c>
      <c r="H469" s="102">
        <v>5</v>
      </c>
      <c r="I469" s="99">
        <v>6.4860000000000007</v>
      </c>
      <c r="J469" s="99">
        <v>0</v>
      </c>
      <c r="K469" s="99">
        <v>21.620000000000346</v>
      </c>
      <c r="L469" s="103">
        <v>302.67999999999967</v>
      </c>
    </row>
    <row r="470" spans="1:12" x14ac:dyDescent="0.45">
      <c r="A470" s="98" t="s">
        <v>340</v>
      </c>
      <c r="B470" s="87">
        <v>348</v>
      </c>
      <c r="C470" s="98" t="s">
        <v>470</v>
      </c>
      <c r="D470" s="93">
        <v>44201</v>
      </c>
      <c r="E470" s="99">
        <v>26258.89</v>
      </c>
      <c r="F470" s="100"/>
      <c r="G470" s="101">
        <v>6</v>
      </c>
      <c r="H470" s="102">
        <v>4</v>
      </c>
      <c r="I470" s="99">
        <v>4376.4816666666666</v>
      </c>
      <c r="J470" s="99">
        <v>0</v>
      </c>
      <c r="K470" s="99">
        <v>13129.445000000049</v>
      </c>
      <c r="L470" s="103">
        <v>13129.444999999951</v>
      </c>
    </row>
    <row r="471" spans="1:12" x14ac:dyDescent="0.45">
      <c r="A471" s="98" t="s">
        <v>340</v>
      </c>
      <c r="B471" s="87">
        <v>311</v>
      </c>
      <c r="C471" s="98" t="s">
        <v>471</v>
      </c>
      <c r="D471" s="93">
        <v>44099</v>
      </c>
      <c r="E471" s="99">
        <v>14946.34</v>
      </c>
      <c r="F471" s="100"/>
      <c r="G471" s="101">
        <v>20</v>
      </c>
      <c r="H471" s="102">
        <v>5</v>
      </c>
      <c r="I471" s="99">
        <v>747.31700000000001</v>
      </c>
      <c r="J471" s="99">
        <v>0</v>
      </c>
      <c r="K471" s="99">
        <v>2491.0566666667</v>
      </c>
      <c r="L471" s="103">
        <v>12455.2833333333</v>
      </c>
    </row>
    <row r="472" spans="1:12" x14ac:dyDescent="0.45">
      <c r="A472" s="98" t="s">
        <v>340</v>
      </c>
      <c r="B472" s="87">
        <v>331</v>
      </c>
      <c r="C472" s="98" t="s">
        <v>472</v>
      </c>
      <c r="D472" s="93">
        <v>44104</v>
      </c>
      <c r="E472" s="99">
        <v>518.88</v>
      </c>
      <c r="F472" s="100"/>
      <c r="G472" s="101">
        <v>50</v>
      </c>
      <c r="H472" s="102">
        <v>5</v>
      </c>
      <c r="I472" s="99">
        <v>10.377599999999999</v>
      </c>
      <c r="J472" s="99">
        <v>0</v>
      </c>
      <c r="K472" s="99">
        <v>34.5919999999997</v>
      </c>
      <c r="L472" s="103">
        <v>484.2880000000003</v>
      </c>
    </row>
    <row r="473" spans="1:12" x14ac:dyDescent="0.45">
      <c r="A473" s="98" t="s">
        <v>340</v>
      </c>
      <c r="B473" s="87">
        <v>348</v>
      </c>
      <c r="C473" s="98" t="s">
        <v>473</v>
      </c>
      <c r="D473" s="93">
        <v>44201</v>
      </c>
      <c r="E473" s="99">
        <v>3705</v>
      </c>
      <c r="F473" s="100"/>
      <c r="G473" s="101">
        <v>6</v>
      </c>
      <c r="H473" s="102">
        <v>4</v>
      </c>
      <c r="I473" s="99">
        <v>617.5</v>
      </c>
      <c r="J473" s="99">
        <v>0</v>
      </c>
      <c r="K473" s="99">
        <v>1852.5000000000045</v>
      </c>
      <c r="L473" s="103">
        <v>1852.4999999999955</v>
      </c>
    </row>
    <row r="474" spans="1:12" x14ac:dyDescent="0.45">
      <c r="A474" s="98" t="s">
        <v>340</v>
      </c>
      <c r="B474" s="87">
        <v>348</v>
      </c>
      <c r="C474" s="98" t="s">
        <v>474</v>
      </c>
      <c r="D474" s="93">
        <v>44252</v>
      </c>
      <c r="E474" s="99">
        <v>3817</v>
      </c>
      <c r="F474" s="100"/>
      <c r="G474" s="101">
        <v>6</v>
      </c>
      <c r="H474" s="102">
        <v>4</v>
      </c>
      <c r="I474" s="99">
        <v>636.16666666666663</v>
      </c>
      <c r="J474" s="99">
        <v>0</v>
      </c>
      <c r="K474" s="99">
        <v>1855.4861111111045</v>
      </c>
      <c r="L474" s="103">
        <v>1961.5138888888955</v>
      </c>
    </row>
    <row r="475" spans="1:12" x14ac:dyDescent="0.45">
      <c r="A475" s="98" t="s">
        <v>340</v>
      </c>
      <c r="B475" s="87">
        <v>348</v>
      </c>
      <c r="C475" s="98" t="s">
        <v>475</v>
      </c>
      <c r="D475" s="93">
        <v>44286</v>
      </c>
      <c r="E475" s="99">
        <v>1157.5</v>
      </c>
      <c r="F475" s="100"/>
      <c r="G475" s="101">
        <v>6</v>
      </c>
      <c r="H475" s="102">
        <v>4</v>
      </c>
      <c r="I475" s="99">
        <v>192.91666666666666</v>
      </c>
      <c r="J475" s="99">
        <v>0</v>
      </c>
      <c r="K475" s="99">
        <v>546.59722222222308</v>
      </c>
      <c r="L475" s="103">
        <v>610.90277777777692</v>
      </c>
    </row>
    <row r="476" spans="1:12" x14ac:dyDescent="0.45">
      <c r="A476" s="98" t="s">
        <v>340</v>
      </c>
      <c r="B476" s="87">
        <v>311</v>
      </c>
      <c r="C476" s="98" t="s">
        <v>476</v>
      </c>
      <c r="D476" s="93">
        <v>44470</v>
      </c>
      <c r="E476" s="99">
        <v>813.08</v>
      </c>
      <c r="F476" s="100"/>
      <c r="G476" s="101">
        <v>20</v>
      </c>
      <c r="H476" s="102">
        <v>3</v>
      </c>
      <c r="I476" s="99">
        <v>40.654000000000003</v>
      </c>
      <c r="J476" s="99">
        <v>0</v>
      </c>
      <c r="K476" s="99">
        <v>91.471499999999992</v>
      </c>
      <c r="L476" s="103">
        <v>721.60850000000005</v>
      </c>
    </row>
    <row r="477" spans="1:12" x14ac:dyDescent="0.45">
      <c r="A477" s="98" t="s">
        <v>340</v>
      </c>
      <c r="B477" s="87">
        <v>330</v>
      </c>
      <c r="C477" s="98" t="s">
        <v>477</v>
      </c>
      <c r="D477" s="93">
        <v>44481</v>
      </c>
      <c r="E477" s="99">
        <v>1802.48</v>
      </c>
      <c r="F477" s="100"/>
      <c r="G477" s="101">
        <v>30</v>
      </c>
      <c r="H477" s="102">
        <v>3</v>
      </c>
      <c r="I477" s="99">
        <v>60.082666666666668</v>
      </c>
      <c r="J477" s="99">
        <v>0</v>
      </c>
      <c r="K477" s="99">
        <v>135.18599999999901</v>
      </c>
      <c r="L477" s="103">
        <v>1667.294000000001</v>
      </c>
    </row>
    <row r="478" spans="1:12" x14ac:dyDescent="0.45">
      <c r="A478" s="98" t="s">
        <v>340</v>
      </c>
      <c r="B478" s="87">
        <v>348</v>
      </c>
      <c r="C478" s="98" t="s">
        <v>478</v>
      </c>
      <c r="D478" s="93">
        <v>44519</v>
      </c>
      <c r="E478" s="99">
        <v>6898</v>
      </c>
      <c r="F478" s="100"/>
      <c r="G478" s="101">
        <v>6</v>
      </c>
      <c r="H478" s="102">
        <v>3</v>
      </c>
      <c r="I478" s="99">
        <v>1149.6666666666667</v>
      </c>
      <c r="J478" s="99">
        <v>0</v>
      </c>
      <c r="K478" s="99">
        <v>2490.9444444444471</v>
      </c>
      <c r="L478" s="103">
        <v>4407.0555555555529</v>
      </c>
    </row>
    <row r="479" spans="1:12" x14ac:dyDescent="0.45">
      <c r="A479" s="98" t="s">
        <v>340</v>
      </c>
      <c r="B479" s="87">
        <v>334</v>
      </c>
      <c r="C479" s="98" t="s">
        <v>479</v>
      </c>
      <c r="D479" s="93">
        <v>44538</v>
      </c>
      <c r="E479" s="99">
        <v>680.76</v>
      </c>
      <c r="F479" s="100"/>
      <c r="G479" s="101">
        <v>25</v>
      </c>
      <c r="H479" s="102">
        <v>3</v>
      </c>
      <c r="I479" s="99">
        <v>27.230399999999999</v>
      </c>
      <c r="J479" s="99">
        <v>0</v>
      </c>
      <c r="K479" s="99">
        <v>56.729999999998881</v>
      </c>
      <c r="L479" s="103">
        <v>624.03000000000111</v>
      </c>
    </row>
    <row r="480" spans="1:12" x14ac:dyDescent="0.45">
      <c r="A480" s="98" t="s">
        <v>340</v>
      </c>
      <c r="B480" s="87">
        <v>311</v>
      </c>
      <c r="C480" s="98" t="s">
        <v>480</v>
      </c>
      <c r="D480" s="93">
        <v>44678</v>
      </c>
      <c r="E480" s="99">
        <v>3627.59</v>
      </c>
      <c r="F480" s="100"/>
      <c r="G480" s="101">
        <v>25</v>
      </c>
      <c r="H480" s="102">
        <v>3</v>
      </c>
      <c r="I480" s="99">
        <v>145.1036</v>
      </c>
      <c r="J480" s="99">
        <v>0</v>
      </c>
      <c r="K480" s="99">
        <v>253.93130000000383</v>
      </c>
      <c r="L480" s="103">
        <v>3373.6586999999963</v>
      </c>
    </row>
    <row r="481" spans="1:12" x14ac:dyDescent="0.45">
      <c r="A481" s="98" t="s">
        <v>340</v>
      </c>
      <c r="B481" s="87">
        <v>331</v>
      </c>
      <c r="C481" s="98" t="s">
        <v>481</v>
      </c>
      <c r="D481" s="93">
        <v>44842</v>
      </c>
      <c r="E481" s="99">
        <v>6309.86</v>
      </c>
      <c r="F481" s="100"/>
      <c r="G481" s="101">
        <v>50</v>
      </c>
      <c r="H481" s="102">
        <v>2</v>
      </c>
      <c r="I481" s="99">
        <v>126.1972</v>
      </c>
      <c r="J481" s="99">
        <v>0</v>
      </c>
      <c r="K481" s="99">
        <v>157.74649999999838</v>
      </c>
      <c r="L481" s="103">
        <v>6152.1135000000013</v>
      </c>
    </row>
    <row r="482" spans="1:12" x14ac:dyDescent="0.45">
      <c r="A482" s="98" t="s">
        <v>340</v>
      </c>
      <c r="B482" s="87">
        <v>311</v>
      </c>
      <c r="C482" s="98" t="s">
        <v>482</v>
      </c>
      <c r="D482" s="93">
        <v>44883</v>
      </c>
      <c r="E482" s="99">
        <v>3856.96</v>
      </c>
      <c r="F482" s="100"/>
      <c r="G482" s="101">
        <v>25</v>
      </c>
      <c r="H482" s="102">
        <v>2</v>
      </c>
      <c r="I482" s="99">
        <v>154.2784</v>
      </c>
      <c r="J482" s="99">
        <v>0</v>
      </c>
      <c r="K482" s="99">
        <v>179.99146666666365</v>
      </c>
      <c r="L482" s="103">
        <v>3676.9685333333364</v>
      </c>
    </row>
    <row r="483" spans="1:12" x14ac:dyDescent="0.45">
      <c r="A483" s="98" t="s">
        <v>340</v>
      </c>
      <c r="B483" s="87">
        <v>311</v>
      </c>
      <c r="C483" s="98" t="s">
        <v>483</v>
      </c>
      <c r="D483" s="93">
        <v>44883</v>
      </c>
      <c r="E483" s="99">
        <v>2754.82</v>
      </c>
      <c r="F483" s="100"/>
      <c r="G483" s="101">
        <v>25</v>
      </c>
      <c r="H483" s="102">
        <v>2</v>
      </c>
      <c r="I483" s="99">
        <v>110.19280000000001</v>
      </c>
      <c r="J483" s="99">
        <v>0</v>
      </c>
      <c r="K483" s="99">
        <v>128.55826666666962</v>
      </c>
      <c r="L483" s="103">
        <v>2626.2617333333305</v>
      </c>
    </row>
    <row r="484" spans="1:12" x14ac:dyDescent="0.45">
      <c r="A484" s="98" t="s">
        <v>340</v>
      </c>
      <c r="B484" s="87">
        <v>311</v>
      </c>
      <c r="C484" s="98" t="s">
        <v>484</v>
      </c>
      <c r="D484" s="93">
        <v>44883</v>
      </c>
      <c r="E484" s="99">
        <v>3856.96</v>
      </c>
      <c r="F484" s="100"/>
      <c r="G484" s="101">
        <v>25</v>
      </c>
      <c r="H484" s="102">
        <v>2</v>
      </c>
      <c r="I484" s="99">
        <v>154.2784</v>
      </c>
      <c r="J484" s="99">
        <v>0</v>
      </c>
      <c r="K484" s="99">
        <v>179.99146666666365</v>
      </c>
      <c r="L484" s="103">
        <v>3676.9685333333364</v>
      </c>
    </row>
    <row r="485" spans="1:12" x14ac:dyDescent="0.45">
      <c r="A485" s="98" t="s">
        <v>340</v>
      </c>
      <c r="B485" s="87">
        <v>311</v>
      </c>
      <c r="C485" s="98" t="s">
        <v>485</v>
      </c>
      <c r="D485" s="93">
        <v>44883</v>
      </c>
      <c r="E485" s="99">
        <v>5857.79</v>
      </c>
      <c r="F485" s="100"/>
      <c r="G485" s="101">
        <v>25</v>
      </c>
      <c r="H485" s="102">
        <v>2</v>
      </c>
      <c r="I485" s="99">
        <v>234.3116</v>
      </c>
      <c r="J485" s="99">
        <v>0</v>
      </c>
      <c r="K485" s="99">
        <v>273.36353333333864</v>
      </c>
      <c r="L485" s="103">
        <v>5584.4264666666613</v>
      </c>
    </row>
    <row r="486" spans="1:12" x14ac:dyDescent="0.45">
      <c r="A486" s="98" t="s">
        <v>340</v>
      </c>
      <c r="B486" s="87">
        <v>311</v>
      </c>
      <c r="C486" s="98" t="s">
        <v>486</v>
      </c>
      <c r="D486" s="93">
        <v>44883</v>
      </c>
      <c r="E486" s="99">
        <v>2448</v>
      </c>
      <c r="F486" s="100"/>
      <c r="G486" s="101">
        <v>25</v>
      </c>
      <c r="H486" s="102">
        <v>2</v>
      </c>
      <c r="I486" s="99">
        <v>97.92</v>
      </c>
      <c r="J486" s="99">
        <v>0</v>
      </c>
      <c r="K486" s="99">
        <v>114.23999999999796</v>
      </c>
      <c r="L486" s="103">
        <v>2333.760000000002</v>
      </c>
    </row>
    <row r="487" spans="1:12" x14ac:dyDescent="0.45">
      <c r="A487" s="98" t="s">
        <v>340</v>
      </c>
      <c r="B487" s="87">
        <v>311</v>
      </c>
      <c r="C487" s="98" t="s">
        <v>487</v>
      </c>
      <c r="D487" s="93">
        <v>44883</v>
      </c>
      <c r="E487" s="99">
        <v>2448</v>
      </c>
      <c r="F487" s="100"/>
      <c r="G487" s="101">
        <v>25</v>
      </c>
      <c r="H487" s="102">
        <v>2</v>
      </c>
      <c r="I487" s="99">
        <v>97.92</v>
      </c>
      <c r="J487" s="99">
        <v>0</v>
      </c>
      <c r="K487" s="99">
        <v>114.23999999999796</v>
      </c>
      <c r="L487" s="103">
        <v>2333.760000000002</v>
      </c>
    </row>
    <row r="488" spans="1:12" x14ac:dyDescent="0.45">
      <c r="A488" s="98" t="s">
        <v>340</v>
      </c>
      <c r="B488" s="87">
        <v>346</v>
      </c>
      <c r="C488" s="98" t="s">
        <v>488</v>
      </c>
      <c r="D488" s="93">
        <v>44896</v>
      </c>
      <c r="E488" s="99">
        <v>1074.33</v>
      </c>
      <c r="F488" s="100"/>
      <c r="G488" s="101">
        <v>10</v>
      </c>
      <c r="H488" s="102">
        <v>2</v>
      </c>
      <c r="I488" s="99">
        <v>107.43299999999999</v>
      </c>
      <c r="J488" s="99">
        <v>0</v>
      </c>
      <c r="K488" s="99">
        <v>116.38574999999992</v>
      </c>
      <c r="L488" s="103">
        <v>957.94425000000001</v>
      </c>
    </row>
    <row r="489" spans="1:12" x14ac:dyDescent="0.45">
      <c r="A489" s="98" t="s">
        <v>340</v>
      </c>
      <c r="B489" s="87">
        <v>346</v>
      </c>
      <c r="C489" s="98" t="s">
        <v>489</v>
      </c>
      <c r="D489" s="93">
        <v>44896</v>
      </c>
      <c r="E489" s="99">
        <v>1074.32</v>
      </c>
      <c r="F489" s="100"/>
      <c r="G489" s="101">
        <v>10</v>
      </c>
      <c r="H489" s="102">
        <v>2</v>
      </c>
      <c r="I489" s="99">
        <v>107.43199999999999</v>
      </c>
      <c r="J489" s="99">
        <v>0</v>
      </c>
      <c r="K489" s="99">
        <v>116.38466666666636</v>
      </c>
      <c r="L489" s="103">
        <v>957.93533333333357</v>
      </c>
    </row>
    <row r="490" spans="1:12" x14ac:dyDescent="0.45">
      <c r="A490" s="98" t="s">
        <v>340</v>
      </c>
      <c r="B490" s="87">
        <v>334</v>
      </c>
      <c r="C490" s="98" t="s">
        <v>490</v>
      </c>
      <c r="D490" s="93">
        <v>44623</v>
      </c>
      <c r="E490" s="99">
        <v>1688.42</v>
      </c>
      <c r="F490" s="100"/>
      <c r="G490" s="101">
        <v>25</v>
      </c>
      <c r="H490" s="102">
        <v>3</v>
      </c>
      <c r="I490" s="99">
        <v>67.536799999999999</v>
      </c>
      <c r="J490" s="99">
        <v>0</v>
      </c>
      <c r="K490" s="99">
        <v>123.81746666666641</v>
      </c>
      <c r="L490" s="103">
        <v>1564.6025333333337</v>
      </c>
    </row>
    <row r="491" spans="1:12" x14ac:dyDescent="0.45">
      <c r="A491" s="98" t="s">
        <v>340</v>
      </c>
      <c r="B491" s="87">
        <v>334</v>
      </c>
      <c r="C491" s="98" t="s">
        <v>491</v>
      </c>
      <c r="D491" s="93">
        <v>44743</v>
      </c>
      <c r="E491" s="99">
        <v>847.86</v>
      </c>
      <c r="F491" s="100"/>
      <c r="G491" s="101">
        <v>25</v>
      </c>
      <c r="H491" s="102">
        <v>3</v>
      </c>
      <c r="I491" s="99">
        <v>33.914400000000001</v>
      </c>
      <c r="J491" s="99">
        <v>0</v>
      </c>
      <c r="K491" s="99">
        <v>50.871599999999489</v>
      </c>
      <c r="L491" s="103">
        <v>796.98840000000052</v>
      </c>
    </row>
    <row r="492" spans="1:12" x14ac:dyDescent="0.45">
      <c r="A492" s="98" t="s">
        <v>340</v>
      </c>
      <c r="B492" s="87">
        <v>310</v>
      </c>
      <c r="C492" s="98" t="s">
        <v>492</v>
      </c>
      <c r="D492" s="93">
        <v>44958</v>
      </c>
      <c r="E492" s="99">
        <v>12532.98</v>
      </c>
      <c r="F492" s="100"/>
      <c r="G492" s="101">
        <v>15</v>
      </c>
      <c r="H492" s="102">
        <v>2</v>
      </c>
      <c r="I492" s="99">
        <v>835.53199999999993</v>
      </c>
      <c r="J492" s="99">
        <v>0</v>
      </c>
      <c r="K492" s="99">
        <v>696.2766666666721</v>
      </c>
      <c r="L492" s="103">
        <v>11836.703333333327</v>
      </c>
    </row>
    <row r="493" spans="1:12" x14ac:dyDescent="0.45">
      <c r="A493" s="98" t="s">
        <v>340</v>
      </c>
      <c r="B493" s="87">
        <v>331</v>
      </c>
      <c r="C493" s="98" t="s">
        <v>493</v>
      </c>
      <c r="D493" s="93">
        <v>45078</v>
      </c>
      <c r="E493" s="99">
        <v>2581.5500000000002</v>
      </c>
      <c r="F493" s="100"/>
      <c r="G493" s="101">
        <v>50</v>
      </c>
      <c r="H493" s="102">
        <v>2</v>
      </c>
      <c r="I493" s="99">
        <v>51.631</v>
      </c>
      <c r="J493" s="99">
        <v>0</v>
      </c>
      <c r="K493" s="99">
        <v>30.118083333331924</v>
      </c>
      <c r="L493" s="103">
        <v>2551.4319166666683</v>
      </c>
    </row>
    <row r="494" spans="1:12" x14ac:dyDescent="0.45">
      <c r="A494" s="98" t="s">
        <v>340</v>
      </c>
      <c r="B494" s="87">
        <v>304</v>
      </c>
      <c r="C494" s="98" t="s">
        <v>494</v>
      </c>
      <c r="D494" s="93">
        <v>45275</v>
      </c>
      <c r="E494" s="99">
        <v>1042429.18</v>
      </c>
      <c r="F494" s="100"/>
      <c r="G494" s="101">
        <v>35</v>
      </c>
      <c r="H494" s="102">
        <v>1</v>
      </c>
      <c r="I494" s="99">
        <v>29783.690857142858</v>
      </c>
      <c r="J494" s="99">
        <v>0</v>
      </c>
      <c r="K494" s="99">
        <v>2481.974238095223</v>
      </c>
      <c r="L494" s="103">
        <v>1039947.2057619048</v>
      </c>
    </row>
    <row r="495" spans="1:12" x14ac:dyDescent="0.45">
      <c r="A495" s="98" t="s">
        <v>340</v>
      </c>
      <c r="B495" s="87">
        <v>304</v>
      </c>
      <c r="C495" s="98" t="s">
        <v>495</v>
      </c>
      <c r="D495" s="93">
        <v>45005</v>
      </c>
      <c r="E495" s="99">
        <v>26732.16</v>
      </c>
      <c r="F495" s="100"/>
      <c r="G495" s="101">
        <v>35</v>
      </c>
      <c r="H495" s="102">
        <v>2</v>
      </c>
      <c r="I495" s="99">
        <v>763.77599999999995</v>
      </c>
      <c r="J495" s="99">
        <v>0</v>
      </c>
      <c r="K495" s="99">
        <v>636.48000000001048</v>
      </c>
      <c r="L495" s="103">
        <v>26095.679999999989</v>
      </c>
    </row>
    <row r="496" spans="1:12" x14ac:dyDescent="0.45">
      <c r="A496" s="98" t="s">
        <v>340</v>
      </c>
      <c r="B496" s="87">
        <v>307</v>
      </c>
      <c r="C496" s="98" t="s">
        <v>496</v>
      </c>
      <c r="D496" s="93">
        <v>44530</v>
      </c>
      <c r="E496" s="99">
        <v>692.72</v>
      </c>
      <c r="F496" s="100"/>
      <c r="G496" s="101">
        <v>35</v>
      </c>
      <c r="H496" s="102">
        <v>3</v>
      </c>
      <c r="I496" s="99">
        <v>19.792000000000002</v>
      </c>
      <c r="J496" s="99">
        <v>0</v>
      </c>
      <c r="K496" s="99">
        <v>42.8826666666655</v>
      </c>
      <c r="L496" s="103">
        <v>649.83733333333453</v>
      </c>
    </row>
    <row r="497" spans="1:12" x14ac:dyDescent="0.45">
      <c r="A497" s="98" t="s">
        <v>340</v>
      </c>
      <c r="B497" s="87">
        <v>310</v>
      </c>
      <c r="C497" s="98" t="s">
        <v>497</v>
      </c>
      <c r="D497" s="93">
        <v>45174</v>
      </c>
      <c r="E497" s="99">
        <v>10811.81</v>
      </c>
      <c r="F497" s="100"/>
      <c r="G497" s="101">
        <v>15</v>
      </c>
      <c r="H497" s="102">
        <v>2</v>
      </c>
      <c r="I497" s="99">
        <v>720.78733333333332</v>
      </c>
      <c r="J497" s="99">
        <v>0</v>
      </c>
      <c r="K497" s="99">
        <v>240.26244444444455</v>
      </c>
      <c r="L497" s="103">
        <v>10571.547555555555</v>
      </c>
    </row>
    <row r="498" spans="1:12" x14ac:dyDescent="0.45">
      <c r="A498" s="98" t="s">
        <v>340</v>
      </c>
      <c r="B498" s="87">
        <v>311</v>
      </c>
      <c r="C498" s="98" t="s">
        <v>498</v>
      </c>
      <c r="D498" s="93">
        <v>44481</v>
      </c>
      <c r="E498" s="99">
        <v>1802.49</v>
      </c>
      <c r="F498" s="100"/>
      <c r="G498" s="101">
        <v>25</v>
      </c>
      <c r="H498" s="102">
        <v>3</v>
      </c>
      <c r="I498" s="99">
        <v>72.099599999999995</v>
      </c>
      <c r="J498" s="99">
        <v>0</v>
      </c>
      <c r="K498" s="99">
        <v>162.224099999999</v>
      </c>
      <c r="L498" s="103">
        <v>1640.265900000001</v>
      </c>
    </row>
    <row r="499" spans="1:12" x14ac:dyDescent="0.45">
      <c r="A499" s="98" t="s">
        <v>340</v>
      </c>
      <c r="B499" s="87">
        <v>311</v>
      </c>
      <c r="C499" s="98" t="s">
        <v>494</v>
      </c>
      <c r="D499" s="93">
        <v>45275</v>
      </c>
      <c r="E499" s="99">
        <v>10470.33</v>
      </c>
      <c r="F499" s="100"/>
      <c r="G499" s="101">
        <v>25</v>
      </c>
      <c r="H499" s="102">
        <v>1</v>
      </c>
      <c r="I499" s="99">
        <v>418.81319999999999</v>
      </c>
      <c r="J499" s="99">
        <v>0</v>
      </c>
      <c r="K499" s="99">
        <v>34.901099999999133</v>
      </c>
      <c r="L499" s="103">
        <v>10435.428900000001</v>
      </c>
    </row>
    <row r="500" spans="1:12" x14ac:dyDescent="0.45">
      <c r="A500" s="98" t="s">
        <v>340</v>
      </c>
      <c r="B500" s="87">
        <v>311</v>
      </c>
      <c r="C500" s="98" t="s">
        <v>499</v>
      </c>
      <c r="D500" s="93">
        <v>45240</v>
      </c>
      <c r="E500" s="99">
        <v>10631.14</v>
      </c>
      <c r="F500" s="100"/>
      <c r="G500" s="101">
        <v>25</v>
      </c>
      <c r="H500" s="102">
        <v>1</v>
      </c>
      <c r="I500" s="99">
        <v>425.24559999999997</v>
      </c>
      <c r="J500" s="99">
        <v>0</v>
      </c>
      <c r="K500" s="99">
        <v>70.87426666666579</v>
      </c>
      <c r="L500" s="103">
        <v>10560.265733333334</v>
      </c>
    </row>
    <row r="501" spans="1:12" x14ac:dyDescent="0.45">
      <c r="A501" s="98" t="s">
        <v>340</v>
      </c>
      <c r="B501" s="87">
        <v>311</v>
      </c>
      <c r="C501" s="98" t="s">
        <v>500</v>
      </c>
      <c r="D501" s="93">
        <v>45199</v>
      </c>
      <c r="E501" s="99">
        <v>134363.35</v>
      </c>
      <c r="F501" s="100"/>
      <c r="G501" s="101">
        <v>25</v>
      </c>
      <c r="H501" s="102">
        <v>2</v>
      </c>
      <c r="I501" s="99">
        <v>5374.5340000000006</v>
      </c>
      <c r="J501" s="99">
        <v>0</v>
      </c>
      <c r="K501" s="99">
        <v>1791.5113333333284</v>
      </c>
      <c r="L501" s="103">
        <v>132571.83866666668</v>
      </c>
    </row>
    <row r="502" spans="1:12" x14ac:dyDescent="0.45">
      <c r="A502" s="98" t="s">
        <v>340</v>
      </c>
      <c r="B502" s="87">
        <v>311</v>
      </c>
      <c r="C502" s="98" t="s">
        <v>501</v>
      </c>
      <c r="D502" s="93">
        <v>45184</v>
      </c>
      <c r="E502" s="99">
        <v>389.94</v>
      </c>
      <c r="F502" s="100"/>
      <c r="G502" s="101">
        <v>25</v>
      </c>
      <c r="H502" s="102">
        <v>2</v>
      </c>
      <c r="I502" s="99">
        <v>15.5976</v>
      </c>
      <c r="J502" s="99">
        <v>0</v>
      </c>
      <c r="K502" s="99">
        <v>5.1992000000000189</v>
      </c>
      <c r="L502" s="103">
        <v>384.74079999999998</v>
      </c>
    </row>
    <row r="503" spans="1:12" x14ac:dyDescent="0.45">
      <c r="A503" s="98" t="s">
        <v>340</v>
      </c>
      <c r="B503" s="87">
        <v>311</v>
      </c>
      <c r="C503" s="98" t="s">
        <v>502</v>
      </c>
      <c r="D503" s="93">
        <v>45184</v>
      </c>
      <c r="E503" s="99">
        <v>347.7</v>
      </c>
      <c r="F503" s="100"/>
      <c r="G503" s="101">
        <v>25</v>
      </c>
      <c r="H503" s="102">
        <v>2</v>
      </c>
      <c r="I503" s="99">
        <v>13.907999999999999</v>
      </c>
      <c r="J503" s="99">
        <v>0</v>
      </c>
      <c r="K503" s="99">
        <v>4.6359999999999673</v>
      </c>
      <c r="L503" s="103">
        <v>343.06400000000002</v>
      </c>
    </row>
    <row r="504" spans="1:12" x14ac:dyDescent="0.45">
      <c r="A504" s="98" t="s">
        <v>340</v>
      </c>
      <c r="B504" s="87">
        <v>311</v>
      </c>
      <c r="C504" s="98" t="s">
        <v>503</v>
      </c>
      <c r="D504" s="93">
        <v>45091</v>
      </c>
      <c r="E504" s="99">
        <v>7905.41</v>
      </c>
      <c r="F504" s="100"/>
      <c r="G504" s="101">
        <v>25</v>
      </c>
      <c r="H504" s="102">
        <v>2</v>
      </c>
      <c r="I504" s="99">
        <v>316.21640000000002</v>
      </c>
      <c r="J504" s="99">
        <v>0</v>
      </c>
      <c r="K504" s="99">
        <v>184.45956666666734</v>
      </c>
      <c r="L504" s="103">
        <v>7720.9504333333325</v>
      </c>
    </row>
    <row r="505" spans="1:12" x14ac:dyDescent="0.45">
      <c r="A505" s="98" t="s">
        <v>340</v>
      </c>
      <c r="B505" s="87">
        <v>311</v>
      </c>
      <c r="C505" s="98" t="s">
        <v>503</v>
      </c>
      <c r="D505" s="93">
        <v>44439</v>
      </c>
      <c r="E505" s="99">
        <v>5897.01</v>
      </c>
      <c r="F505" s="100"/>
      <c r="G505" s="101">
        <v>25</v>
      </c>
      <c r="H505" s="102">
        <v>4</v>
      </c>
      <c r="I505" s="99">
        <v>235.88040000000001</v>
      </c>
      <c r="J505" s="99">
        <v>0</v>
      </c>
      <c r="K505" s="99">
        <v>570.04429999998683</v>
      </c>
      <c r="L505" s="103">
        <v>5326.9657000000134</v>
      </c>
    </row>
    <row r="506" spans="1:12" x14ac:dyDescent="0.45">
      <c r="A506" s="98" t="s">
        <v>340</v>
      </c>
      <c r="B506" s="87">
        <v>311</v>
      </c>
      <c r="C506" s="98" t="s">
        <v>503</v>
      </c>
      <c r="D506" s="93">
        <v>45184</v>
      </c>
      <c r="E506" s="99">
        <v>3809.14</v>
      </c>
      <c r="F506" s="100"/>
      <c r="G506" s="101">
        <v>25</v>
      </c>
      <c r="H506" s="102">
        <v>2</v>
      </c>
      <c r="I506" s="99">
        <v>152.3656</v>
      </c>
      <c r="J506" s="99">
        <v>0</v>
      </c>
      <c r="K506" s="99">
        <v>50.788533333332452</v>
      </c>
      <c r="L506" s="103">
        <v>3758.3514666666674</v>
      </c>
    </row>
    <row r="507" spans="1:12" x14ac:dyDescent="0.45">
      <c r="A507" s="98" t="s">
        <v>340</v>
      </c>
      <c r="B507" s="87">
        <v>311</v>
      </c>
      <c r="C507" s="98" t="s">
        <v>504</v>
      </c>
      <c r="D507" s="93">
        <v>45139</v>
      </c>
      <c r="E507" s="99">
        <v>12474.09</v>
      </c>
      <c r="F507" s="100"/>
      <c r="G507" s="101">
        <v>25</v>
      </c>
      <c r="H507" s="102">
        <v>2</v>
      </c>
      <c r="I507" s="99">
        <v>498.96359999999999</v>
      </c>
      <c r="J507" s="99">
        <v>0</v>
      </c>
      <c r="K507" s="99">
        <v>207.90149999999812</v>
      </c>
      <c r="L507" s="103">
        <v>12266.188500000002</v>
      </c>
    </row>
    <row r="508" spans="1:12" x14ac:dyDescent="0.45">
      <c r="A508" s="98" t="s">
        <v>340</v>
      </c>
      <c r="B508" s="87">
        <v>330</v>
      </c>
      <c r="C508" s="98" t="s">
        <v>494</v>
      </c>
      <c r="D508" s="93">
        <v>45275</v>
      </c>
      <c r="E508" s="99">
        <v>6848.45</v>
      </c>
      <c r="F508" s="100"/>
      <c r="G508" s="101">
        <v>50</v>
      </c>
      <c r="H508" s="102">
        <v>1</v>
      </c>
      <c r="I508" s="99">
        <v>136.96899999999999</v>
      </c>
      <c r="J508" s="99">
        <v>0</v>
      </c>
      <c r="K508" s="99">
        <v>11.41408333333311</v>
      </c>
      <c r="L508" s="103">
        <v>6837.0359166666667</v>
      </c>
    </row>
    <row r="509" spans="1:12" x14ac:dyDescent="0.45">
      <c r="A509" s="98" t="s">
        <v>340</v>
      </c>
      <c r="B509" s="87">
        <v>331</v>
      </c>
      <c r="C509" s="98" t="s">
        <v>494</v>
      </c>
      <c r="D509" s="93">
        <v>45275</v>
      </c>
      <c r="E509" s="99">
        <v>20802.560000000001</v>
      </c>
      <c r="F509" s="100"/>
      <c r="G509" s="101">
        <v>50</v>
      </c>
      <c r="H509" s="102">
        <v>1</v>
      </c>
      <c r="I509" s="99">
        <v>416.05120000000005</v>
      </c>
      <c r="J509" s="99">
        <v>0</v>
      </c>
      <c r="K509" s="99">
        <v>34.670933333334688</v>
      </c>
      <c r="L509" s="103">
        <v>20767.889066666667</v>
      </c>
    </row>
    <row r="510" spans="1:12" x14ac:dyDescent="0.45">
      <c r="A510" s="98" t="s">
        <v>340</v>
      </c>
      <c r="B510" s="87">
        <v>331</v>
      </c>
      <c r="C510" s="98" t="s">
        <v>505</v>
      </c>
      <c r="D510" s="93">
        <v>45231</v>
      </c>
      <c r="E510" s="99">
        <v>793082.09</v>
      </c>
      <c r="F510" s="100"/>
      <c r="G510" s="101">
        <v>50</v>
      </c>
      <c r="H510" s="102">
        <v>1</v>
      </c>
      <c r="I510" s="99">
        <v>15861.641799999999</v>
      </c>
      <c r="J510" s="99">
        <v>0</v>
      </c>
      <c r="K510" s="99">
        <v>2643.6069666666444</v>
      </c>
      <c r="L510" s="103">
        <v>790438.48303333332</v>
      </c>
    </row>
    <row r="511" spans="1:12" x14ac:dyDescent="0.45">
      <c r="A511" s="98" t="s">
        <v>340</v>
      </c>
      <c r="B511" s="87">
        <v>331</v>
      </c>
      <c r="C511" s="98" t="s">
        <v>506</v>
      </c>
      <c r="D511" s="93">
        <v>45199</v>
      </c>
      <c r="E511" s="99">
        <v>1611.6</v>
      </c>
      <c r="F511" s="100"/>
      <c r="G511" s="101">
        <v>50</v>
      </c>
      <c r="H511" s="102">
        <v>2</v>
      </c>
      <c r="I511" s="99">
        <v>32.231999999999999</v>
      </c>
      <c r="J511" s="99">
        <v>0</v>
      </c>
      <c r="K511" s="99">
        <v>10.743999999999687</v>
      </c>
      <c r="L511" s="103">
        <v>1600.8560000000002</v>
      </c>
    </row>
    <row r="512" spans="1:12" x14ac:dyDescent="0.45">
      <c r="A512" s="98" t="s">
        <v>340</v>
      </c>
      <c r="B512" s="87">
        <v>331</v>
      </c>
      <c r="C512" s="98" t="s">
        <v>507</v>
      </c>
      <c r="D512" s="93">
        <v>45078</v>
      </c>
      <c r="E512" s="99">
        <v>3676.5</v>
      </c>
      <c r="F512" s="100"/>
      <c r="G512" s="101">
        <v>50</v>
      </c>
      <c r="H512" s="102">
        <v>2</v>
      </c>
      <c r="I512" s="99">
        <v>73.53</v>
      </c>
      <c r="J512" s="99">
        <v>0</v>
      </c>
      <c r="K512" s="99">
        <v>42.892500000000382</v>
      </c>
      <c r="L512" s="103">
        <v>3633.6074999999996</v>
      </c>
    </row>
    <row r="513" spans="1:12" x14ac:dyDescent="0.45">
      <c r="A513" s="98" t="s">
        <v>340</v>
      </c>
      <c r="B513" s="87">
        <v>331</v>
      </c>
      <c r="C513" s="98" t="s">
        <v>508</v>
      </c>
      <c r="D513" s="93">
        <v>44762</v>
      </c>
      <c r="E513" s="99">
        <v>178655.2</v>
      </c>
      <c r="F513" s="100"/>
      <c r="G513" s="101">
        <v>50</v>
      </c>
      <c r="H513" s="102">
        <v>3</v>
      </c>
      <c r="I513" s="99">
        <v>3573.1040000000003</v>
      </c>
      <c r="J513" s="99">
        <v>0</v>
      </c>
      <c r="K513" s="99">
        <v>5359.6559999999008</v>
      </c>
      <c r="L513" s="103">
        <v>173295.54400000011</v>
      </c>
    </row>
    <row r="514" spans="1:12" x14ac:dyDescent="0.45">
      <c r="A514" s="98" t="s">
        <v>340</v>
      </c>
      <c r="B514" s="87">
        <v>331</v>
      </c>
      <c r="C514" s="98" t="s">
        <v>509</v>
      </c>
      <c r="D514" s="93">
        <v>45214</v>
      </c>
      <c r="E514" s="99">
        <v>18466.28</v>
      </c>
      <c r="F514" s="100"/>
      <c r="G514" s="101">
        <v>50</v>
      </c>
      <c r="H514" s="102">
        <v>1</v>
      </c>
      <c r="I514" s="99">
        <v>369.32559999999995</v>
      </c>
      <c r="J514" s="99">
        <v>0</v>
      </c>
      <c r="K514" s="99">
        <v>92.331399999999121</v>
      </c>
      <c r="L514" s="103">
        <v>18373.9486</v>
      </c>
    </row>
    <row r="515" spans="1:12" x14ac:dyDescent="0.45">
      <c r="A515" s="98" t="s">
        <v>340</v>
      </c>
      <c r="B515" s="87">
        <v>334</v>
      </c>
      <c r="C515" s="98" t="s">
        <v>510</v>
      </c>
      <c r="D515" s="93">
        <v>44635</v>
      </c>
      <c r="E515" s="99">
        <v>3262.53</v>
      </c>
      <c r="F515" s="100"/>
      <c r="G515" s="101">
        <v>25</v>
      </c>
      <c r="H515" s="102">
        <v>3</v>
      </c>
      <c r="I515" s="99">
        <v>130.50120000000001</v>
      </c>
      <c r="J515" s="99">
        <v>0</v>
      </c>
      <c r="K515" s="99">
        <v>239.25220000000445</v>
      </c>
      <c r="L515" s="103">
        <v>3023.2777999999958</v>
      </c>
    </row>
    <row r="516" spans="1:12" x14ac:dyDescent="0.45">
      <c r="A516" s="98" t="s">
        <v>340</v>
      </c>
      <c r="B516" s="87">
        <v>334</v>
      </c>
      <c r="C516" s="98" t="s">
        <v>141</v>
      </c>
      <c r="D516" s="93">
        <v>44978</v>
      </c>
      <c r="E516" s="99">
        <v>60.16</v>
      </c>
      <c r="F516" s="100"/>
      <c r="G516" s="101">
        <v>25</v>
      </c>
      <c r="H516" s="102">
        <v>2</v>
      </c>
      <c r="I516" s="99">
        <v>2.4063999999999997</v>
      </c>
      <c r="J516" s="99">
        <v>0</v>
      </c>
      <c r="K516" s="99">
        <v>2.2058666666666582</v>
      </c>
      <c r="L516" s="103">
        <v>57.954133333333338</v>
      </c>
    </row>
    <row r="517" spans="1:12" x14ac:dyDescent="0.45">
      <c r="A517" s="98" t="s">
        <v>340</v>
      </c>
      <c r="B517" s="87">
        <v>334</v>
      </c>
      <c r="C517" s="98" t="s">
        <v>141</v>
      </c>
      <c r="D517" s="93">
        <v>44250</v>
      </c>
      <c r="E517" s="99">
        <v>104.05</v>
      </c>
      <c r="F517" s="100"/>
      <c r="G517" s="101">
        <v>25</v>
      </c>
      <c r="H517" s="102">
        <v>4</v>
      </c>
      <c r="I517" s="99">
        <v>4.1619999999999999</v>
      </c>
      <c r="J517" s="99">
        <v>0</v>
      </c>
      <c r="K517" s="99">
        <v>12.139166666666767</v>
      </c>
      <c r="L517" s="103">
        <v>91.91083333333323</v>
      </c>
    </row>
    <row r="518" spans="1:12" x14ac:dyDescent="0.45">
      <c r="A518" s="98" t="s">
        <v>340</v>
      </c>
      <c r="B518" s="87">
        <v>334</v>
      </c>
      <c r="C518" s="98" t="s">
        <v>141</v>
      </c>
      <c r="D518" s="93">
        <v>44256</v>
      </c>
      <c r="E518" s="99">
        <v>34.76</v>
      </c>
      <c r="F518" s="100"/>
      <c r="G518" s="101">
        <v>25</v>
      </c>
      <c r="H518" s="102">
        <v>4</v>
      </c>
      <c r="I518" s="99">
        <v>1.3903999999999999</v>
      </c>
      <c r="J518" s="99">
        <v>0</v>
      </c>
      <c r="K518" s="99">
        <v>3.9394666666667071</v>
      </c>
      <c r="L518" s="103">
        <v>30.820533333333291</v>
      </c>
    </row>
    <row r="519" spans="1:12" x14ac:dyDescent="0.45">
      <c r="A519" s="98" t="s">
        <v>340</v>
      </c>
      <c r="B519" s="87">
        <v>334</v>
      </c>
      <c r="C519" s="98" t="s">
        <v>141</v>
      </c>
      <c r="D519" s="93">
        <v>44296</v>
      </c>
      <c r="E519" s="99">
        <v>1481.5800000000002</v>
      </c>
      <c r="F519" s="100"/>
      <c r="G519" s="101">
        <v>25</v>
      </c>
      <c r="H519" s="102">
        <v>4</v>
      </c>
      <c r="I519" s="99">
        <v>59.263200000000005</v>
      </c>
      <c r="J519" s="99">
        <v>0</v>
      </c>
      <c r="K519" s="99">
        <v>162.97379999999839</v>
      </c>
      <c r="L519" s="103">
        <v>1318.6062000000018</v>
      </c>
    </row>
    <row r="520" spans="1:12" x14ac:dyDescent="0.45">
      <c r="A520" s="98" t="s">
        <v>340</v>
      </c>
      <c r="B520" s="87">
        <v>334</v>
      </c>
      <c r="C520" s="98" t="s">
        <v>141</v>
      </c>
      <c r="D520" s="93">
        <v>44663</v>
      </c>
      <c r="E520" s="99">
        <v>862.12000000000012</v>
      </c>
      <c r="F520" s="100"/>
      <c r="G520" s="101">
        <v>25</v>
      </c>
      <c r="H520" s="102">
        <v>3</v>
      </c>
      <c r="I520" s="99">
        <v>34.484800000000007</v>
      </c>
      <c r="J520" s="99">
        <v>0</v>
      </c>
      <c r="K520" s="99">
        <v>60.348400000000311</v>
      </c>
      <c r="L520" s="103">
        <v>801.77159999999981</v>
      </c>
    </row>
    <row r="521" spans="1:12" x14ac:dyDescent="0.45">
      <c r="A521" s="98" t="s">
        <v>340</v>
      </c>
      <c r="B521" s="87">
        <v>334</v>
      </c>
      <c r="C521" s="98" t="s">
        <v>141</v>
      </c>
      <c r="D521" s="93">
        <v>44685</v>
      </c>
      <c r="E521" s="99">
        <v>22499.040000000001</v>
      </c>
      <c r="F521" s="100"/>
      <c r="G521" s="101">
        <v>25</v>
      </c>
      <c r="H521" s="102">
        <v>3</v>
      </c>
      <c r="I521" s="99">
        <v>899.96160000000009</v>
      </c>
      <c r="J521" s="99">
        <v>0</v>
      </c>
      <c r="K521" s="99">
        <v>1499.9360000000161</v>
      </c>
      <c r="L521" s="103">
        <v>20999.103999999985</v>
      </c>
    </row>
    <row r="522" spans="1:12" x14ac:dyDescent="0.45">
      <c r="A522" s="98" t="s">
        <v>340</v>
      </c>
      <c r="B522" s="87">
        <v>334</v>
      </c>
      <c r="C522" s="98" t="s">
        <v>141</v>
      </c>
      <c r="D522" s="93">
        <v>44713</v>
      </c>
      <c r="E522" s="99">
        <v>60.14</v>
      </c>
      <c r="F522" s="100"/>
      <c r="G522" s="101">
        <v>25</v>
      </c>
      <c r="H522" s="102">
        <v>3</v>
      </c>
      <c r="I522" s="99">
        <v>2.4056000000000002</v>
      </c>
      <c r="J522" s="99">
        <v>0</v>
      </c>
      <c r="K522" s="99">
        <v>3.80886666666661</v>
      </c>
      <c r="L522" s="103">
        <v>56.331133333333391</v>
      </c>
    </row>
    <row r="523" spans="1:12" x14ac:dyDescent="0.45">
      <c r="A523" s="98" t="s">
        <v>340</v>
      </c>
      <c r="B523" s="87">
        <v>334</v>
      </c>
      <c r="C523" s="98" t="s">
        <v>141</v>
      </c>
      <c r="D523" s="93">
        <v>45078</v>
      </c>
      <c r="E523" s="99">
        <v>598.4</v>
      </c>
      <c r="F523" s="100"/>
      <c r="G523" s="101">
        <v>25</v>
      </c>
      <c r="H523" s="102">
        <v>2</v>
      </c>
      <c r="I523" s="99">
        <v>23.936</v>
      </c>
      <c r="J523" s="99">
        <v>0</v>
      </c>
      <c r="K523" s="99">
        <v>13.962666666667019</v>
      </c>
      <c r="L523" s="103">
        <v>584.43733333333296</v>
      </c>
    </row>
    <row r="524" spans="1:12" x14ac:dyDescent="0.45">
      <c r="A524" s="98" t="s">
        <v>340</v>
      </c>
      <c r="B524" s="87">
        <v>334</v>
      </c>
      <c r="C524" s="98" t="s">
        <v>141</v>
      </c>
      <c r="D524" s="93">
        <v>45119</v>
      </c>
      <c r="E524" s="99">
        <v>103.01</v>
      </c>
      <c r="F524" s="100"/>
      <c r="G524" s="101">
        <v>25</v>
      </c>
      <c r="H524" s="102">
        <v>2</v>
      </c>
      <c r="I524" s="99">
        <v>4.1204000000000001</v>
      </c>
      <c r="J524" s="99">
        <v>0</v>
      </c>
      <c r="K524" s="99">
        <v>2.0602000000000089</v>
      </c>
      <c r="L524" s="103">
        <v>100.9498</v>
      </c>
    </row>
    <row r="525" spans="1:12" x14ac:dyDescent="0.45">
      <c r="A525" s="98" t="s">
        <v>340</v>
      </c>
      <c r="B525" s="87">
        <v>334</v>
      </c>
      <c r="C525" s="98" t="s">
        <v>141</v>
      </c>
      <c r="D525" s="93">
        <v>45126</v>
      </c>
      <c r="E525" s="99">
        <v>180.8</v>
      </c>
      <c r="F525" s="100"/>
      <c r="G525" s="101">
        <v>25</v>
      </c>
      <c r="H525" s="102">
        <v>2</v>
      </c>
      <c r="I525" s="99">
        <v>7.2320000000000002</v>
      </c>
      <c r="J525" s="99">
        <v>0</v>
      </c>
      <c r="K525" s="99">
        <v>3.6159999999999854</v>
      </c>
      <c r="L525" s="103">
        <v>177.18400000000003</v>
      </c>
    </row>
    <row r="526" spans="1:12" x14ac:dyDescent="0.45">
      <c r="A526" s="98" t="s">
        <v>340</v>
      </c>
      <c r="B526" s="87">
        <v>334</v>
      </c>
      <c r="C526" s="98" t="s">
        <v>141</v>
      </c>
      <c r="D526" s="93">
        <v>44770</v>
      </c>
      <c r="E526" s="99">
        <v>314.7</v>
      </c>
      <c r="F526" s="100"/>
      <c r="G526" s="101">
        <v>25</v>
      </c>
      <c r="H526" s="102">
        <v>3</v>
      </c>
      <c r="I526" s="99">
        <v>12.587999999999999</v>
      </c>
      <c r="J526" s="99">
        <v>0</v>
      </c>
      <c r="K526" s="99">
        <v>18.881999999999607</v>
      </c>
      <c r="L526" s="103">
        <v>295.81800000000038</v>
      </c>
    </row>
    <row r="527" spans="1:12" x14ac:dyDescent="0.45">
      <c r="A527" s="98" t="s">
        <v>340</v>
      </c>
      <c r="B527" s="87">
        <v>334</v>
      </c>
      <c r="C527" s="98" t="s">
        <v>141</v>
      </c>
      <c r="D527" s="93">
        <v>45155</v>
      </c>
      <c r="E527" s="99">
        <v>173.73000000000002</v>
      </c>
      <c r="F527" s="100"/>
      <c r="G527" s="101">
        <v>25</v>
      </c>
      <c r="H527" s="102">
        <v>2</v>
      </c>
      <c r="I527" s="99">
        <v>6.9492000000000012</v>
      </c>
      <c r="J527" s="99">
        <v>0</v>
      </c>
      <c r="K527" s="99">
        <v>2.8955000000000553</v>
      </c>
      <c r="L527" s="103">
        <v>170.83449999999996</v>
      </c>
    </row>
    <row r="528" spans="1:12" x14ac:dyDescent="0.45">
      <c r="A528" s="98" t="s">
        <v>340</v>
      </c>
      <c r="B528" s="87">
        <v>334</v>
      </c>
      <c r="C528" s="98" t="s">
        <v>141</v>
      </c>
      <c r="D528" s="93">
        <v>44439</v>
      </c>
      <c r="E528" s="99">
        <v>4712.8599999999997</v>
      </c>
      <c r="F528" s="100"/>
      <c r="G528" s="101">
        <v>25</v>
      </c>
      <c r="H528" s="102">
        <v>4</v>
      </c>
      <c r="I528" s="99">
        <v>188.51439999999999</v>
      </c>
      <c r="J528" s="99">
        <v>0</v>
      </c>
      <c r="K528" s="99">
        <v>455.57646666667551</v>
      </c>
      <c r="L528" s="103">
        <v>4257.2835333333242</v>
      </c>
    </row>
    <row r="529" spans="1:12" x14ac:dyDescent="0.45">
      <c r="A529" s="98" t="s">
        <v>340</v>
      </c>
      <c r="B529" s="87">
        <v>334</v>
      </c>
      <c r="C529" s="98" t="s">
        <v>141</v>
      </c>
      <c r="D529" s="93">
        <v>45177</v>
      </c>
      <c r="E529" s="99">
        <v>404.5</v>
      </c>
      <c r="F529" s="100"/>
      <c r="G529" s="101">
        <v>25</v>
      </c>
      <c r="H529" s="102">
        <v>2</v>
      </c>
      <c r="I529" s="99">
        <v>16.18</v>
      </c>
      <c r="J529" s="99">
        <v>0</v>
      </c>
      <c r="K529" s="99">
        <v>5.3933333333334303</v>
      </c>
      <c r="L529" s="103">
        <v>399.10666666666657</v>
      </c>
    </row>
    <row r="530" spans="1:12" x14ac:dyDescent="0.45">
      <c r="A530" s="98" t="s">
        <v>340</v>
      </c>
      <c r="B530" s="87">
        <v>334</v>
      </c>
      <c r="C530" s="98" t="s">
        <v>141</v>
      </c>
      <c r="D530" s="93">
        <v>45180</v>
      </c>
      <c r="E530" s="99">
        <v>130.51</v>
      </c>
      <c r="F530" s="100"/>
      <c r="G530" s="101">
        <v>25</v>
      </c>
      <c r="H530" s="102">
        <v>2</v>
      </c>
      <c r="I530" s="99">
        <v>5.2203999999999997</v>
      </c>
      <c r="J530" s="99">
        <v>0</v>
      </c>
      <c r="K530" s="99">
        <v>1.7401333333333469</v>
      </c>
      <c r="L530" s="103">
        <v>128.76986666666664</v>
      </c>
    </row>
    <row r="531" spans="1:12" x14ac:dyDescent="0.45">
      <c r="A531" s="98" t="s">
        <v>340</v>
      </c>
      <c r="B531" s="87">
        <v>334</v>
      </c>
      <c r="C531" s="98" t="s">
        <v>141</v>
      </c>
      <c r="D531" s="93">
        <v>45182</v>
      </c>
      <c r="E531" s="99">
        <v>25.64</v>
      </c>
      <c r="F531" s="100"/>
      <c r="G531" s="101">
        <v>25</v>
      </c>
      <c r="H531" s="102">
        <v>2</v>
      </c>
      <c r="I531" s="99">
        <v>1.0256000000000001</v>
      </c>
      <c r="J531" s="99">
        <v>0</v>
      </c>
      <c r="K531" s="99">
        <v>0.34186666666666099</v>
      </c>
      <c r="L531" s="103">
        <v>25.29813333333334</v>
      </c>
    </row>
    <row r="532" spans="1:12" x14ac:dyDescent="0.45">
      <c r="A532" s="98" t="s">
        <v>340</v>
      </c>
      <c r="B532" s="87">
        <v>334</v>
      </c>
      <c r="C532" s="98" t="s">
        <v>141</v>
      </c>
      <c r="D532" s="93">
        <v>45184</v>
      </c>
      <c r="E532" s="99">
        <v>1322.06</v>
      </c>
      <c r="F532" s="100"/>
      <c r="G532" s="101">
        <v>25</v>
      </c>
      <c r="H532" s="102">
        <v>2</v>
      </c>
      <c r="I532" s="99">
        <v>52.882399999999997</v>
      </c>
      <c r="J532" s="99">
        <v>0</v>
      </c>
      <c r="K532" s="99">
        <v>17.627466666666805</v>
      </c>
      <c r="L532" s="103">
        <v>1304.4325333333331</v>
      </c>
    </row>
    <row r="533" spans="1:12" x14ac:dyDescent="0.45">
      <c r="A533" s="98" t="s">
        <v>340</v>
      </c>
      <c r="B533" s="87">
        <v>334</v>
      </c>
      <c r="C533" s="98" t="s">
        <v>141</v>
      </c>
      <c r="D533" s="93">
        <v>45189</v>
      </c>
      <c r="E533" s="99">
        <v>19640.82</v>
      </c>
      <c r="F533" s="100"/>
      <c r="G533" s="101">
        <v>25</v>
      </c>
      <c r="H533" s="102">
        <v>2</v>
      </c>
      <c r="I533" s="99">
        <v>785.63279999999997</v>
      </c>
      <c r="J533" s="99">
        <v>0</v>
      </c>
      <c r="K533" s="99">
        <v>261.87760000000708</v>
      </c>
      <c r="L533" s="103">
        <v>19378.942399999993</v>
      </c>
    </row>
    <row r="534" spans="1:12" x14ac:dyDescent="0.45">
      <c r="A534" s="98" t="s">
        <v>340</v>
      </c>
      <c r="B534" s="87">
        <v>334</v>
      </c>
      <c r="C534" s="98" t="s">
        <v>141</v>
      </c>
      <c r="D534" s="93">
        <v>44470</v>
      </c>
      <c r="E534" s="99">
        <v>7880.7699999999995</v>
      </c>
      <c r="F534" s="100"/>
      <c r="G534" s="101">
        <v>25</v>
      </c>
      <c r="H534" s="102">
        <v>3</v>
      </c>
      <c r="I534" s="99">
        <v>315.23079999999999</v>
      </c>
      <c r="J534" s="99">
        <v>0</v>
      </c>
      <c r="K534" s="99">
        <v>709.26930000000266</v>
      </c>
      <c r="L534" s="103">
        <v>7171.5006999999969</v>
      </c>
    </row>
    <row r="535" spans="1:12" x14ac:dyDescent="0.45">
      <c r="A535" s="98" t="s">
        <v>340</v>
      </c>
      <c r="B535" s="87">
        <v>334</v>
      </c>
      <c r="C535" s="98" t="s">
        <v>141</v>
      </c>
      <c r="D535" s="93">
        <v>45203</v>
      </c>
      <c r="E535" s="99">
        <v>68</v>
      </c>
      <c r="F535" s="100"/>
      <c r="G535" s="101">
        <v>25</v>
      </c>
      <c r="H535" s="102">
        <v>1</v>
      </c>
      <c r="I535" s="99">
        <v>2.72</v>
      </c>
      <c r="J535" s="99">
        <v>0</v>
      </c>
      <c r="K535" s="99">
        <v>0.68000000000002103</v>
      </c>
      <c r="L535" s="103">
        <v>67.319999999999979</v>
      </c>
    </row>
    <row r="536" spans="1:12" x14ac:dyDescent="0.45">
      <c r="A536" s="98" t="s">
        <v>340</v>
      </c>
      <c r="B536" s="87">
        <v>334</v>
      </c>
      <c r="C536" s="98" t="s">
        <v>141</v>
      </c>
      <c r="D536" s="93">
        <v>44481</v>
      </c>
      <c r="E536" s="99">
        <v>200</v>
      </c>
      <c r="F536" s="100"/>
      <c r="G536" s="101">
        <v>25</v>
      </c>
      <c r="H536" s="102">
        <v>3</v>
      </c>
      <c r="I536" s="99">
        <v>8</v>
      </c>
      <c r="J536" s="99">
        <v>0</v>
      </c>
      <c r="K536" s="99">
        <v>17.999999999999744</v>
      </c>
      <c r="L536" s="103">
        <v>182.00000000000026</v>
      </c>
    </row>
    <row r="537" spans="1:12" x14ac:dyDescent="0.45">
      <c r="A537" s="98" t="s">
        <v>340</v>
      </c>
      <c r="B537" s="87">
        <v>334</v>
      </c>
      <c r="C537" s="98" t="s">
        <v>141</v>
      </c>
      <c r="D537" s="93">
        <v>45211</v>
      </c>
      <c r="E537" s="99">
        <v>78.260000000000005</v>
      </c>
      <c r="F537" s="100"/>
      <c r="G537" s="101">
        <v>25</v>
      </c>
      <c r="H537" s="102">
        <v>1</v>
      </c>
      <c r="I537" s="99">
        <v>3.1304000000000003</v>
      </c>
      <c r="J537" s="99">
        <v>0</v>
      </c>
      <c r="K537" s="99">
        <v>0.78260000000001639</v>
      </c>
      <c r="L537" s="103">
        <v>77.477399999999989</v>
      </c>
    </row>
    <row r="538" spans="1:12" x14ac:dyDescent="0.45">
      <c r="A538" s="98" t="s">
        <v>340</v>
      </c>
      <c r="B538" s="87">
        <v>334</v>
      </c>
      <c r="C538" s="98" t="s">
        <v>141</v>
      </c>
      <c r="D538" s="93">
        <v>44118</v>
      </c>
      <c r="E538" s="99">
        <v>760.9</v>
      </c>
      <c r="F538" s="100"/>
      <c r="G538" s="101">
        <v>25</v>
      </c>
      <c r="H538" s="102">
        <v>4</v>
      </c>
      <c r="I538" s="99">
        <v>30.436</v>
      </c>
      <c r="J538" s="99">
        <v>0</v>
      </c>
      <c r="K538" s="99">
        <v>98.917000000000485</v>
      </c>
      <c r="L538" s="103">
        <v>661.98299999999949</v>
      </c>
    </row>
    <row r="539" spans="1:12" x14ac:dyDescent="0.45">
      <c r="A539" s="98" t="s">
        <v>340</v>
      </c>
      <c r="B539" s="87">
        <v>334</v>
      </c>
      <c r="C539" s="98" t="s">
        <v>141</v>
      </c>
      <c r="D539" s="93">
        <v>44496</v>
      </c>
      <c r="E539" s="99">
        <v>1087.92</v>
      </c>
      <c r="F539" s="100"/>
      <c r="G539" s="101">
        <v>25</v>
      </c>
      <c r="H539" s="102">
        <v>3</v>
      </c>
      <c r="I539" s="99">
        <v>43.516800000000003</v>
      </c>
      <c r="J539" s="99">
        <v>0</v>
      </c>
      <c r="K539" s="99">
        <v>97.912800000001653</v>
      </c>
      <c r="L539" s="103">
        <v>990.00719999999842</v>
      </c>
    </row>
    <row r="540" spans="1:12" x14ac:dyDescent="0.45">
      <c r="A540" s="98" t="s">
        <v>340</v>
      </c>
      <c r="B540" s="87">
        <v>334</v>
      </c>
      <c r="C540" s="98" t="s">
        <v>141</v>
      </c>
      <c r="D540" s="93">
        <v>44510</v>
      </c>
      <c r="E540" s="99">
        <v>475.56</v>
      </c>
      <c r="F540" s="100"/>
      <c r="G540" s="101">
        <v>25</v>
      </c>
      <c r="H540" s="102">
        <v>3</v>
      </c>
      <c r="I540" s="99">
        <v>19.022400000000001</v>
      </c>
      <c r="J540" s="99">
        <v>0</v>
      </c>
      <c r="K540" s="99">
        <v>41.215199999999641</v>
      </c>
      <c r="L540" s="103">
        <v>434.34480000000036</v>
      </c>
    </row>
    <row r="541" spans="1:12" x14ac:dyDescent="0.45">
      <c r="A541" s="98" t="s">
        <v>340</v>
      </c>
      <c r="B541" s="87">
        <v>334</v>
      </c>
      <c r="C541" s="98" t="s">
        <v>141</v>
      </c>
      <c r="D541" s="93">
        <v>44530</v>
      </c>
      <c r="E541" s="99">
        <v>1391.36</v>
      </c>
      <c r="F541" s="100"/>
      <c r="G541" s="101">
        <v>25</v>
      </c>
      <c r="H541" s="102">
        <v>3</v>
      </c>
      <c r="I541" s="99">
        <v>55.654399999999995</v>
      </c>
      <c r="J541" s="99">
        <v>0</v>
      </c>
      <c r="K541" s="99">
        <v>120.58453333333409</v>
      </c>
      <c r="L541" s="103">
        <v>1270.7754666666658</v>
      </c>
    </row>
    <row r="542" spans="1:12" x14ac:dyDescent="0.45">
      <c r="A542" s="98" t="s">
        <v>340</v>
      </c>
      <c r="B542" s="87">
        <v>334</v>
      </c>
      <c r="C542" s="98" t="s">
        <v>141</v>
      </c>
      <c r="D542" s="93">
        <v>44547</v>
      </c>
      <c r="E542" s="99">
        <v>76.900000000000006</v>
      </c>
      <c r="F542" s="100"/>
      <c r="G542" s="101">
        <v>25</v>
      </c>
      <c r="H542" s="102">
        <v>3</v>
      </c>
      <c r="I542" s="99">
        <v>3.0760000000000001</v>
      </c>
      <c r="J542" s="99">
        <v>0</v>
      </c>
      <c r="K542" s="99">
        <v>6.4083333333332604</v>
      </c>
      <c r="L542" s="103">
        <v>70.491666666666745</v>
      </c>
    </row>
    <row r="543" spans="1:12" x14ac:dyDescent="0.45">
      <c r="A543" s="98" t="s">
        <v>340</v>
      </c>
      <c r="B543" s="87">
        <v>334</v>
      </c>
      <c r="C543" s="98" t="s">
        <v>141</v>
      </c>
      <c r="D543" s="93">
        <v>44553</v>
      </c>
      <c r="E543" s="99">
        <v>100</v>
      </c>
      <c r="F543" s="100"/>
      <c r="G543" s="101">
        <v>25</v>
      </c>
      <c r="H543" s="102">
        <v>3</v>
      </c>
      <c r="I543" s="99">
        <v>4</v>
      </c>
      <c r="J543" s="99">
        <v>0</v>
      </c>
      <c r="K543" s="99">
        <v>8.3333333333332149</v>
      </c>
      <c r="L543" s="103">
        <v>91.666666666666785</v>
      </c>
    </row>
    <row r="544" spans="1:12" x14ac:dyDescent="0.45">
      <c r="A544" s="98" t="s">
        <v>340</v>
      </c>
      <c r="B544" s="87">
        <v>335</v>
      </c>
      <c r="C544" s="98" t="s">
        <v>142</v>
      </c>
      <c r="D544" s="93">
        <v>45184</v>
      </c>
      <c r="E544" s="99">
        <v>116.55</v>
      </c>
      <c r="F544" s="100"/>
      <c r="G544" s="101">
        <v>50</v>
      </c>
      <c r="H544" s="102">
        <v>2</v>
      </c>
      <c r="I544" s="99">
        <v>2.331</v>
      </c>
      <c r="J544" s="99">
        <v>0</v>
      </c>
      <c r="K544" s="99">
        <v>0.77699999999998681</v>
      </c>
      <c r="L544" s="103">
        <v>115.77300000000001</v>
      </c>
    </row>
    <row r="545" spans="1:12" x14ac:dyDescent="0.45">
      <c r="A545" s="98" t="s">
        <v>340</v>
      </c>
      <c r="B545" s="87">
        <v>346</v>
      </c>
      <c r="C545" s="98" t="s">
        <v>511</v>
      </c>
      <c r="D545" s="93">
        <v>44165</v>
      </c>
      <c r="E545" s="99">
        <v>1431.49</v>
      </c>
      <c r="F545" s="100"/>
      <c r="G545" s="101">
        <v>10</v>
      </c>
      <c r="H545" s="102">
        <v>4</v>
      </c>
      <c r="I545" s="99">
        <v>143.149</v>
      </c>
      <c r="J545" s="99">
        <v>0</v>
      </c>
      <c r="K545" s="99">
        <v>453.30516666667017</v>
      </c>
      <c r="L545" s="103">
        <v>978.18483333332983</v>
      </c>
    </row>
    <row r="546" spans="1:12" x14ac:dyDescent="0.45">
      <c r="A546" s="98" t="s">
        <v>340</v>
      </c>
      <c r="B546" s="87">
        <v>348</v>
      </c>
      <c r="C546" s="98" t="s">
        <v>512</v>
      </c>
      <c r="D546" s="93">
        <v>44592</v>
      </c>
      <c r="E546" s="99">
        <v>28130.37</v>
      </c>
      <c r="F546" s="100"/>
      <c r="G546" s="101">
        <v>50</v>
      </c>
      <c r="H546" s="102">
        <v>3</v>
      </c>
      <c r="I546" s="99">
        <v>562.60739999999998</v>
      </c>
      <c r="J546" s="99">
        <v>0</v>
      </c>
      <c r="K546" s="99">
        <v>1078.3308499999875</v>
      </c>
      <c r="L546" s="103">
        <v>27052.039150000011</v>
      </c>
    </row>
    <row r="547" spans="1:12" x14ac:dyDescent="0.45">
      <c r="A547" s="98" t="s">
        <v>340</v>
      </c>
      <c r="B547" s="87">
        <v>334</v>
      </c>
      <c r="C547" s="98" t="s">
        <v>513</v>
      </c>
      <c r="D547" s="93">
        <v>44567</v>
      </c>
      <c r="E547" s="99">
        <v>103.46</v>
      </c>
      <c r="F547" s="100"/>
      <c r="G547" s="101">
        <v>25</v>
      </c>
      <c r="H547" s="102">
        <v>3</v>
      </c>
      <c r="I547" s="99">
        <v>4.1383999999999999</v>
      </c>
      <c r="J547" s="99">
        <v>0</v>
      </c>
      <c r="K547" s="99">
        <v>7.9319333333332054</v>
      </c>
      <c r="L547" s="103">
        <v>95.528066666666788</v>
      </c>
    </row>
    <row r="548" spans="1:12" x14ac:dyDescent="0.45">
      <c r="A548" s="98" t="s">
        <v>340</v>
      </c>
      <c r="B548" s="87">
        <v>311</v>
      </c>
      <c r="C548" s="98" t="s">
        <v>514</v>
      </c>
      <c r="D548" s="93">
        <v>44753</v>
      </c>
      <c r="E548" s="99">
        <v>3309.56</v>
      </c>
      <c r="F548" s="100"/>
      <c r="G548" s="101">
        <v>25</v>
      </c>
      <c r="H548" s="102">
        <v>3</v>
      </c>
      <c r="I548" s="99">
        <v>132.38239999999999</v>
      </c>
      <c r="J548" s="99">
        <v>0</v>
      </c>
      <c r="K548" s="99">
        <v>198.57360000000062</v>
      </c>
      <c r="L548" s="103">
        <v>3110.9863999999993</v>
      </c>
    </row>
    <row r="549" spans="1:12" x14ac:dyDescent="0.45">
      <c r="A549" s="98" t="s">
        <v>340</v>
      </c>
      <c r="B549" s="87">
        <v>304</v>
      </c>
      <c r="C549" s="98" t="s">
        <v>515</v>
      </c>
      <c r="D549" s="93">
        <v>44825</v>
      </c>
      <c r="E549" s="99">
        <v>3017.95</v>
      </c>
      <c r="F549" s="100"/>
      <c r="G549" s="101">
        <v>35</v>
      </c>
      <c r="H549" s="102">
        <v>3</v>
      </c>
      <c r="I549" s="99">
        <v>86.227142857142852</v>
      </c>
      <c r="J549" s="99">
        <v>0</v>
      </c>
      <c r="K549" s="99">
        <v>114.9695238095228</v>
      </c>
      <c r="L549" s="103">
        <v>2902.980476190477</v>
      </c>
    </row>
    <row r="550" spans="1:12" x14ac:dyDescent="0.45">
      <c r="A550" s="98" t="s">
        <v>340</v>
      </c>
      <c r="B550" s="87">
        <v>311</v>
      </c>
      <c r="C550" s="98" t="s">
        <v>516</v>
      </c>
      <c r="D550" s="93">
        <v>44883</v>
      </c>
      <c r="E550" s="99">
        <v>2908.22</v>
      </c>
      <c r="F550" s="100"/>
      <c r="G550" s="101">
        <v>25</v>
      </c>
      <c r="H550" s="102">
        <v>2</v>
      </c>
      <c r="I550" s="99">
        <v>116.32879999999999</v>
      </c>
      <c r="J550" s="99">
        <v>0</v>
      </c>
      <c r="K550" s="99">
        <v>135.71693333333042</v>
      </c>
      <c r="L550" s="103">
        <v>2772.5030666666694</v>
      </c>
    </row>
    <row r="551" spans="1:12" x14ac:dyDescent="0.45">
      <c r="A551" s="98" t="s">
        <v>340</v>
      </c>
      <c r="B551" s="87">
        <v>304</v>
      </c>
      <c r="C551" s="98" t="s">
        <v>517</v>
      </c>
      <c r="D551" s="93">
        <v>44883</v>
      </c>
      <c r="E551" s="99">
        <v>1958.4</v>
      </c>
      <c r="F551" s="100"/>
      <c r="G551" s="101">
        <v>35</v>
      </c>
      <c r="H551" s="102">
        <v>2</v>
      </c>
      <c r="I551" s="99">
        <v>55.954285714285717</v>
      </c>
      <c r="J551" s="99">
        <v>0</v>
      </c>
      <c r="K551" s="99">
        <v>65.279999999999291</v>
      </c>
      <c r="L551" s="103">
        <v>1893.1200000000008</v>
      </c>
    </row>
    <row r="552" spans="1:12" x14ac:dyDescent="0.45">
      <c r="A552" s="98" t="s">
        <v>340</v>
      </c>
      <c r="B552" s="87">
        <v>311</v>
      </c>
      <c r="C552" s="98" t="s">
        <v>518</v>
      </c>
      <c r="D552" s="93">
        <v>44985</v>
      </c>
      <c r="E552" s="99">
        <v>10279.879999999999</v>
      </c>
      <c r="F552" s="100"/>
      <c r="G552" s="101">
        <v>25</v>
      </c>
      <c r="H552" s="102">
        <v>2</v>
      </c>
      <c r="I552" s="99">
        <v>411.19519999999994</v>
      </c>
      <c r="J552" s="99">
        <v>0</v>
      </c>
      <c r="K552" s="99">
        <v>376.92893333334177</v>
      </c>
      <c r="L552" s="103">
        <v>9902.9510666666574</v>
      </c>
    </row>
    <row r="553" spans="1:12" x14ac:dyDescent="0.45">
      <c r="A553" s="98" t="s">
        <v>340</v>
      </c>
      <c r="B553" s="87">
        <v>343</v>
      </c>
      <c r="C553" s="98" t="s">
        <v>519</v>
      </c>
      <c r="D553" s="93">
        <v>45029</v>
      </c>
      <c r="E553" s="99">
        <v>1523.2</v>
      </c>
      <c r="F553" s="100"/>
      <c r="G553" s="101">
        <v>15</v>
      </c>
      <c r="H553" s="102">
        <v>2</v>
      </c>
      <c r="I553" s="99">
        <v>101.54666666666667</v>
      </c>
      <c r="J553" s="99">
        <v>0</v>
      </c>
      <c r="K553" s="99">
        <v>76.159999999999627</v>
      </c>
      <c r="L553" s="103">
        <v>1447.0400000000004</v>
      </c>
    </row>
    <row r="554" spans="1:12" x14ac:dyDescent="0.45">
      <c r="A554" s="98" t="s">
        <v>340</v>
      </c>
      <c r="B554" s="87">
        <v>343</v>
      </c>
      <c r="C554" s="98" t="s">
        <v>520</v>
      </c>
      <c r="D554" s="93">
        <v>45034</v>
      </c>
      <c r="E554" s="99">
        <v>481.03</v>
      </c>
      <c r="F554" s="100"/>
      <c r="G554" s="101">
        <v>15</v>
      </c>
      <c r="H554" s="102">
        <v>2</v>
      </c>
      <c r="I554" s="99">
        <v>32.068666666666665</v>
      </c>
      <c r="J554" s="99">
        <v>0</v>
      </c>
      <c r="K554" s="99">
        <v>24.051499999999749</v>
      </c>
      <c r="L554" s="103">
        <v>456.97850000000022</v>
      </c>
    </row>
    <row r="555" spans="1:12" x14ac:dyDescent="0.45">
      <c r="A555" s="98" t="s">
        <v>340</v>
      </c>
      <c r="B555" s="87">
        <v>304</v>
      </c>
      <c r="C555" s="98" t="s">
        <v>521</v>
      </c>
      <c r="D555" s="93">
        <v>45139</v>
      </c>
      <c r="E555" s="99">
        <v>319.81</v>
      </c>
      <c r="F555" s="100"/>
      <c r="G555" s="101">
        <v>35</v>
      </c>
      <c r="H555" s="102">
        <v>2</v>
      </c>
      <c r="I555" s="99">
        <v>9.1374285714285719</v>
      </c>
      <c r="J555" s="99">
        <v>0</v>
      </c>
      <c r="K555" s="99">
        <v>3.8072619047619582</v>
      </c>
      <c r="L555" s="103">
        <v>316.00273809523804</v>
      </c>
    </row>
    <row r="556" spans="1:12" x14ac:dyDescent="0.45">
      <c r="A556" s="98" t="s">
        <v>340</v>
      </c>
      <c r="B556" s="87">
        <v>311</v>
      </c>
      <c r="C556" s="98" t="s">
        <v>522</v>
      </c>
      <c r="D556" s="93">
        <v>45078</v>
      </c>
      <c r="E556" s="99">
        <v>3481.6</v>
      </c>
      <c r="F556" s="100"/>
      <c r="G556" s="101">
        <v>25</v>
      </c>
      <c r="H556" s="102">
        <v>2</v>
      </c>
      <c r="I556" s="99">
        <v>139.26400000000001</v>
      </c>
      <c r="J556" s="99">
        <v>0</v>
      </c>
      <c r="K556" s="99">
        <v>81.237333333333936</v>
      </c>
      <c r="L556" s="103">
        <v>3400.362666666666</v>
      </c>
    </row>
    <row r="557" spans="1:12" x14ac:dyDescent="0.45">
      <c r="A557" s="98" t="s">
        <v>340</v>
      </c>
      <c r="B557" s="87">
        <v>334</v>
      </c>
      <c r="C557" s="98" t="s">
        <v>523</v>
      </c>
      <c r="D557" s="93">
        <v>45279</v>
      </c>
      <c r="E557" s="99">
        <v>198.08</v>
      </c>
      <c r="F557" s="100"/>
      <c r="G557" s="101">
        <v>25</v>
      </c>
      <c r="H557" s="102">
        <v>1</v>
      </c>
      <c r="I557" s="99">
        <v>0</v>
      </c>
      <c r="J557" s="99">
        <v>0</v>
      </c>
      <c r="K557" s="99">
        <v>198.74026666666668</v>
      </c>
      <c r="L557" s="103">
        <v>-0.66026666666667211</v>
      </c>
    </row>
    <row r="558" spans="1:12" x14ac:dyDescent="0.45">
      <c r="A558" s="98" t="s">
        <v>340</v>
      </c>
      <c r="B558" s="87">
        <v>304</v>
      </c>
      <c r="C558" s="98" t="s">
        <v>524</v>
      </c>
      <c r="D558" s="93">
        <v>45289</v>
      </c>
      <c r="E558" s="99">
        <v>7037.56</v>
      </c>
      <c r="F558" s="100"/>
      <c r="G558" s="101">
        <v>35</v>
      </c>
      <c r="H558" s="102">
        <v>1</v>
      </c>
      <c r="I558" s="99">
        <v>0</v>
      </c>
      <c r="J558" s="99">
        <v>0</v>
      </c>
      <c r="K558" s="99">
        <v>7054.3160952380958</v>
      </c>
      <c r="L558" s="103">
        <v>-16.75609523809544</v>
      </c>
    </row>
    <row r="559" spans="1:12" x14ac:dyDescent="0.45">
      <c r="A559" s="98" t="s">
        <v>340</v>
      </c>
      <c r="B559" s="87">
        <v>304</v>
      </c>
      <c r="C559" s="98" t="s">
        <v>525</v>
      </c>
      <c r="D559" s="93">
        <v>45291</v>
      </c>
      <c r="E559" s="99">
        <v>4332.54</v>
      </c>
      <c r="F559" s="100"/>
      <c r="G559" s="101">
        <v>35</v>
      </c>
      <c r="H559" s="102">
        <v>1</v>
      </c>
      <c r="I559" s="99">
        <v>0</v>
      </c>
      <c r="J559" s="99">
        <v>0</v>
      </c>
      <c r="K559" s="99">
        <v>4342.8555714285712</v>
      </c>
      <c r="L559" s="103">
        <v>-10.315571428571275</v>
      </c>
    </row>
    <row r="560" spans="1:12" x14ac:dyDescent="0.45">
      <c r="A560" s="98" t="s">
        <v>526</v>
      </c>
      <c r="B560" s="87">
        <v>333</v>
      </c>
      <c r="C560" s="98" t="s">
        <v>527</v>
      </c>
      <c r="D560" s="93">
        <v>23012</v>
      </c>
      <c r="E560" s="99">
        <v>4100</v>
      </c>
      <c r="F560" s="100"/>
      <c r="G560" s="101">
        <v>30</v>
      </c>
      <c r="H560" s="102">
        <v>30</v>
      </c>
      <c r="I560" s="99">
        <v>0</v>
      </c>
      <c r="J560" s="99">
        <v>0</v>
      </c>
      <c r="K560" s="99">
        <v>4100</v>
      </c>
      <c r="L560" s="103">
        <v>0</v>
      </c>
    </row>
    <row r="561" spans="1:12" x14ac:dyDescent="0.45">
      <c r="A561" s="98" t="s">
        <v>526</v>
      </c>
      <c r="B561" s="87">
        <v>330</v>
      </c>
      <c r="C561" s="98" t="s">
        <v>528</v>
      </c>
      <c r="D561" s="93">
        <v>23743</v>
      </c>
      <c r="E561" s="99">
        <v>15000</v>
      </c>
      <c r="F561" s="100"/>
      <c r="G561" s="101">
        <v>50</v>
      </c>
      <c r="H561" s="102">
        <v>50</v>
      </c>
      <c r="I561" s="99">
        <v>0</v>
      </c>
      <c r="J561" s="99">
        <v>0</v>
      </c>
      <c r="K561" s="99">
        <v>15000</v>
      </c>
      <c r="L561" s="103">
        <v>0</v>
      </c>
    </row>
    <row r="562" spans="1:12" x14ac:dyDescent="0.45">
      <c r="A562" s="98" t="s">
        <v>526</v>
      </c>
      <c r="B562" s="87">
        <v>333</v>
      </c>
      <c r="C562" s="98" t="s">
        <v>529</v>
      </c>
      <c r="D562" s="93">
        <v>26665</v>
      </c>
      <c r="E562" s="99">
        <v>3900</v>
      </c>
      <c r="F562" s="100"/>
      <c r="G562" s="101">
        <v>30</v>
      </c>
      <c r="H562" s="102">
        <v>30</v>
      </c>
      <c r="I562" s="99">
        <v>0</v>
      </c>
      <c r="J562" s="99">
        <v>0</v>
      </c>
      <c r="K562" s="99">
        <v>3900</v>
      </c>
      <c r="L562" s="103">
        <v>0</v>
      </c>
    </row>
    <row r="563" spans="1:12" x14ac:dyDescent="0.45">
      <c r="A563" s="98" t="s">
        <v>526</v>
      </c>
      <c r="B563" s="87">
        <v>303</v>
      </c>
      <c r="C563" s="98" t="s">
        <v>530</v>
      </c>
      <c r="D563" s="93">
        <v>27030</v>
      </c>
      <c r="E563" s="99">
        <v>17854</v>
      </c>
      <c r="F563" s="100"/>
      <c r="G563" s="101">
        <v>0</v>
      </c>
      <c r="H563" s="102">
        <v>0</v>
      </c>
      <c r="I563" s="99">
        <v>0</v>
      </c>
      <c r="J563" s="99">
        <v>0</v>
      </c>
      <c r="K563" s="99">
        <v>0</v>
      </c>
      <c r="L563" s="103">
        <v>17854</v>
      </c>
    </row>
    <row r="564" spans="1:12" x14ac:dyDescent="0.45">
      <c r="A564" s="98" t="s">
        <v>526</v>
      </c>
      <c r="B564" s="87">
        <v>330</v>
      </c>
      <c r="C564" s="98" t="s">
        <v>531</v>
      </c>
      <c r="D564" s="93">
        <v>27395</v>
      </c>
      <c r="E564" s="99">
        <v>15000</v>
      </c>
      <c r="F564" s="100"/>
      <c r="G564" s="101">
        <v>50</v>
      </c>
      <c r="H564" s="102">
        <v>50</v>
      </c>
      <c r="I564" s="99">
        <v>0</v>
      </c>
      <c r="J564" s="99">
        <v>0</v>
      </c>
      <c r="K564" s="99">
        <v>14706.575342465752</v>
      </c>
      <c r="L564" s="103">
        <v>293.42465753424767</v>
      </c>
    </row>
    <row r="565" spans="1:12" x14ac:dyDescent="0.45">
      <c r="A565" s="98" t="s">
        <v>526</v>
      </c>
      <c r="B565" s="87">
        <v>330</v>
      </c>
      <c r="C565" s="98" t="s">
        <v>532</v>
      </c>
      <c r="D565" s="93">
        <v>27395</v>
      </c>
      <c r="E565" s="99">
        <v>15000</v>
      </c>
      <c r="F565" s="100"/>
      <c r="G565" s="101">
        <v>50</v>
      </c>
      <c r="H565" s="102">
        <v>50</v>
      </c>
      <c r="I565" s="99">
        <v>0</v>
      </c>
      <c r="J565" s="99">
        <v>0</v>
      </c>
      <c r="K565" s="99">
        <v>14706.575342465752</v>
      </c>
      <c r="L565" s="103">
        <v>293.42465753424767</v>
      </c>
    </row>
    <row r="566" spans="1:12" x14ac:dyDescent="0.45">
      <c r="A566" s="98" t="s">
        <v>526</v>
      </c>
      <c r="B566" s="87">
        <v>304</v>
      </c>
      <c r="C566" s="98" t="s">
        <v>533</v>
      </c>
      <c r="D566" s="93">
        <v>27395</v>
      </c>
      <c r="E566" s="99">
        <v>1480</v>
      </c>
      <c r="F566" s="100"/>
      <c r="G566" s="101">
        <v>35</v>
      </c>
      <c r="H566" s="102">
        <v>35</v>
      </c>
      <c r="I566" s="99">
        <v>0</v>
      </c>
      <c r="J566" s="99">
        <v>0</v>
      </c>
      <c r="K566" s="99">
        <v>1480</v>
      </c>
      <c r="L566" s="103">
        <v>0</v>
      </c>
    </row>
    <row r="567" spans="1:12" x14ac:dyDescent="0.45">
      <c r="A567" s="98" t="s">
        <v>526</v>
      </c>
      <c r="B567" s="87">
        <v>330</v>
      </c>
      <c r="C567" s="98" t="s">
        <v>534</v>
      </c>
      <c r="D567" s="93">
        <v>27395</v>
      </c>
      <c r="E567" s="99">
        <v>21000</v>
      </c>
      <c r="F567" s="100"/>
      <c r="G567" s="101">
        <v>50</v>
      </c>
      <c r="H567" s="102">
        <v>50</v>
      </c>
      <c r="I567" s="99">
        <v>0</v>
      </c>
      <c r="J567" s="99">
        <v>0</v>
      </c>
      <c r="K567" s="99">
        <v>20589.205479452052</v>
      </c>
      <c r="L567" s="103">
        <v>410.7945205479482</v>
      </c>
    </row>
    <row r="568" spans="1:12" x14ac:dyDescent="0.45">
      <c r="A568" s="98" t="s">
        <v>526</v>
      </c>
      <c r="B568" s="87">
        <v>330</v>
      </c>
      <c r="C568" s="98" t="s">
        <v>535</v>
      </c>
      <c r="D568" s="93">
        <v>27395</v>
      </c>
      <c r="E568" s="99">
        <v>32400</v>
      </c>
      <c r="F568" s="100"/>
      <c r="G568" s="101">
        <v>50</v>
      </c>
      <c r="H568" s="102">
        <v>50</v>
      </c>
      <c r="I568" s="99">
        <v>0</v>
      </c>
      <c r="J568" s="99">
        <v>0</v>
      </c>
      <c r="K568" s="99">
        <v>31766.202739726028</v>
      </c>
      <c r="L568" s="103">
        <v>633.79726027397192</v>
      </c>
    </row>
    <row r="569" spans="1:12" x14ac:dyDescent="0.45">
      <c r="A569" s="98" t="s">
        <v>526</v>
      </c>
      <c r="B569" s="87">
        <v>330</v>
      </c>
      <c r="C569" s="98" t="s">
        <v>536</v>
      </c>
      <c r="D569" s="93">
        <v>27395</v>
      </c>
      <c r="E569" s="99">
        <v>10800</v>
      </c>
      <c r="F569" s="100"/>
      <c r="G569" s="101">
        <v>50</v>
      </c>
      <c r="H569" s="102">
        <v>50</v>
      </c>
      <c r="I569" s="99">
        <v>0</v>
      </c>
      <c r="J569" s="99">
        <v>0</v>
      </c>
      <c r="K569" s="99">
        <v>10588.734246575343</v>
      </c>
      <c r="L569" s="103">
        <v>211.26575342465731</v>
      </c>
    </row>
    <row r="570" spans="1:12" x14ac:dyDescent="0.45">
      <c r="A570" s="98" t="s">
        <v>526</v>
      </c>
      <c r="B570" s="87">
        <v>330</v>
      </c>
      <c r="C570" s="98" t="s">
        <v>537</v>
      </c>
      <c r="D570" s="93">
        <v>27395</v>
      </c>
      <c r="E570" s="99">
        <v>600</v>
      </c>
      <c r="F570" s="100"/>
      <c r="G570" s="101">
        <v>50</v>
      </c>
      <c r="H570" s="102">
        <v>50</v>
      </c>
      <c r="I570" s="99">
        <v>0</v>
      </c>
      <c r="J570" s="99">
        <v>0</v>
      </c>
      <c r="K570" s="99">
        <v>588.26301369863017</v>
      </c>
      <c r="L570" s="103">
        <v>11.736986301369825</v>
      </c>
    </row>
    <row r="571" spans="1:12" x14ac:dyDescent="0.45">
      <c r="A571" s="98" t="s">
        <v>526</v>
      </c>
      <c r="B571" s="87">
        <v>330</v>
      </c>
      <c r="C571" s="98" t="s">
        <v>538</v>
      </c>
      <c r="D571" s="93">
        <v>27395</v>
      </c>
      <c r="E571" s="99">
        <v>1000</v>
      </c>
      <c r="F571" s="100"/>
      <c r="G571" s="101">
        <v>50</v>
      </c>
      <c r="H571" s="102">
        <v>50</v>
      </c>
      <c r="I571" s="99">
        <v>0</v>
      </c>
      <c r="J571" s="99">
        <v>0</v>
      </c>
      <c r="K571" s="99">
        <v>980.43835616438378</v>
      </c>
      <c r="L571" s="103">
        <v>19.561643835616223</v>
      </c>
    </row>
    <row r="572" spans="1:12" x14ac:dyDescent="0.45">
      <c r="A572" s="98" t="s">
        <v>526</v>
      </c>
      <c r="B572" s="87">
        <v>330</v>
      </c>
      <c r="C572" s="98" t="s">
        <v>539</v>
      </c>
      <c r="D572" s="93">
        <v>27395</v>
      </c>
      <c r="E572" s="99">
        <v>600</v>
      </c>
      <c r="F572" s="100"/>
      <c r="G572" s="101">
        <v>50</v>
      </c>
      <c r="H572" s="102">
        <v>50</v>
      </c>
      <c r="I572" s="99">
        <v>0</v>
      </c>
      <c r="J572" s="99">
        <v>0</v>
      </c>
      <c r="K572" s="99">
        <v>588.26301369863017</v>
      </c>
      <c r="L572" s="103">
        <v>11.736986301369825</v>
      </c>
    </row>
    <row r="573" spans="1:12" x14ac:dyDescent="0.45">
      <c r="A573" s="98" t="s">
        <v>526</v>
      </c>
      <c r="B573" s="87">
        <v>330</v>
      </c>
      <c r="C573" s="98" t="s">
        <v>540</v>
      </c>
      <c r="D573" s="93">
        <v>27395</v>
      </c>
      <c r="E573" s="99">
        <v>300</v>
      </c>
      <c r="F573" s="100"/>
      <c r="G573" s="101">
        <v>50</v>
      </c>
      <c r="H573" s="102">
        <v>50</v>
      </c>
      <c r="I573" s="99">
        <v>0</v>
      </c>
      <c r="J573" s="99">
        <v>0</v>
      </c>
      <c r="K573" s="99">
        <v>294.13150684931509</v>
      </c>
      <c r="L573" s="103">
        <v>5.8684931506849125</v>
      </c>
    </row>
    <row r="574" spans="1:12" x14ac:dyDescent="0.45">
      <c r="A574" s="98" t="s">
        <v>526</v>
      </c>
      <c r="B574" s="87">
        <v>333</v>
      </c>
      <c r="C574" s="98" t="s">
        <v>541</v>
      </c>
      <c r="D574" s="93">
        <v>27395</v>
      </c>
      <c r="E574" s="99">
        <v>4720</v>
      </c>
      <c r="F574" s="100"/>
      <c r="G574" s="101">
        <v>30</v>
      </c>
      <c r="H574" s="102">
        <v>30</v>
      </c>
      <c r="I574" s="99">
        <v>0</v>
      </c>
      <c r="J574" s="99">
        <v>0</v>
      </c>
      <c r="K574" s="99">
        <v>4720</v>
      </c>
      <c r="L574" s="103">
        <v>0</v>
      </c>
    </row>
    <row r="575" spans="1:12" x14ac:dyDescent="0.45">
      <c r="A575" s="98" t="s">
        <v>526</v>
      </c>
      <c r="B575" s="87">
        <v>333</v>
      </c>
      <c r="C575" s="98" t="s">
        <v>542</v>
      </c>
      <c r="D575" s="93">
        <v>27395</v>
      </c>
      <c r="E575" s="99">
        <v>3670</v>
      </c>
      <c r="F575" s="100"/>
      <c r="G575" s="101">
        <v>30</v>
      </c>
      <c r="H575" s="102">
        <v>30</v>
      </c>
      <c r="I575" s="99">
        <v>0</v>
      </c>
      <c r="J575" s="99">
        <v>0</v>
      </c>
      <c r="K575" s="99">
        <v>3670</v>
      </c>
      <c r="L575" s="103">
        <v>0</v>
      </c>
    </row>
    <row r="576" spans="1:12" x14ac:dyDescent="0.45">
      <c r="A576" s="98" t="s">
        <v>526</v>
      </c>
      <c r="B576" s="87">
        <v>330</v>
      </c>
      <c r="C576" s="98" t="s">
        <v>543</v>
      </c>
      <c r="D576" s="93">
        <v>27760</v>
      </c>
      <c r="E576" s="99">
        <v>309600</v>
      </c>
      <c r="F576" s="100"/>
      <c r="G576" s="101">
        <v>50</v>
      </c>
      <c r="H576" s="102">
        <v>49</v>
      </c>
      <c r="I576" s="99">
        <v>6192</v>
      </c>
      <c r="J576" s="99">
        <v>0</v>
      </c>
      <c r="K576" s="99">
        <v>297351.71506849315</v>
      </c>
      <c r="L576" s="103">
        <v>12248.284931506845</v>
      </c>
    </row>
    <row r="577" spans="1:12" x14ac:dyDescent="0.45">
      <c r="A577" s="98" t="s">
        <v>526</v>
      </c>
      <c r="B577" s="87">
        <v>333</v>
      </c>
      <c r="C577" s="98" t="s">
        <v>544</v>
      </c>
      <c r="D577" s="93">
        <v>28126</v>
      </c>
      <c r="E577" s="99">
        <v>5214</v>
      </c>
      <c r="F577" s="100"/>
      <c r="G577" s="101">
        <v>30</v>
      </c>
      <c r="H577" s="102">
        <v>30</v>
      </c>
      <c r="I577" s="99">
        <v>0</v>
      </c>
      <c r="J577" s="99">
        <v>0</v>
      </c>
      <c r="K577" s="99">
        <v>5214</v>
      </c>
      <c r="L577" s="103">
        <v>0</v>
      </c>
    </row>
    <row r="578" spans="1:12" x14ac:dyDescent="0.45">
      <c r="A578" s="98" t="s">
        <v>526</v>
      </c>
      <c r="B578" s="87">
        <v>303</v>
      </c>
      <c r="C578" s="98" t="s">
        <v>545</v>
      </c>
      <c r="D578" s="93">
        <v>28491</v>
      </c>
      <c r="E578" s="99">
        <v>980</v>
      </c>
      <c r="F578" s="100"/>
      <c r="G578" s="101">
        <v>0</v>
      </c>
      <c r="H578" s="102">
        <v>0</v>
      </c>
      <c r="I578" s="99">
        <v>0</v>
      </c>
      <c r="J578" s="99">
        <v>0</v>
      </c>
      <c r="K578" s="99">
        <v>0</v>
      </c>
      <c r="L578" s="103">
        <v>980</v>
      </c>
    </row>
    <row r="579" spans="1:12" x14ac:dyDescent="0.45">
      <c r="A579" s="98" t="s">
        <v>526</v>
      </c>
      <c r="B579" s="87">
        <v>333</v>
      </c>
      <c r="C579" s="98" t="s">
        <v>546</v>
      </c>
      <c r="D579" s="93">
        <v>28491</v>
      </c>
      <c r="E579" s="99">
        <v>2649</v>
      </c>
      <c r="F579" s="100"/>
      <c r="G579" s="101">
        <v>30</v>
      </c>
      <c r="H579" s="102">
        <v>30</v>
      </c>
      <c r="I579" s="99">
        <v>0</v>
      </c>
      <c r="J579" s="99">
        <v>0</v>
      </c>
      <c r="K579" s="99">
        <v>2649</v>
      </c>
      <c r="L579" s="103">
        <v>0</v>
      </c>
    </row>
    <row r="580" spans="1:12" x14ac:dyDescent="0.45">
      <c r="A580" s="98" t="s">
        <v>526</v>
      </c>
      <c r="B580" s="87">
        <v>333</v>
      </c>
      <c r="C580" s="98" t="s">
        <v>547</v>
      </c>
      <c r="D580" s="93">
        <v>28491</v>
      </c>
      <c r="E580" s="99">
        <v>3210</v>
      </c>
      <c r="F580" s="100"/>
      <c r="G580" s="101">
        <v>30</v>
      </c>
      <c r="H580" s="102">
        <v>30</v>
      </c>
      <c r="I580" s="99">
        <v>0</v>
      </c>
      <c r="J580" s="99">
        <v>0</v>
      </c>
      <c r="K580" s="99">
        <v>3210</v>
      </c>
      <c r="L580" s="103">
        <v>0</v>
      </c>
    </row>
    <row r="581" spans="1:12" x14ac:dyDescent="0.45">
      <c r="A581" s="98" t="s">
        <v>526</v>
      </c>
      <c r="B581" s="87">
        <v>303</v>
      </c>
      <c r="C581" s="98" t="s">
        <v>548</v>
      </c>
      <c r="D581" s="93">
        <v>28856</v>
      </c>
      <c r="E581" s="99">
        <v>3672</v>
      </c>
      <c r="F581" s="100"/>
      <c r="G581" s="101">
        <v>0</v>
      </c>
      <c r="H581" s="102">
        <v>0</v>
      </c>
      <c r="I581" s="99">
        <v>0</v>
      </c>
      <c r="J581" s="99">
        <v>0</v>
      </c>
      <c r="K581" s="99">
        <v>0</v>
      </c>
      <c r="L581" s="103">
        <v>3672</v>
      </c>
    </row>
    <row r="582" spans="1:12" x14ac:dyDescent="0.45">
      <c r="A582" s="98" t="s">
        <v>526</v>
      </c>
      <c r="B582" s="87">
        <v>333</v>
      </c>
      <c r="C582" s="98" t="s">
        <v>549</v>
      </c>
      <c r="D582" s="93">
        <v>28856</v>
      </c>
      <c r="E582" s="99">
        <v>5032</v>
      </c>
      <c r="F582" s="100"/>
      <c r="G582" s="101">
        <v>30</v>
      </c>
      <c r="H582" s="102">
        <v>30</v>
      </c>
      <c r="I582" s="99">
        <v>0</v>
      </c>
      <c r="J582" s="99">
        <v>0</v>
      </c>
      <c r="K582" s="99">
        <v>5032</v>
      </c>
      <c r="L582" s="103">
        <v>0</v>
      </c>
    </row>
    <row r="583" spans="1:12" x14ac:dyDescent="0.45">
      <c r="A583" s="98" t="s">
        <v>526</v>
      </c>
      <c r="B583" s="87">
        <v>304</v>
      </c>
      <c r="C583" s="98" t="s">
        <v>550</v>
      </c>
      <c r="D583" s="93">
        <v>29221</v>
      </c>
      <c r="E583" s="99">
        <v>4400</v>
      </c>
      <c r="F583" s="100"/>
      <c r="G583" s="101">
        <v>35</v>
      </c>
      <c r="H583" s="102">
        <v>35</v>
      </c>
      <c r="I583" s="99">
        <v>0</v>
      </c>
      <c r="J583" s="99">
        <v>0</v>
      </c>
      <c r="K583" s="99">
        <v>4400</v>
      </c>
      <c r="L583" s="103">
        <v>0</v>
      </c>
    </row>
    <row r="584" spans="1:12" x14ac:dyDescent="0.45">
      <c r="A584" s="98" t="s">
        <v>526</v>
      </c>
      <c r="B584" s="87">
        <v>330</v>
      </c>
      <c r="C584" s="98" t="s">
        <v>551</v>
      </c>
      <c r="D584" s="93">
        <v>29221</v>
      </c>
      <c r="E584" s="99">
        <v>146500</v>
      </c>
      <c r="F584" s="100"/>
      <c r="G584" s="101">
        <v>50</v>
      </c>
      <c r="H584" s="102">
        <v>45</v>
      </c>
      <c r="I584" s="99">
        <v>2930</v>
      </c>
      <c r="J584" s="99">
        <v>0</v>
      </c>
      <c r="K584" s="99">
        <v>128976.19178082199</v>
      </c>
      <c r="L584" s="103">
        <v>17523.808219178012</v>
      </c>
    </row>
    <row r="585" spans="1:12" x14ac:dyDescent="0.45">
      <c r="A585" s="98" t="s">
        <v>526</v>
      </c>
      <c r="B585" s="87">
        <v>330</v>
      </c>
      <c r="C585" s="98" t="s">
        <v>552</v>
      </c>
      <c r="D585" s="93">
        <v>29221</v>
      </c>
      <c r="E585" s="99">
        <v>4400</v>
      </c>
      <c r="F585" s="100"/>
      <c r="G585" s="101">
        <v>50</v>
      </c>
      <c r="H585" s="102">
        <v>45</v>
      </c>
      <c r="I585" s="99">
        <v>88</v>
      </c>
      <c r="J585" s="99">
        <v>0</v>
      </c>
      <c r="K585" s="99">
        <v>3873.687671232879</v>
      </c>
      <c r="L585" s="103">
        <v>526.31232876712102</v>
      </c>
    </row>
    <row r="586" spans="1:12" x14ac:dyDescent="0.45">
      <c r="A586" s="98" t="s">
        <v>526</v>
      </c>
      <c r="B586" s="87">
        <v>330</v>
      </c>
      <c r="C586" s="98" t="s">
        <v>553</v>
      </c>
      <c r="D586" s="93">
        <v>29221</v>
      </c>
      <c r="E586" s="99">
        <v>2640</v>
      </c>
      <c r="F586" s="100"/>
      <c r="G586" s="101">
        <v>50</v>
      </c>
      <c r="H586" s="102">
        <v>45</v>
      </c>
      <c r="I586" s="99">
        <v>52.8</v>
      </c>
      <c r="J586" s="99">
        <v>0</v>
      </c>
      <c r="K586" s="99">
        <v>2324.2126027397244</v>
      </c>
      <c r="L586" s="103">
        <v>315.78739726027561</v>
      </c>
    </row>
    <row r="587" spans="1:12" x14ac:dyDescent="0.45">
      <c r="A587" s="98" t="s">
        <v>526</v>
      </c>
      <c r="B587" s="87">
        <v>330</v>
      </c>
      <c r="C587" s="98" t="s">
        <v>554</v>
      </c>
      <c r="D587" s="93">
        <v>29221</v>
      </c>
      <c r="E587" s="99">
        <v>2400</v>
      </c>
      <c r="F587" s="100"/>
      <c r="G587" s="101">
        <v>50</v>
      </c>
      <c r="H587" s="102">
        <v>45</v>
      </c>
      <c r="I587" s="99">
        <v>48</v>
      </c>
      <c r="J587" s="99">
        <v>0</v>
      </c>
      <c r="K587" s="99">
        <v>2112.9205479452057</v>
      </c>
      <c r="L587" s="103">
        <v>287.07945205479427</v>
      </c>
    </row>
    <row r="588" spans="1:12" x14ac:dyDescent="0.45">
      <c r="A588" s="98" t="s">
        <v>526</v>
      </c>
      <c r="B588" s="87">
        <v>330</v>
      </c>
      <c r="C588" s="98" t="s">
        <v>555</v>
      </c>
      <c r="D588" s="93">
        <v>29221</v>
      </c>
      <c r="E588" s="99">
        <v>720</v>
      </c>
      <c r="F588" s="100"/>
      <c r="G588" s="101">
        <v>50</v>
      </c>
      <c r="H588" s="102">
        <v>45</v>
      </c>
      <c r="I588" s="99">
        <v>14.4</v>
      </c>
      <c r="J588" s="99">
        <v>0</v>
      </c>
      <c r="K588" s="99">
        <v>633.87616438356144</v>
      </c>
      <c r="L588" s="103">
        <v>86.123835616438555</v>
      </c>
    </row>
    <row r="589" spans="1:12" x14ac:dyDescent="0.45">
      <c r="A589" s="98" t="s">
        <v>526</v>
      </c>
      <c r="B589" s="87">
        <v>330</v>
      </c>
      <c r="C589" s="98" t="s">
        <v>556</v>
      </c>
      <c r="D589" s="93">
        <v>29221</v>
      </c>
      <c r="E589" s="99">
        <v>9450</v>
      </c>
      <c r="F589" s="100"/>
      <c r="G589" s="101">
        <v>50</v>
      </c>
      <c r="H589" s="102">
        <v>45</v>
      </c>
      <c r="I589" s="99">
        <v>189</v>
      </c>
      <c r="J589" s="99">
        <v>0</v>
      </c>
      <c r="K589" s="99">
        <v>8319.6246575342466</v>
      </c>
      <c r="L589" s="103">
        <v>1130.3753424657534</v>
      </c>
    </row>
    <row r="590" spans="1:12" x14ac:dyDescent="0.45">
      <c r="A590" s="98" t="s">
        <v>526</v>
      </c>
      <c r="B590" s="87">
        <v>330</v>
      </c>
      <c r="C590" s="98" t="s">
        <v>557</v>
      </c>
      <c r="D590" s="93">
        <v>29221</v>
      </c>
      <c r="E590" s="99">
        <v>4750</v>
      </c>
      <c r="F590" s="100"/>
      <c r="G590" s="101">
        <v>50</v>
      </c>
      <c r="H590" s="102">
        <v>45</v>
      </c>
      <c r="I590" s="99">
        <v>95</v>
      </c>
      <c r="J590" s="99">
        <v>0</v>
      </c>
      <c r="K590" s="99">
        <v>4181.8219178082181</v>
      </c>
      <c r="L590" s="103">
        <v>568.17808219178187</v>
      </c>
    </row>
    <row r="591" spans="1:12" x14ac:dyDescent="0.45">
      <c r="A591" s="98" t="s">
        <v>526</v>
      </c>
      <c r="B591" s="87">
        <v>333</v>
      </c>
      <c r="C591" s="98" t="s">
        <v>558</v>
      </c>
      <c r="D591" s="93">
        <v>29221</v>
      </c>
      <c r="E591" s="99">
        <v>2260</v>
      </c>
      <c r="F591" s="100"/>
      <c r="G591" s="101">
        <v>30</v>
      </c>
      <c r="H591" s="102">
        <v>30</v>
      </c>
      <c r="I591" s="99">
        <v>0</v>
      </c>
      <c r="J591" s="99">
        <v>0</v>
      </c>
      <c r="K591" s="99">
        <v>2260</v>
      </c>
      <c r="L591" s="103">
        <v>0</v>
      </c>
    </row>
    <row r="592" spans="1:12" x14ac:dyDescent="0.45">
      <c r="A592" s="98" t="s">
        <v>526</v>
      </c>
      <c r="B592" s="87">
        <v>330</v>
      </c>
      <c r="C592" s="98" t="s">
        <v>559</v>
      </c>
      <c r="D592" s="93">
        <v>29587</v>
      </c>
      <c r="E592" s="99">
        <v>14600</v>
      </c>
      <c r="F592" s="100"/>
      <c r="G592" s="101">
        <v>50</v>
      </c>
      <c r="H592" s="102">
        <v>44</v>
      </c>
      <c r="I592" s="99">
        <v>292</v>
      </c>
      <c r="J592" s="99">
        <v>0</v>
      </c>
      <c r="K592" s="99">
        <v>12560.80000000001</v>
      </c>
      <c r="L592" s="103">
        <v>2039.1999999999898</v>
      </c>
    </row>
    <row r="593" spans="1:12" x14ac:dyDescent="0.45">
      <c r="A593" s="98" t="s">
        <v>526</v>
      </c>
      <c r="B593" s="87">
        <v>330</v>
      </c>
      <c r="C593" s="98" t="s">
        <v>560</v>
      </c>
      <c r="D593" s="93">
        <v>29952</v>
      </c>
      <c r="E593" s="99">
        <v>15000</v>
      </c>
      <c r="F593" s="100"/>
      <c r="G593" s="101">
        <v>50</v>
      </c>
      <c r="H593" s="102">
        <v>43</v>
      </c>
      <c r="I593" s="99">
        <v>300</v>
      </c>
      <c r="J593" s="99">
        <v>0</v>
      </c>
      <c r="K593" s="99">
        <v>12604.931506849314</v>
      </c>
      <c r="L593" s="103">
        <v>2395.0684931506858</v>
      </c>
    </row>
    <row r="594" spans="1:12" x14ac:dyDescent="0.45">
      <c r="A594" s="98" t="s">
        <v>526</v>
      </c>
      <c r="B594" s="87">
        <v>304</v>
      </c>
      <c r="C594" s="98" t="s">
        <v>561</v>
      </c>
      <c r="D594" s="93">
        <v>29952</v>
      </c>
      <c r="E594" s="99">
        <v>2230</v>
      </c>
      <c r="F594" s="100"/>
      <c r="G594" s="101">
        <v>35</v>
      </c>
      <c r="H594" s="102">
        <v>35</v>
      </c>
      <c r="I594" s="99">
        <v>0</v>
      </c>
      <c r="J594" s="99">
        <v>0</v>
      </c>
      <c r="K594" s="99">
        <v>2230</v>
      </c>
      <c r="L594" s="103">
        <v>0</v>
      </c>
    </row>
    <row r="595" spans="1:12" x14ac:dyDescent="0.45">
      <c r="A595" s="98" t="s">
        <v>526</v>
      </c>
      <c r="B595" s="87">
        <v>330</v>
      </c>
      <c r="C595" s="98" t="s">
        <v>562</v>
      </c>
      <c r="D595" s="93">
        <v>30682</v>
      </c>
      <c r="E595" s="99">
        <v>39200</v>
      </c>
      <c r="F595" s="100"/>
      <c r="G595" s="101">
        <v>50</v>
      </c>
      <c r="H595" s="102">
        <v>41</v>
      </c>
      <c r="I595" s="99">
        <v>784</v>
      </c>
      <c r="J595" s="99">
        <v>0</v>
      </c>
      <c r="K595" s="99">
        <v>31372.887671232911</v>
      </c>
      <c r="L595" s="103">
        <v>7827.1123287670889</v>
      </c>
    </row>
    <row r="596" spans="1:12" x14ac:dyDescent="0.45">
      <c r="A596" s="98" t="s">
        <v>526</v>
      </c>
      <c r="B596" s="87">
        <v>330</v>
      </c>
      <c r="C596" s="98" t="s">
        <v>563</v>
      </c>
      <c r="D596" s="93">
        <v>30682</v>
      </c>
      <c r="E596" s="99">
        <v>20400</v>
      </c>
      <c r="F596" s="100"/>
      <c r="G596" s="101">
        <v>50</v>
      </c>
      <c r="H596" s="102">
        <v>41</v>
      </c>
      <c r="I596" s="99">
        <v>408</v>
      </c>
      <c r="J596" s="99">
        <v>0</v>
      </c>
      <c r="K596" s="99">
        <v>16326.706849315069</v>
      </c>
      <c r="L596" s="103">
        <v>4073.2931506849309</v>
      </c>
    </row>
    <row r="597" spans="1:12" x14ac:dyDescent="0.45">
      <c r="A597" s="98" t="s">
        <v>526</v>
      </c>
      <c r="B597" s="87">
        <v>330</v>
      </c>
      <c r="C597" s="98" t="s">
        <v>564</v>
      </c>
      <c r="D597" s="93">
        <v>30682</v>
      </c>
      <c r="E597" s="99">
        <v>27000</v>
      </c>
      <c r="F597" s="100"/>
      <c r="G597" s="101">
        <v>50</v>
      </c>
      <c r="H597" s="102">
        <v>41</v>
      </c>
      <c r="I597" s="99">
        <v>540</v>
      </c>
      <c r="J597" s="99">
        <v>0</v>
      </c>
      <c r="K597" s="99">
        <v>21608.876712328769</v>
      </c>
      <c r="L597" s="103">
        <v>5391.1232876712311</v>
      </c>
    </row>
    <row r="598" spans="1:12" x14ac:dyDescent="0.45">
      <c r="A598" s="98" t="s">
        <v>526</v>
      </c>
      <c r="B598" s="87">
        <v>330</v>
      </c>
      <c r="C598" s="98" t="s">
        <v>565</v>
      </c>
      <c r="D598" s="93">
        <v>30682</v>
      </c>
      <c r="E598" s="99">
        <v>1500</v>
      </c>
      <c r="F598" s="100"/>
      <c r="G598" s="101">
        <v>50</v>
      </c>
      <c r="H598" s="102">
        <v>41</v>
      </c>
      <c r="I598" s="99">
        <v>30</v>
      </c>
      <c r="J598" s="99">
        <v>0</v>
      </c>
      <c r="K598" s="99">
        <v>1200.4931506849316</v>
      </c>
      <c r="L598" s="103">
        <v>299.50684931506839</v>
      </c>
    </row>
    <row r="599" spans="1:12" x14ac:dyDescent="0.45">
      <c r="A599" s="98" t="s">
        <v>526</v>
      </c>
      <c r="B599" s="87">
        <v>333</v>
      </c>
      <c r="C599" s="98" t="s">
        <v>566</v>
      </c>
      <c r="D599" s="93">
        <v>30682</v>
      </c>
      <c r="E599" s="99">
        <v>5760</v>
      </c>
      <c r="F599" s="100"/>
      <c r="G599" s="101">
        <v>30</v>
      </c>
      <c r="H599" s="102">
        <v>30</v>
      </c>
      <c r="I599" s="99">
        <v>0</v>
      </c>
      <c r="J599" s="99">
        <v>0</v>
      </c>
      <c r="K599" s="99">
        <v>5760</v>
      </c>
      <c r="L599" s="103">
        <v>0</v>
      </c>
    </row>
    <row r="600" spans="1:12" x14ac:dyDescent="0.45">
      <c r="A600" s="98" t="s">
        <v>526</v>
      </c>
      <c r="B600" s="87">
        <v>333</v>
      </c>
      <c r="C600" s="98" t="s">
        <v>567</v>
      </c>
      <c r="D600" s="93">
        <v>30682</v>
      </c>
      <c r="E600" s="99">
        <v>3600</v>
      </c>
      <c r="F600" s="100"/>
      <c r="G600" s="101">
        <v>30</v>
      </c>
      <c r="H600" s="102">
        <v>30</v>
      </c>
      <c r="I600" s="99">
        <v>0</v>
      </c>
      <c r="J600" s="99">
        <v>0</v>
      </c>
      <c r="K600" s="99">
        <v>3600</v>
      </c>
      <c r="L600" s="103">
        <v>0</v>
      </c>
    </row>
    <row r="601" spans="1:12" x14ac:dyDescent="0.45">
      <c r="A601" s="98" t="s">
        <v>526</v>
      </c>
      <c r="B601" s="87">
        <v>330</v>
      </c>
      <c r="C601" s="98" t="s">
        <v>531</v>
      </c>
      <c r="D601" s="93">
        <v>31048</v>
      </c>
      <c r="E601" s="99">
        <v>20000</v>
      </c>
      <c r="F601" s="100"/>
      <c r="G601" s="101">
        <v>50</v>
      </c>
      <c r="H601" s="102">
        <v>40</v>
      </c>
      <c r="I601" s="99">
        <v>400</v>
      </c>
      <c r="J601" s="99">
        <v>0</v>
      </c>
      <c r="K601" s="99">
        <v>15605.479452054777</v>
      </c>
      <c r="L601" s="103">
        <v>4394.5205479452234</v>
      </c>
    </row>
    <row r="602" spans="1:12" x14ac:dyDescent="0.45">
      <c r="A602" s="98" t="s">
        <v>526</v>
      </c>
      <c r="B602" s="87">
        <v>303</v>
      </c>
      <c r="C602" s="98" t="s">
        <v>568</v>
      </c>
      <c r="D602" s="93">
        <v>31048</v>
      </c>
      <c r="E602" s="99">
        <v>2884</v>
      </c>
      <c r="F602" s="100"/>
      <c r="G602" s="101">
        <v>0</v>
      </c>
      <c r="H602" s="102">
        <v>0</v>
      </c>
      <c r="I602" s="99">
        <v>0</v>
      </c>
      <c r="J602" s="99">
        <v>0</v>
      </c>
      <c r="K602" s="99">
        <v>0</v>
      </c>
      <c r="L602" s="103">
        <v>2884</v>
      </c>
    </row>
    <row r="603" spans="1:12" x14ac:dyDescent="0.45">
      <c r="A603" s="98" t="s">
        <v>526</v>
      </c>
      <c r="B603" s="87">
        <v>330</v>
      </c>
      <c r="C603" s="98" t="s">
        <v>569</v>
      </c>
      <c r="D603" s="93">
        <v>31048</v>
      </c>
      <c r="E603" s="99">
        <v>10400</v>
      </c>
      <c r="F603" s="100"/>
      <c r="G603" s="101">
        <v>50</v>
      </c>
      <c r="H603" s="102">
        <v>40</v>
      </c>
      <c r="I603" s="99">
        <v>208</v>
      </c>
      <c r="J603" s="99">
        <v>0</v>
      </c>
      <c r="K603" s="99">
        <v>8114.8493150685008</v>
      </c>
      <c r="L603" s="103">
        <v>2285.1506849314992</v>
      </c>
    </row>
    <row r="604" spans="1:12" x14ac:dyDescent="0.45">
      <c r="A604" s="98" t="s">
        <v>526</v>
      </c>
      <c r="B604" s="87">
        <v>333</v>
      </c>
      <c r="C604" s="98" t="s">
        <v>570</v>
      </c>
      <c r="D604" s="93">
        <v>31048</v>
      </c>
      <c r="E604" s="99">
        <v>3670</v>
      </c>
      <c r="F604" s="100"/>
      <c r="G604" s="101">
        <v>30</v>
      </c>
      <c r="H604" s="102">
        <v>30</v>
      </c>
      <c r="I604" s="99">
        <v>0</v>
      </c>
      <c r="J604" s="99">
        <v>0</v>
      </c>
      <c r="K604" s="99">
        <v>3670</v>
      </c>
      <c r="L604" s="103">
        <v>0</v>
      </c>
    </row>
    <row r="605" spans="1:12" x14ac:dyDescent="0.45">
      <c r="A605" s="98" t="s">
        <v>526</v>
      </c>
      <c r="B605" s="87">
        <v>333</v>
      </c>
      <c r="C605" s="98" t="s">
        <v>571</v>
      </c>
      <c r="D605" s="93">
        <v>31048</v>
      </c>
      <c r="E605" s="99">
        <v>4276</v>
      </c>
      <c r="F605" s="100"/>
      <c r="G605" s="101">
        <v>30</v>
      </c>
      <c r="H605" s="102">
        <v>30</v>
      </c>
      <c r="I605" s="99">
        <v>0</v>
      </c>
      <c r="J605" s="99">
        <v>0</v>
      </c>
      <c r="K605" s="99">
        <v>4276</v>
      </c>
      <c r="L605" s="103">
        <v>0</v>
      </c>
    </row>
    <row r="606" spans="1:12" x14ac:dyDescent="0.45">
      <c r="A606" s="98" t="s">
        <v>526</v>
      </c>
      <c r="B606" s="87">
        <v>303</v>
      </c>
      <c r="C606" s="98" t="s">
        <v>572</v>
      </c>
      <c r="D606" s="93">
        <v>31413</v>
      </c>
      <c r="E606" s="99">
        <v>1038</v>
      </c>
      <c r="F606" s="100"/>
      <c r="G606" s="101">
        <v>0</v>
      </c>
      <c r="H606" s="102">
        <v>0</v>
      </c>
      <c r="I606" s="99">
        <v>0</v>
      </c>
      <c r="J606" s="99">
        <v>0</v>
      </c>
      <c r="K606" s="99">
        <v>0</v>
      </c>
      <c r="L606" s="103">
        <v>1038</v>
      </c>
    </row>
    <row r="607" spans="1:12" x14ac:dyDescent="0.45">
      <c r="A607" s="98" t="s">
        <v>526</v>
      </c>
      <c r="B607" s="87">
        <v>303</v>
      </c>
      <c r="C607" s="98" t="s">
        <v>573</v>
      </c>
      <c r="D607" s="93">
        <v>31413</v>
      </c>
      <c r="E607" s="99">
        <v>985</v>
      </c>
      <c r="F607" s="100"/>
      <c r="G607" s="101">
        <v>0</v>
      </c>
      <c r="H607" s="102">
        <v>0</v>
      </c>
      <c r="I607" s="99">
        <v>0</v>
      </c>
      <c r="J607" s="99">
        <v>0</v>
      </c>
      <c r="K607" s="99">
        <v>0</v>
      </c>
      <c r="L607" s="103">
        <v>985</v>
      </c>
    </row>
    <row r="608" spans="1:12" x14ac:dyDescent="0.45">
      <c r="A608" s="98" t="s">
        <v>526</v>
      </c>
      <c r="B608" s="87">
        <v>311</v>
      </c>
      <c r="C608" s="98" t="s">
        <v>574</v>
      </c>
      <c r="D608" s="93">
        <v>31413</v>
      </c>
      <c r="E608" s="99">
        <v>4000</v>
      </c>
      <c r="F608" s="100"/>
      <c r="G608" s="101">
        <v>20</v>
      </c>
      <c r="H608" s="102">
        <v>20</v>
      </c>
      <c r="I608" s="99">
        <v>0</v>
      </c>
      <c r="J608" s="99">
        <v>0</v>
      </c>
      <c r="K608" s="99">
        <v>4000</v>
      </c>
      <c r="L608" s="103">
        <v>0</v>
      </c>
    </row>
    <row r="609" spans="1:12" x14ac:dyDescent="0.45">
      <c r="A609" s="98" t="s">
        <v>526</v>
      </c>
      <c r="B609" s="87">
        <v>311</v>
      </c>
      <c r="C609" s="98" t="s">
        <v>574</v>
      </c>
      <c r="D609" s="93">
        <v>31413</v>
      </c>
      <c r="E609" s="99">
        <v>4000</v>
      </c>
      <c r="F609" s="100"/>
      <c r="G609" s="101">
        <v>20</v>
      </c>
      <c r="H609" s="102">
        <v>20</v>
      </c>
      <c r="I609" s="99">
        <v>0</v>
      </c>
      <c r="J609" s="99">
        <v>0</v>
      </c>
      <c r="K609" s="99">
        <v>4000</v>
      </c>
      <c r="L609" s="103">
        <v>0</v>
      </c>
    </row>
    <row r="610" spans="1:12" x14ac:dyDescent="0.45">
      <c r="A610" s="98" t="s">
        <v>526</v>
      </c>
      <c r="B610" s="87">
        <v>311</v>
      </c>
      <c r="C610" s="98" t="s">
        <v>574</v>
      </c>
      <c r="D610" s="93">
        <v>31413</v>
      </c>
      <c r="E610" s="99">
        <v>4000</v>
      </c>
      <c r="F610" s="100"/>
      <c r="G610" s="101">
        <v>20</v>
      </c>
      <c r="H610" s="102">
        <v>20</v>
      </c>
      <c r="I610" s="99">
        <v>0</v>
      </c>
      <c r="J610" s="99">
        <v>0</v>
      </c>
      <c r="K610" s="99">
        <v>4000</v>
      </c>
      <c r="L610" s="103">
        <v>0</v>
      </c>
    </row>
    <row r="611" spans="1:12" x14ac:dyDescent="0.45">
      <c r="A611" s="98" t="s">
        <v>526</v>
      </c>
      <c r="B611" s="87">
        <v>330</v>
      </c>
      <c r="C611" s="98" t="s">
        <v>575</v>
      </c>
      <c r="D611" s="93">
        <v>31413</v>
      </c>
      <c r="E611" s="99">
        <v>86400</v>
      </c>
      <c r="F611" s="100"/>
      <c r="G611" s="101">
        <v>50</v>
      </c>
      <c r="H611" s="102">
        <v>39</v>
      </c>
      <c r="I611" s="99">
        <v>1728</v>
      </c>
      <c r="J611" s="99">
        <v>0</v>
      </c>
      <c r="K611" s="99">
        <v>65687.671232876717</v>
      </c>
      <c r="L611" s="103">
        <v>20712.328767123283</v>
      </c>
    </row>
    <row r="612" spans="1:12" x14ac:dyDescent="0.45">
      <c r="A612" s="98" t="s">
        <v>526</v>
      </c>
      <c r="B612" s="87">
        <v>330</v>
      </c>
      <c r="C612" s="98" t="s">
        <v>576</v>
      </c>
      <c r="D612" s="93">
        <v>31413</v>
      </c>
      <c r="E612" s="99">
        <v>10560</v>
      </c>
      <c r="F612" s="100"/>
      <c r="G612" s="101">
        <v>50</v>
      </c>
      <c r="H612" s="102">
        <v>39</v>
      </c>
      <c r="I612" s="99">
        <v>211.2</v>
      </c>
      <c r="J612" s="99">
        <v>0</v>
      </c>
      <c r="K612" s="99">
        <v>8028.4931506849243</v>
      </c>
      <c r="L612" s="103">
        <v>2531.5068493150757</v>
      </c>
    </row>
    <row r="613" spans="1:12" x14ac:dyDescent="0.45">
      <c r="A613" s="98" t="s">
        <v>526</v>
      </c>
      <c r="B613" s="87">
        <v>330</v>
      </c>
      <c r="C613" s="98" t="s">
        <v>577</v>
      </c>
      <c r="D613" s="93">
        <v>31413</v>
      </c>
      <c r="E613" s="99">
        <v>800</v>
      </c>
      <c r="F613" s="100"/>
      <c r="G613" s="101">
        <v>50</v>
      </c>
      <c r="H613" s="102">
        <v>39</v>
      </c>
      <c r="I613" s="99">
        <v>16</v>
      </c>
      <c r="J613" s="99">
        <v>0</v>
      </c>
      <c r="K613" s="99">
        <v>608.219178082192</v>
      </c>
      <c r="L613" s="103">
        <v>191.780821917808</v>
      </c>
    </row>
    <row r="614" spans="1:12" x14ac:dyDescent="0.45">
      <c r="A614" s="98" t="s">
        <v>526</v>
      </c>
      <c r="B614" s="87">
        <v>333</v>
      </c>
      <c r="C614" s="98" t="s">
        <v>578</v>
      </c>
      <c r="D614" s="93">
        <v>31413</v>
      </c>
      <c r="E614" s="99">
        <v>2247</v>
      </c>
      <c r="F614" s="100"/>
      <c r="G614" s="101">
        <v>30</v>
      </c>
      <c r="H614" s="102">
        <v>30</v>
      </c>
      <c r="I614" s="99">
        <v>0</v>
      </c>
      <c r="J614" s="99">
        <v>0</v>
      </c>
      <c r="K614" s="99">
        <v>2247</v>
      </c>
      <c r="L614" s="103">
        <v>0</v>
      </c>
    </row>
    <row r="615" spans="1:12" x14ac:dyDescent="0.45">
      <c r="A615" s="98" t="s">
        <v>526</v>
      </c>
      <c r="B615" s="87">
        <v>330</v>
      </c>
      <c r="C615" s="98" t="s">
        <v>579</v>
      </c>
      <c r="D615" s="93">
        <v>31778</v>
      </c>
      <c r="E615" s="99">
        <v>15000</v>
      </c>
      <c r="F615" s="100"/>
      <c r="G615" s="101">
        <v>50</v>
      </c>
      <c r="H615" s="102">
        <v>38</v>
      </c>
      <c r="I615" s="99">
        <v>300</v>
      </c>
      <c r="J615" s="99">
        <v>0</v>
      </c>
      <c r="K615" s="99">
        <v>11104.109589041094</v>
      </c>
      <c r="L615" s="103">
        <v>3895.8904109589057</v>
      </c>
    </row>
    <row r="616" spans="1:12" x14ac:dyDescent="0.45">
      <c r="A616" s="98" t="s">
        <v>526</v>
      </c>
      <c r="B616" s="87">
        <v>304</v>
      </c>
      <c r="C616" s="98" t="s">
        <v>580</v>
      </c>
      <c r="D616" s="93">
        <v>31778</v>
      </c>
      <c r="E616" s="99">
        <v>4000</v>
      </c>
      <c r="F616" s="100"/>
      <c r="G616" s="101">
        <v>35</v>
      </c>
      <c r="H616" s="102">
        <v>35</v>
      </c>
      <c r="I616" s="99">
        <v>0</v>
      </c>
      <c r="J616" s="99">
        <v>0</v>
      </c>
      <c r="K616" s="99">
        <v>4000.0017482061312</v>
      </c>
      <c r="L616" s="103">
        <v>-1.748206131196639E-3</v>
      </c>
    </row>
    <row r="617" spans="1:12" x14ac:dyDescent="0.45">
      <c r="A617" s="98" t="s">
        <v>526</v>
      </c>
      <c r="B617" s="87">
        <v>304</v>
      </c>
      <c r="C617" s="98" t="s">
        <v>581</v>
      </c>
      <c r="D617" s="93">
        <v>31778</v>
      </c>
      <c r="E617" s="99">
        <v>2000</v>
      </c>
      <c r="F617" s="100"/>
      <c r="G617" s="101">
        <v>35</v>
      </c>
      <c r="H617" s="102">
        <v>35</v>
      </c>
      <c r="I617" s="99">
        <v>0</v>
      </c>
      <c r="J617" s="99">
        <v>0</v>
      </c>
      <c r="K617" s="99">
        <v>2000.0008741030656</v>
      </c>
      <c r="L617" s="103">
        <v>-8.7410306559831952E-4</v>
      </c>
    </row>
    <row r="618" spans="1:12" x14ac:dyDescent="0.45">
      <c r="A618" s="98" t="s">
        <v>526</v>
      </c>
      <c r="B618" s="87">
        <v>330</v>
      </c>
      <c r="C618" s="98" t="s">
        <v>582</v>
      </c>
      <c r="D618" s="93">
        <v>31778</v>
      </c>
      <c r="E618" s="99">
        <v>29400</v>
      </c>
      <c r="F618" s="100"/>
      <c r="G618" s="101">
        <v>50</v>
      </c>
      <c r="H618" s="102">
        <v>38</v>
      </c>
      <c r="I618" s="99">
        <v>588</v>
      </c>
      <c r="J618" s="99">
        <v>0</v>
      </c>
      <c r="K618" s="99">
        <v>21764.054794520547</v>
      </c>
      <c r="L618" s="103">
        <v>7635.9452054794529</v>
      </c>
    </row>
    <row r="619" spans="1:12" x14ac:dyDescent="0.45">
      <c r="A619" s="98" t="s">
        <v>526</v>
      </c>
      <c r="B619" s="87">
        <v>330</v>
      </c>
      <c r="C619" s="98" t="s">
        <v>583</v>
      </c>
      <c r="D619" s="93">
        <v>31778</v>
      </c>
      <c r="E619" s="99">
        <v>4000</v>
      </c>
      <c r="F619" s="100"/>
      <c r="G619" s="101">
        <v>50</v>
      </c>
      <c r="H619" s="102">
        <v>38</v>
      </c>
      <c r="I619" s="99">
        <v>80</v>
      </c>
      <c r="J619" s="99">
        <v>0</v>
      </c>
      <c r="K619" s="99">
        <v>2961.0958904109639</v>
      </c>
      <c r="L619" s="103">
        <v>1038.9041095890361</v>
      </c>
    </row>
    <row r="620" spans="1:12" x14ac:dyDescent="0.45">
      <c r="A620" s="98" t="s">
        <v>526</v>
      </c>
      <c r="B620" s="87">
        <v>330</v>
      </c>
      <c r="C620" s="98" t="s">
        <v>584</v>
      </c>
      <c r="D620" s="93">
        <v>31778</v>
      </c>
      <c r="E620" s="99">
        <v>2500</v>
      </c>
      <c r="F620" s="100"/>
      <c r="G620" s="101">
        <v>50</v>
      </c>
      <c r="H620" s="102">
        <v>38</v>
      </c>
      <c r="I620" s="99">
        <v>50</v>
      </c>
      <c r="J620" s="99">
        <v>0</v>
      </c>
      <c r="K620" s="99">
        <v>1850.6849315068471</v>
      </c>
      <c r="L620" s="103">
        <v>649.31506849315292</v>
      </c>
    </row>
    <row r="621" spans="1:12" x14ac:dyDescent="0.45">
      <c r="A621" s="98" t="s">
        <v>526</v>
      </c>
      <c r="B621" s="87">
        <v>333</v>
      </c>
      <c r="C621" s="98" t="s">
        <v>585</v>
      </c>
      <c r="D621" s="93">
        <v>31778</v>
      </c>
      <c r="E621" s="99">
        <v>2950</v>
      </c>
      <c r="F621" s="100"/>
      <c r="G621" s="101">
        <v>30</v>
      </c>
      <c r="H621" s="102">
        <v>30</v>
      </c>
      <c r="I621" s="99">
        <v>0</v>
      </c>
      <c r="J621" s="99">
        <v>0</v>
      </c>
      <c r="K621" s="99">
        <v>2950</v>
      </c>
      <c r="L621" s="103">
        <v>0</v>
      </c>
    </row>
    <row r="622" spans="1:12" x14ac:dyDescent="0.45">
      <c r="A622" s="98" t="s">
        <v>526</v>
      </c>
      <c r="B622" s="87">
        <v>303</v>
      </c>
      <c r="C622" s="98" t="s">
        <v>586</v>
      </c>
      <c r="D622" s="93">
        <v>31958</v>
      </c>
      <c r="E622" s="99">
        <v>1275</v>
      </c>
      <c r="F622" s="100"/>
      <c r="G622" s="101">
        <v>0</v>
      </c>
      <c r="H622" s="102">
        <v>0</v>
      </c>
      <c r="I622" s="99">
        <v>0</v>
      </c>
      <c r="J622" s="99">
        <v>0</v>
      </c>
      <c r="K622" s="99">
        <v>0</v>
      </c>
      <c r="L622" s="103">
        <v>1275</v>
      </c>
    </row>
    <row r="623" spans="1:12" x14ac:dyDescent="0.45">
      <c r="A623" s="98" t="s">
        <v>526</v>
      </c>
      <c r="B623" s="87">
        <v>330</v>
      </c>
      <c r="C623" s="98" t="s">
        <v>587</v>
      </c>
      <c r="D623" s="93">
        <v>32143</v>
      </c>
      <c r="E623" s="99">
        <v>10000</v>
      </c>
      <c r="F623" s="100"/>
      <c r="G623" s="101">
        <v>50</v>
      </c>
      <c r="H623" s="102">
        <v>37</v>
      </c>
      <c r="I623" s="99">
        <v>200</v>
      </c>
      <c r="J623" s="99">
        <v>0</v>
      </c>
      <c r="K623" s="99">
        <v>7202.7397260273883</v>
      </c>
      <c r="L623" s="103">
        <v>2797.2602739726117</v>
      </c>
    </row>
    <row r="624" spans="1:12" x14ac:dyDescent="0.45">
      <c r="A624" s="98" t="s">
        <v>526</v>
      </c>
      <c r="B624" s="87">
        <v>303</v>
      </c>
      <c r="C624" s="98" t="s">
        <v>588</v>
      </c>
      <c r="D624" s="93">
        <v>32143</v>
      </c>
      <c r="E624" s="99">
        <v>6720</v>
      </c>
      <c r="F624" s="100"/>
      <c r="G624" s="101">
        <v>0</v>
      </c>
      <c r="H624" s="102">
        <v>0</v>
      </c>
      <c r="I624" s="99">
        <v>0</v>
      </c>
      <c r="J624" s="99">
        <v>0</v>
      </c>
      <c r="K624" s="99">
        <v>0</v>
      </c>
      <c r="L624" s="103">
        <v>6720</v>
      </c>
    </row>
    <row r="625" spans="1:12" x14ac:dyDescent="0.45">
      <c r="A625" s="98" t="s">
        <v>526</v>
      </c>
      <c r="B625" s="87">
        <v>330</v>
      </c>
      <c r="C625" s="98" t="s">
        <v>589</v>
      </c>
      <c r="D625" s="93">
        <v>32143</v>
      </c>
      <c r="E625" s="99">
        <v>6000</v>
      </c>
      <c r="F625" s="100"/>
      <c r="G625" s="101">
        <v>50</v>
      </c>
      <c r="H625" s="102">
        <v>37</v>
      </c>
      <c r="I625" s="99">
        <v>120</v>
      </c>
      <c r="J625" s="99">
        <v>0</v>
      </c>
      <c r="K625" s="99">
        <v>4321.6438356164381</v>
      </c>
      <c r="L625" s="103">
        <v>1678.3561643835619</v>
      </c>
    </row>
    <row r="626" spans="1:12" x14ac:dyDescent="0.45">
      <c r="A626" s="98" t="s">
        <v>526</v>
      </c>
      <c r="B626" s="87">
        <v>330</v>
      </c>
      <c r="C626" s="98" t="s">
        <v>590</v>
      </c>
      <c r="D626" s="93">
        <v>32143</v>
      </c>
      <c r="E626" s="99">
        <v>2000</v>
      </c>
      <c r="F626" s="100"/>
      <c r="G626" s="101">
        <v>50</v>
      </c>
      <c r="H626" s="102">
        <v>37</v>
      </c>
      <c r="I626" s="99">
        <v>40</v>
      </c>
      <c r="J626" s="99">
        <v>0</v>
      </c>
      <c r="K626" s="99">
        <v>1440.5479452054819</v>
      </c>
      <c r="L626" s="103">
        <v>559.45205479451806</v>
      </c>
    </row>
    <row r="627" spans="1:12" x14ac:dyDescent="0.45">
      <c r="A627" s="98" t="s">
        <v>526</v>
      </c>
      <c r="B627" s="87">
        <v>330</v>
      </c>
      <c r="C627" s="98" t="s">
        <v>591</v>
      </c>
      <c r="D627" s="93">
        <v>32143</v>
      </c>
      <c r="E627" s="99">
        <v>4640</v>
      </c>
      <c r="F627" s="100"/>
      <c r="G627" s="101">
        <v>50</v>
      </c>
      <c r="H627" s="102">
        <v>37</v>
      </c>
      <c r="I627" s="99">
        <v>92.8</v>
      </c>
      <c r="J627" s="99">
        <v>0</v>
      </c>
      <c r="K627" s="99">
        <v>3342.0712328767136</v>
      </c>
      <c r="L627" s="103">
        <v>1297.9287671232864</v>
      </c>
    </row>
    <row r="628" spans="1:12" x14ac:dyDescent="0.45">
      <c r="A628" s="98" t="s">
        <v>526</v>
      </c>
      <c r="B628" s="87">
        <v>330</v>
      </c>
      <c r="C628" s="98" t="s">
        <v>592</v>
      </c>
      <c r="D628" s="93">
        <v>32143</v>
      </c>
      <c r="E628" s="99">
        <v>45000</v>
      </c>
      <c r="F628" s="100"/>
      <c r="G628" s="101">
        <v>50</v>
      </c>
      <c r="H628" s="102">
        <v>37</v>
      </c>
      <c r="I628" s="99">
        <v>900</v>
      </c>
      <c r="J628" s="99">
        <v>0</v>
      </c>
      <c r="K628" s="99">
        <v>32412.32876712329</v>
      </c>
      <c r="L628" s="103">
        <v>12587.67123287671</v>
      </c>
    </row>
    <row r="629" spans="1:12" x14ac:dyDescent="0.45">
      <c r="A629" s="98" t="s">
        <v>526</v>
      </c>
      <c r="B629" s="87">
        <v>330</v>
      </c>
      <c r="C629" s="98" t="s">
        <v>593</v>
      </c>
      <c r="D629" s="93">
        <v>32143</v>
      </c>
      <c r="E629" s="99">
        <v>76200</v>
      </c>
      <c r="F629" s="100"/>
      <c r="G629" s="101">
        <v>50</v>
      </c>
      <c r="H629" s="102">
        <v>37</v>
      </c>
      <c r="I629" s="99">
        <v>1524</v>
      </c>
      <c r="J629" s="99">
        <v>0</v>
      </c>
      <c r="K629" s="99">
        <v>54884.876712328769</v>
      </c>
      <c r="L629" s="103">
        <v>21315.123287671231</v>
      </c>
    </row>
    <row r="630" spans="1:12" x14ac:dyDescent="0.45">
      <c r="A630" s="98" t="s">
        <v>526</v>
      </c>
      <c r="B630" s="87">
        <v>330</v>
      </c>
      <c r="C630" s="98" t="s">
        <v>594</v>
      </c>
      <c r="D630" s="93">
        <v>32509</v>
      </c>
      <c r="E630" s="99">
        <v>76000</v>
      </c>
      <c r="F630" s="100"/>
      <c r="G630" s="101">
        <v>50</v>
      </c>
      <c r="H630" s="102">
        <v>36</v>
      </c>
      <c r="I630" s="99">
        <v>1520</v>
      </c>
      <c r="J630" s="99">
        <v>0</v>
      </c>
      <c r="K630" s="99">
        <v>53216.657534246653</v>
      </c>
      <c r="L630" s="103">
        <v>22783.342465753347</v>
      </c>
    </row>
    <row r="631" spans="1:12" x14ac:dyDescent="0.45">
      <c r="A631" s="98" t="s">
        <v>526</v>
      </c>
      <c r="B631" s="87">
        <v>330</v>
      </c>
      <c r="C631" s="98" t="s">
        <v>595</v>
      </c>
      <c r="D631" s="93">
        <v>32509</v>
      </c>
      <c r="E631" s="99">
        <v>99750</v>
      </c>
      <c r="F631" s="100"/>
      <c r="G631" s="101">
        <v>50</v>
      </c>
      <c r="H631" s="102">
        <v>36</v>
      </c>
      <c r="I631" s="99">
        <v>1995</v>
      </c>
      <c r="J631" s="99">
        <v>0</v>
      </c>
      <c r="K631" s="99">
        <v>69846.863013698632</v>
      </c>
      <c r="L631" s="103">
        <v>29903.136986301368</v>
      </c>
    </row>
    <row r="632" spans="1:12" x14ac:dyDescent="0.45">
      <c r="A632" s="98" t="s">
        <v>526</v>
      </c>
      <c r="B632" s="87">
        <v>330</v>
      </c>
      <c r="C632" s="98" t="s">
        <v>596</v>
      </c>
      <c r="D632" s="93">
        <v>32509</v>
      </c>
      <c r="E632" s="99">
        <v>73200</v>
      </c>
      <c r="F632" s="100"/>
      <c r="G632" s="101">
        <v>50</v>
      </c>
      <c r="H632" s="102">
        <v>36</v>
      </c>
      <c r="I632" s="99">
        <v>1464</v>
      </c>
      <c r="J632" s="99">
        <v>0</v>
      </c>
      <c r="K632" s="99">
        <v>51256.043835616445</v>
      </c>
      <c r="L632" s="103">
        <v>21943.956164383555</v>
      </c>
    </row>
    <row r="633" spans="1:12" x14ac:dyDescent="0.45">
      <c r="A633" s="98" t="s">
        <v>526</v>
      </c>
      <c r="B633" s="87">
        <v>330</v>
      </c>
      <c r="C633" s="98" t="s">
        <v>597</v>
      </c>
      <c r="D633" s="93">
        <v>32509</v>
      </c>
      <c r="E633" s="99">
        <v>24000</v>
      </c>
      <c r="F633" s="100"/>
      <c r="G633" s="101">
        <v>50</v>
      </c>
      <c r="H633" s="102">
        <v>36</v>
      </c>
      <c r="I633" s="99">
        <v>480</v>
      </c>
      <c r="J633" s="99">
        <v>0</v>
      </c>
      <c r="K633" s="99">
        <v>16805.260273972603</v>
      </c>
      <c r="L633" s="103">
        <v>7194.7397260273974</v>
      </c>
    </row>
    <row r="634" spans="1:12" x14ac:dyDescent="0.45">
      <c r="A634" s="98" t="s">
        <v>526</v>
      </c>
      <c r="B634" s="87">
        <v>330</v>
      </c>
      <c r="C634" s="98" t="s">
        <v>598</v>
      </c>
      <c r="D634" s="93">
        <v>32509</v>
      </c>
      <c r="E634" s="99">
        <v>21000</v>
      </c>
      <c r="F634" s="100"/>
      <c r="G634" s="101">
        <v>50</v>
      </c>
      <c r="H634" s="102">
        <v>36</v>
      </c>
      <c r="I634" s="99">
        <v>420</v>
      </c>
      <c r="J634" s="99">
        <v>0</v>
      </c>
      <c r="K634" s="99">
        <v>14704.602739726028</v>
      </c>
      <c r="L634" s="103">
        <v>6295.3972602739723</v>
      </c>
    </row>
    <row r="635" spans="1:12" x14ac:dyDescent="0.45">
      <c r="A635" s="98" t="s">
        <v>526</v>
      </c>
      <c r="B635" s="87">
        <v>330</v>
      </c>
      <c r="C635" s="98" t="s">
        <v>599</v>
      </c>
      <c r="D635" s="93">
        <v>32509</v>
      </c>
      <c r="E635" s="99">
        <v>2000</v>
      </c>
      <c r="F635" s="100"/>
      <c r="G635" s="101">
        <v>50</v>
      </c>
      <c r="H635" s="102">
        <v>36</v>
      </c>
      <c r="I635" s="99">
        <v>40</v>
      </c>
      <c r="J635" s="99">
        <v>0</v>
      </c>
      <c r="K635" s="99">
        <v>1400.4383561643863</v>
      </c>
      <c r="L635" s="103">
        <v>599.56164383561372</v>
      </c>
    </row>
    <row r="636" spans="1:12" x14ac:dyDescent="0.45">
      <c r="A636" s="98" t="s">
        <v>526</v>
      </c>
      <c r="B636" s="87">
        <v>330</v>
      </c>
      <c r="C636" s="98" t="s">
        <v>600</v>
      </c>
      <c r="D636" s="93">
        <v>32509</v>
      </c>
      <c r="E636" s="99">
        <v>2000</v>
      </c>
      <c r="F636" s="100"/>
      <c r="G636" s="101">
        <v>50</v>
      </c>
      <c r="H636" s="102">
        <v>36</v>
      </c>
      <c r="I636" s="99">
        <v>40</v>
      </c>
      <c r="J636" s="99">
        <v>0</v>
      </c>
      <c r="K636" s="99">
        <v>1400.4383561643863</v>
      </c>
      <c r="L636" s="103">
        <v>599.56164383561372</v>
      </c>
    </row>
    <row r="637" spans="1:12" x14ac:dyDescent="0.45">
      <c r="A637" s="98" t="s">
        <v>526</v>
      </c>
      <c r="B637" s="87">
        <v>330</v>
      </c>
      <c r="C637" s="98" t="s">
        <v>601</v>
      </c>
      <c r="D637" s="93">
        <v>32509</v>
      </c>
      <c r="E637" s="99">
        <v>5250</v>
      </c>
      <c r="F637" s="100"/>
      <c r="G637" s="101">
        <v>50</v>
      </c>
      <c r="H637" s="102">
        <v>36</v>
      </c>
      <c r="I637" s="99">
        <v>105</v>
      </c>
      <c r="J637" s="99">
        <v>0</v>
      </c>
      <c r="K637" s="99">
        <v>3676.1506849315069</v>
      </c>
      <c r="L637" s="103">
        <v>1573.8493150684931</v>
      </c>
    </row>
    <row r="638" spans="1:12" x14ac:dyDescent="0.45">
      <c r="A638" s="98" t="s">
        <v>526</v>
      </c>
      <c r="B638" s="87">
        <v>330</v>
      </c>
      <c r="C638" s="98" t="s">
        <v>602</v>
      </c>
      <c r="D638" s="93">
        <v>32509</v>
      </c>
      <c r="E638" s="99">
        <v>2500</v>
      </c>
      <c r="F638" s="100"/>
      <c r="G638" s="101">
        <v>50</v>
      </c>
      <c r="H638" s="102">
        <v>36</v>
      </c>
      <c r="I638" s="99">
        <v>50</v>
      </c>
      <c r="J638" s="99">
        <v>0</v>
      </c>
      <c r="K638" s="99">
        <v>1750.5479452054774</v>
      </c>
      <c r="L638" s="103">
        <v>749.45205479452261</v>
      </c>
    </row>
    <row r="639" spans="1:12" x14ac:dyDescent="0.45">
      <c r="A639" s="98" t="s">
        <v>526</v>
      </c>
      <c r="B639" s="87">
        <v>330</v>
      </c>
      <c r="C639" s="98" t="s">
        <v>603</v>
      </c>
      <c r="D639" s="93">
        <v>32509</v>
      </c>
      <c r="E639" s="99">
        <v>300</v>
      </c>
      <c r="F639" s="100"/>
      <c r="G639" s="101">
        <v>50</v>
      </c>
      <c r="H639" s="102">
        <v>36</v>
      </c>
      <c r="I639" s="99">
        <v>6</v>
      </c>
      <c r="J639" s="99">
        <v>0</v>
      </c>
      <c r="K639" s="99">
        <v>210.06575342465754</v>
      </c>
      <c r="L639" s="103">
        <v>89.934246575342456</v>
      </c>
    </row>
    <row r="640" spans="1:12" x14ac:dyDescent="0.45">
      <c r="A640" s="98" t="s">
        <v>526</v>
      </c>
      <c r="B640" s="87">
        <v>333</v>
      </c>
      <c r="C640" s="98" t="s">
        <v>604</v>
      </c>
      <c r="D640" s="93">
        <v>32509</v>
      </c>
      <c r="E640" s="99">
        <v>3080</v>
      </c>
      <c r="F640" s="100"/>
      <c r="G640" s="101">
        <v>30</v>
      </c>
      <c r="H640" s="102">
        <v>30</v>
      </c>
      <c r="I640" s="99">
        <v>0</v>
      </c>
      <c r="J640" s="99">
        <v>0</v>
      </c>
      <c r="K640" s="99">
        <v>3080</v>
      </c>
      <c r="L640" s="103">
        <v>0</v>
      </c>
    </row>
    <row r="641" spans="1:12" x14ac:dyDescent="0.45">
      <c r="A641" s="98" t="s">
        <v>526</v>
      </c>
      <c r="B641" s="87">
        <v>303</v>
      </c>
      <c r="C641" s="98" t="s">
        <v>605</v>
      </c>
      <c r="D641" s="93">
        <v>32689</v>
      </c>
      <c r="E641" s="99">
        <v>1865</v>
      </c>
      <c r="F641" s="100"/>
      <c r="G641" s="101">
        <v>0</v>
      </c>
      <c r="H641" s="102">
        <v>0</v>
      </c>
      <c r="I641" s="99">
        <v>0</v>
      </c>
      <c r="J641" s="99">
        <v>0</v>
      </c>
      <c r="K641" s="99">
        <v>0</v>
      </c>
      <c r="L641" s="103">
        <v>1865</v>
      </c>
    </row>
    <row r="642" spans="1:12" x14ac:dyDescent="0.45">
      <c r="A642" s="98" t="s">
        <v>526</v>
      </c>
      <c r="B642" s="87">
        <v>330</v>
      </c>
      <c r="C642" s="98" t="s">
        <v>606</v>
      </c>
      <c r="D642" s="93">
        <v>32874</v>
      </c>
      <c r="E642" s="99">
        <v>16000</v>
      </c>
      <c r="F642" s="100"/>
      <c r="G642" s="101">
        <v>50</v>
      </c>
      <c r="H642" s="102">
        <v>35</v>
      </c>
      <c r="I642" s="99">
        <v>320</v>
      </c>
      <c r="J642" s="99">
        <v>0</v>
      </c>
      <c r="K642" s="99">
        <v>10883.50684931509</v>
      </c>
      <c r="L642" s="103">
        <v>5116.4931506849098</v>
      </c>
    </row>
    <row r="643" spans="1:12" x14ac:dyDescent="0.45">
      <c r="A643" s="98" t="s">
        <v>526</v>
      </c>
      <c r="B643" s="87">
        <v>303</v>
      </c>
      <c r="C643" s="98" t="s">
        <v>607</v>
      </c>
      <c r="D643" s="93">
        <v>32874</v>
      </c>
      <c r="E643" s="99">
        <v>19552</v>
      </c>
      <c r="F643" s="100"/>
      <c r="G643" s="101">
        <v>0</v>
      </c>
      <c r="H643" s="102">
        <v>0</v>
      </c>
      <c r="I643" s="99">
        <v>0</v>
      </c>
      <c r="J643" s="99">
        <v>0</v>
      </c>
      <c r="K643" s="99">
        <v>0</v>
      </c>
      <c r="L643" s="103">
        <v>19552</v>
      </c>
    </row>
    <row r="644" spans="1:12" x14ac:dyDescent="0.45">
      <c r="A644" s="98" t="s">
        <v>526</v>
      </c>
      <c r="B644" s="87">
        <v>304</v>
      </c>
      <c r="C644" s="98" t="s">
        <v>608</v>
      </c>
      <c r="D644" s="93">
        <v>32874</v>
      </c>
      <c r="E644" s="99">
        <v>2800</v>
      </c>
      <c r="F644" s="100"/>
      <c r="G644" s="101">
        <v>35</v>
      </c>
      <c r="H644" s="102">
        <v>35</v>
      </c>
      <c r="I644" s="99">
        <v>0</v>
      </c>
      <c r="J644" s="99">
        <v>0</v>
      </c>
      <c r="K644" s="99">
        <v>2720.876712328768</v>
      </c>
      <c r="L644" s="103">
        <v>79.123287671231992</v>
      </c>
    </row>
    <row r="645" spans="1:12" x14ac:dyDescent="0.45">
      <c r="A645" s="98" t="s">
        <v>526</v>
      </c>
      <c r="B645" s="87">
        <v>304</v>
      </c>
      <c r="C645" s="98" t="s">
        <v>609</v>
      </c>
      <c r="D645" s="93">
        <v>32874</v>
      </c>
      <c r="E645" s="99">
        <v>1720</v>
      </c>
      <c r="F645" s="100"/>
      <c r="G645" s="101">
        <v>35</v>
      </c>
      <c r="H645" s="102">
        <v>35</v>
      </c>
      <c r="I645" s="99">
        <v>0</v>
      </c>
      <c r="J645" s="99">
        <v>0</v>
      </c>
      <c r="K645" s="99">
        <v>1671.3956947162428</v>
      </c>
      <c r="L645" s="103">
        <v>48.604305283757185</v>
      </c>
    </row>
    <row r="646" spans="1:12" x14ac:dyDescent="0.45">
      <c r="A646" s="98" t="s">
        <v>526</v>
      </c>
      <c r="B646" s="87">
        <v>330</v>
      </c>
      <c r="C646" s="98" t="s">
        <v>610</v>
      </c>
      <c r="D646" s="93">
        <v>32874</v>
      </c>
      <c r="E646" s="99">
        <v>4000</v>
      </c>
      <c r="F646" s="100"/>
      <c r="G646" s="101">
        <v>50</v>
      </c>
      <c r="H646" s="102">
        <v>35</v>
      </c>
      <c r="I646" s="99">
        <v>80</v>
      </c>
      <c r="J646" s="99">
        <v>0</v>
      </c>
      <c r="K646" s="99">
        <v>2720.8767123287726</v>
      </c>
      <c r="L646" s="103">
        <v>1279.1232876712274</v>
      </c>
    </row>
    <row r="647" spans="1:12" x14ac:dyDescent="0.45">
      <c r="A647" s="98" t="s">
        <v>526</v>
      </c>
      <c r="B647" s="87">
        <v>330</v>
      </c>
      <c r="C647" s="98" t="s">
        <v>611</v>
      </c>
      <c r="D647" s="93">
        <v>32874</v>
      </c>
      <c r="E647" s="99">
        <v>1400</v>
      </c>
      <c r="F647" s="100"/>
      <c r="G647" s="101">
        <v>50</v>
      </c>
      <c r="H647" s="102">
        <v>35</v>
      </c>
      <c r="I647" s="99">
        <v>28</v>
      </c>
      <c r="J647" s="99">
        <v>0</v>
      </c>
      <c r="K647" s="99">
        <v>952.30684931506937</v>
      </c>
      <c r="L647" s="103">
        <v>447.69315068493063</v>
      </c>
    </row>
    <row r="648" spans="1:12" x14ac:dyDescent="0.45">
      <c r="A648" s="98" t="s">
        <v>526</v>
      </c>
      <c r="B648" s="87">
        <v>330</v>
      </c>
      <c r="C648" s="98" t="s">
        <v>612</v>
      </c>
      <c r="D648" s="93">
        <v>32874</v>
      </c>
      <c r="E648" s="99">
        <v>500</v>
      </c>
      <c r="F648" s="100"/>
      <c r="G648" s="101">
        <v>50</v>
      </c>
      <c r="H648" s="102">
        <v>35</v>
      </c>
      <c r="I648" s="99">
        <v>10</v>
      </c>
      <c r="J648" s="99">
        <v>0</v>
      </c>
      <c r="K648" s="99">
        <v>340.10958904109657</v>
      </c>
      <c r="L648" s="103">
        <v>159.89041095890343</v>
      </c>
    </row>
    <row r="649" spans="1:12" x14ac:dyDescent="0.45">
      <c r="A649" s="98" t="s">
        <v>526</v>
      </c>
      <c r="B649" s="87">
        <v>330</v>
      </c>
      <c r="C649" s="98" t="s">
        <v>613</v>
      </c>
      <c r="D649" s="93">
        <v>32874</v>
      </c>
      <c r="E649" s="99">
        <v>6000</v>
      </c>
      <c r="F649" s="100"/>
      <c r="G649" s="101">
        <v>50</v>
      </c>
      <c r="H649" s="102">
        <v>35</v>
      </c>
      <c r="I649" s="99">
        <v>120</v>
      </c>
      <c r="J649" s="99">
        <v>0</v>
      </c>
      <c r="K649" s="99">
        <v>4081.3150684931506</v>
      </c>
      <c r="L649" s="103">
        <v>1918.6849315068494</v>
      </c>
    </row>
    <row r="650" spans="1:12" x14ac:dyDescent="0.45">
      <c r="A650" s="98" t="s">
        <v>526</v>
      </c>
      <c r="B650" s="87">
        <v>330</v>
      </c>
      <c r="C650" s="98" t="s">
        <v>614</v>
      </c>
      <c r="D650" s="93">
        <v>32874</v>
      </c>
      <c r="E650" s="99">
        <v>700</v>
      </c>
      <c r="F650" s="100"/>
      <c r="G650" s="101">
        <v>50</v>
      </c>
      <c r="H650" s="102">
        <v>35</v>
      </c>
      <c r="I650" s="99">
        <v>14</v>
      </c>
      <c r="J650" s="99">
        <v>0</v>
      </c>
      <c r="K650" s="99">
        <v>476.15342465753469</v>
      </c>
      <c r="L650" s="103">
        <v>223.84657534246531</v>
      </c>
    </row>
    <row r="651" spans="1:12" x14ac:dyDescent="0.45">
      <c r="A651" s="98" t="s">
        <v>526</v>
      </c>
      <c r="B651" s="87">
        <v>311</v>
      </c>
      <c r="C651" s="98" t="s">
        <v>615</v>
      </c>
      <c r="D651" s="93">
        <v>33239</v>
      </c>
      <c r="E651" s="99">
        <v>3200</v>
      </c>
      <c r="F651" s="100"/>
      <c r="G651" s="101">
        <v>20</v>
      </c>
      <c r="H651" s="102">
        <v>20</v>
      </c>
      <c r="I651" s="99">
        <v>0</v>
      </c>
      <c r="J651" s="99">
        <v>0</v>
      </c>
      <c r="K651" s="99">
        <v>3200</v>
      </c>
      <c r="L651" s="103">
        <v>0</v>
      </c>
    </row>
    <row r="652" spans="1:12" x14ac:dyDescent="0.45">
      <c r="A652" s="98" t="s">
        <v>526</v>
      </c>
      <c r="B652" s="87">
        <v>311</v>
      </c>
      <c r="C652" s="98" t="s">
        <v>615</v>
      </c>
      <c r="D652" s="93">
        <v>33239</v>
      </c>
      <c r="E652" s="99">
        <v>3200</v>
      </c>
      <c r="F652" s="100"/>
      <c r="G652" s="101">
        <v>20</v>
      </c>
      <c r="H652" s="102">
        <v>20</v>
      </c>
      <c r="I652" s="99">
        <v>0</v>
      </c>
      <c r="J652" s="99">
        <v>0</v>
      </c>
      <c r="K652" s="99">
        <v>3200</v>
      </c>
      <c r="L652" s="103">
        <v>0</v>
      </c>
    </row>
    <row r="653" spans="1:12" x14ac:dyDescent="0.45">
      <c r="A653" s="98" t="s">
        <v>526</v>
      </c>
      <c r="B653" s="87">
        <v>304</v>
      </c>
      <c r="C653" s="98" t="s">
        <v>616</v>
      </c>
      <c r="D653" s="93">
        <v>33239</v>
      </c>
      <c r="E653" s="99">
        <v>3750</v>
      </c>
      <c r="F653" s="100"/>
      <c r="G653" s="101">
        <v>35</v>
      </c>
      <c r="H653" s="102">
        <v>34</v>
      </c>
      <c r="I653" s="99">
        <v>107.14285714285714</v>
      </c>
      <c r="J653" s="99">
        <v>0</v>
      </c>
      <c r="K653" s="99">
        <v>3536.8884540117424</v>
      </c>
      <c r="L653" s="103">
        <v>213.1115459882576</v>
      </c>
    </row>
    <row r="654" spans="1:12" x14ac:dyDescent="0.45">
      <c r="A654" s="98" t="s">
        <v>526</v>
      </c>
      <c r="B654" s="87">
        <v>330</v>
      </c>
      <c r="C654" s="98" t="s">
        <v>617</v>
      </c>
      <c r="D654" s="93">
        <v>33604</v>
      </c>
      <c r="E654" s="99">
        <v>2500</v>
      </c>
      <c r="F654" s="100"/>
      <c r="G654" s="101">
        <v>50</v>
      </c>
      <c r="H654" s="102">
        <v>33</v>
      </c>
      <c r="I654" s="99">
        <v>50</v>
      </c>
      <c r="J654" s="99">
        <v>0</v>
      </c>
      <c r="K654" s="99">
        <v>1600.547945205481</v>
      </c>
      <c r="L654" s="103">
        <v>899.45205479451897</v>
      </c>
    </row>
    <row r="655" spans="1:12" x14ac:dyDescent="0.45">
      <c r="A655" s="98" t="s">
        <v>526</v>
      </c>
      <c r="B655" s="87">
        <v>311</v>
      </c>
      <c r="C655" s="98" t="s">
        <v>618</v>
      </c>
      <c r="D655" s="93">
        <v>33604</v>
      </c>
      <c r="E655" s="99">
        <v>800</v>
      </c>
      <c r="F655" s="100"/>
      <c r="G655" s="101">
        <v>20</v>
      </c>
      <c r="H655" s="102">
        <v>20</v>
      </c>
      <c r="I655" s="99">
        <v>0</v>
      </c>
      <c r="J655" s="99">
        <v>0</v>
      </c>
      <c r="K655" s="99">
        <v>800</v>
      </c>
      <c r="L655" s="103">
        <v>0</v>
      </c>
    </row>
    <row r="656" spans="1:12" x14ac:dyDescent="0.45">
      <c r="A656" s="98" t="s">
        <v>526</v>
      </c>
      <c r="B656" s="87">
        <v>311</v>
      </c>
      <c r="C656" s="98" t="s">
        <v>619</v>
      </c>
      <c r="D656" s="93">
        <v>33604</v>
      </c>
      <c r="E656" s="99">
        <v>850</v>
      </c>
      <c r="F656" s="100"/>
      <c r="G656" s="101">
        <v>20</v>
      </c>
      <c r="H656" s="102">
        <v>20</v>
      </c>
      <c r="I656" s="99">
        <v>0</v>
      </c>
      <c r="J656" s="99">
        <v>0</v>
      </c>
      <c r="K656" s="99">
        <v>850</v>
      </c>
      <c r="L656" s="103">
        <v>0</v>
      </c>
    </row>
    <row r="657" spans="1:12" x14ac:dyDescent="0.45">
      <c r="A657" s="98" t="s">
        <v>526</v>
      </c>
      <c r="B657" s="87">
        <v>311</v>
      </c>
      <c r="C657" s="98" t="s">
        <v>620</v>
      </c>
      <c r="D657" s="93">
        <v>33604</v>
      </c>
      <c r="E657" s="99">
        <v>2100</v>
      </c>
      <c r="F657" s="100"/>
      <c r="G657" s="101">
        <v>20</v>
      </c>
      <c r="H657" s="102">
        <v>20</v>
      </c>
      <c r="I657" s="99">
        <v>0</v>
      </c>
      <c r="J657" s="99">
        <v>0</v>
      </c>
      <c r="K657" s="99">
        <v>2100</v>
      </c>
      <c r="L657" s="103">
        <v>0</v>
      </c>
    </row>
    <row r="658" spans="1:12" x14ac:dyDescent="0.45">
      <c r="A658" s="98" t="s">
        <v>526</v>
      </c>
      <c r="B658" s="87">
        <v>311</v>
      </c>
      <c r="C658" s="98" t="s">
        <v>621</v>
      </c>
      <c r="D658" s="93">
        <v>33604</v>
      </c>
      <c r="E658" s="99">
        <v>2140</v>
      </c>
      <c r="F658" s="100"/>
      <c r="G658" s="101">
        <v>20</v>
      </c>
      <c r="H658" s="102">
        <v>20</v>
      </c>
      <c r="I658" s="99">
        <v>0</v>
      </c>
      <c r="J658" s="99">
        <v>0</v>
      </c>
      <c r="K658" s="99">
        <v>2140</v>
      </c>
      <c r="L658" s="103">
        <v>0</v>
      </c>
    </row>
    <row r="659" spans="1:12" x14ac:dyDescent="0.45">
      <c r="A659" s="98" t="s">
        <v>526</v>
      </c>
      <c r="B659" s="87">
        <v>304</v>
      </c>
      <c r="C659" s="98" t="s">
        <v>622</v>
      </c>
      <c r="D659" s="93">
        <v>33604</v>
      </c>
      <c r="E659" s="99">
        <v>6100</v>
      </c>
      <c r="F659" s="100"/>
      <c r="G659" s="101">
        <v>35</v>
      </c>
      <c r="H659" s="102">
        <v>33</v>
      </c>
      <c r="I659" s="99">
        <v>174.28571428571428</v>
      </c>
      <c r="J659" s="99">
        <v>0</v>
      </c>
      <c r="K659" s="99">
        <v>5579.0528375733875</v>
      </c>
      <c r="L659" s="103">
        <v>520.94716242661252</v>
      </c>
    </row>
    <row r="660" spans="1:12" x14ac:dyDescent="0.45">
      <c r="A660" s="98" t="s">
        <v>526</v>
      </c>
      <c r="B660" s="87">
        <v>304</v>
      </c>
      <c r="C660" s="98" t="s">
        <v>623</v>
      </c>
      <c r="D660" s="93">
        <v>33604</v>
      </c>
      <c r="E660" s="99">
        <v>3580</v>
      </c>
      <c r="F660" s="100"/>
      <c r="G660" s="101">
        <v>35</v>
      </c>
      <c r="H660" s="102">
        <v>33</v>
      </c>
      <c r="I660" s="99">
        <v>102.28571428571429</v>
      </c>
      <c r="J660" s="99">
        <v>0</v>
      </c>
      <c r="K660" s="99">
        <v>3274.2637964774945</v>
      </c>
      <c r="L660" s="103">
        <v>305.73620352250555</v>
      </c>
    </row>
    <row r="661" spans="1:12" x14ac:dyDescent="0.45">
      <c r="A661" s="98" t="s">
        <v>526</v>
      </c>
      <c r="B661" s="87">
        <v>330</v>
      </c>
      <c r="C661" s="98" t="s">
        <v>624</v>
      </c>
      <c r="D661" s="93">
        <v>33604</v>
      </c>
      <c r="E661" s="99">
        <v>4800</v>
      </c>
      <c r="F661" s="100"/>
      <c r="G661" s="101">
        <v>50</v>
      </c>
      <c r="H661" s="102">
        <v>33</v>
      </c>
      <c r="I661" s="99">
        <v>96</v>
      </c>
      <c r="J661" s="99">
        <v>0</v>
      </c>
      <c r="K661" s="99">
        <v>3073.0520547945207</v>
      </c>
      <c r="L661" s="103">
        <v>1726.9479452054793</v>
      </c>
    </row>
    <row r="662" spans="1:12" x14ac:dyDescent="0.45">
      <c r="A662" s="98" t="s">
        <v>526</v>
      </c>
      <c r="B662" s="87">
        <v>330</v>
      </c>
      <c r="C662" s="98" t="s">
        <v>625</v>
      </c>
      <c r="D662" s="93">
        <v>33604</v>
      </c>
      <c r="E662" s="99">
        <v>4000</v>
      </c>
      <c r="F662" s="100"/>
      <c r="G662" s="101">
        <v>50</v>
      </c>
      <c r="H662" s="102">
        <v>33</v>
      </c>
      <c r="I662" s="99">
        <v>80</v>
      </c>
      <c r="J662" s="99">
        <v>0</v>
      </c>
      <c r="K662" s="99">
        <v>2560.8767123287726</v>
      </c>
      <c r="L662" s="103">
        <v>1439.1232876712274</v>
      </c>
    </row>
    <row r="663" spans="1:12" x14ac:dyDescent="0.45">
      <c r="A663" s="98" t="s">
        <v>526</v>
      </c>
      <c r="B663" s="87">
        <v>330</v>
      </c>
      <c r="C663" s="98" t="s">
        <v>626</v>
      </c>
      <c r="D663" s="93">
        <v>33604</v>
      </c>
      <c r="E663" s="99">
        <v>1840</v>
      </c>
      <c r="F663" s="100"/>
      <c r="G663" s="101">
        <v>50</v>
      </c>
      <c r="H663" s="102">
        <v>33</v>
      </c>
      <c r="I663" s="99">
        <v>36.799999999999997</v>
      </c>
      <c r="J663" s="99">
        <v>0</v>
      </c>
      <c r="K663" s="99">
        <v>1178.0032876712357</v>
      </c>
      <c r="L663" s="103">
        <v>661.99671232876426</v>
      </c>
    </row>
    <row r="664" spans="1:12" x14ac:dyDescent="0.45">
      <c r="A664" s="98" t="s">
        <v>526</v>
      </c>
      <c r="B664" s="87">
        <v>330</v>
      </c>
      <c r="C664" s="98" t="s">
        <v>627</v>
      </c>
      <c r="D664" s="93">
        <v>33604</v>
      </c>
      <c r="E664" s="99">
        <v>600</v>
      </c>
      <c r="F664" s="100"/>
      <c r="G664" s="101">
        <v>50</v>
      </c>
      <c r="H664" s="102">
        <v>33</v>
      </c>
      <c r="I664" s="99">
        <v>12</v>
      </c>
      <c r="J664" s="99">
        <v>0</v>
      </c>
      <c r="K664" s="99">
        <v>384.13150684931509</v>
      </c>
      <c r="L664" s="103">
        <v>215.86849315068491</v>
      </c>
    </row>
    <row r="665" spans="1:12" x14ac:dyDescent="0.45">
      <c r="A665" s="98" t="s">
        <v>526</v>
      </c>
      <c r="B665" s="87">
        <v>333</v>
      </c>
      <c r="C665" s="98" t="s">
        <v>628</v>
      </c>
      <c r="D665" s="93">
        <v>33604</v>
      </c>
      <c r="E665" s="99">
        <v>7400</v>
      </c>
      <c r="F665" s="100"/>
      <c r="G665" s="101">
        <v>30</v>
      </c>
      <c r="H665" s="102">
        <v>30</v>
      </c>
      <c r="I665" s="99">
        <v>0</v>
      </c>
      <c r="J665" s="99">
        <v>0</v>
      </c>
      <c r="K665" s="99">
        <v>7399.9976407914755</v>
      </c>
      <c r="L665" s="103">
        <v>2.3592085244672489E-3</v>
      </c>
    </row>
    <row r="666" spans="1:12" x14ac:dyDescent="0.45">
      <c r="A666" s="98" t="s">
        <v>526</v>
      </c>
      <c r="B666" s="87">
        <v>330</v>
      </c>
      <c r="C666" s="98" t="s">
        <v>629</v>
      </c>
      <c r="D666" s="93">
        <v>34335</v>
      </c>
      <c r="E666" s="99">
        <v>1140</v>
      </c>
      <c r="F666" s="100"/>
      <c r="G666" s="101">
        <v>50</v>
      </c>
      <c r="H666" s="102">
        <v>31</v>
      </c>
      <c r="I666" s="99">
        <v>22.8</v>
      </c>
      <c r="J666" s="99">
        <v>0</v>
      </c>
      <c r="K666" s="99">
        <v>684.18739726027229</v>
      </c>
      <c r="L666" s="103">
        <v>455.81260273972771</v>
      </c>
    </row>
    <row r="667" spans="1:12" x14ac:dyDescent="0.45">
      <c r="A667" s="98" t="s">
        <v>526</v>
      </c>
      <c r="B667" s="87">
        <v>330</v>
      </c>
      <c r="C667" s="98" t="s">
        <v>629</v>
      </c>
      <c r="D667" s="93">
        <v>34335</v>
      </c>
      <c r="E667" s="99">
        <v>1140</v>
      </c>
      <c r="F667" s="100"/>
      <c r="G667" s="101">
        <v>50</v>
      </c>
      <c r="H667" s="102">
        <v>31</v>
      </c>
      <c r="I667" s="99">
        <v>22.8</v>
      </c>
      <c r="J667" s="99">
        <v>0</v>
      </c>
      <c r="K667" s="99">
        <v>684.18739726027229</v>
      </c>
      <c r="L667" s="103">
        <v>455.81260273972771</v>
      </c>
    </row>
    <row r="668" spans="1:12" x14ac:dyDescent="0.45">
      <c r="A668" s="98" t="s">
        <v>526</v>
      </c>
      <c r="B668" s="87">
        <v>311</v>
      </c>
      <c r="C668" s="98" t="s">
        <v>630</v>
      </c>
      <c r="D668" s="93">
        <v>34335</v>
      </c>
      <c r="E668" s="99">
        <v>1800</v>
      </c>
      <c r="F668" s="100"/>
      <c r="G668" s="101">
        <v>20</v>
      </c>
      <c r="H668" s="102">
        <v>20</v>
      </c>
      <c r="I668" s="99">
        <v>0</v>
      </c>
      <c r="J668" s="99">
        <v>0</v>
      </c>
      <c r="K668" s="99">
        <v>1800</v>
      </c>
      <c r="L668" s="103">
        <v>0</v>
      </c>
    </row>
    <row r="669" spans="1:12" x14ac:dyDescent="0.45">
      <c r="A669" s="98" t="s">
        <v>526</v>
      </c>
      <c r="B669" s="87">
        <v>311</v>
      </c>
      <c r="C669" s="98" t="s">
        <v>631</v>
      </c>
      <c r="D669" s="93">
        <v>34335</v>
      </c>
      <c r="E669" s="99">
        <v>900</v>
      </c>
      <c r="F669" s="100"/>
      <c r="G669" s="101">
        <v>20</v>
      </c>
      <c r="H669" s="102">
        <v>20</v>
      </c>
      <c r="I669" s="99">
        <v>0</v>
      </c>
      <c r="J669" s="99">
        <v>0</v>
      </c>
      <c r="K669" s="99">
        <v>900</v>
      </c>
      <c r="L669" s="103">
        <v>0</v>
      </c>
    </row>
    <row r="670" spans="1:12" x14ac:dyDescent="0.45">
      <c r="A670" s="98" t="s">
        <v>526</v>
      </c>
      <c r="B670" s="87">
        <v>304</v>
      </c>
      <c r="C670" s="98" t="s">
        <v>632</v>
      </c>
      <c r="D670" s="93">
        <v>34335</v>
      </c>
      <c r="E670" s="99">
        <v>3580</v>
      </c>
      <c r="F670" s="100"/>
      <c r="G670" s="101">
        <v>35</v>
      </c>
      <c r="H670" s="102">
        <v>31</v>
      </c>
      <c r="I670" s="99">
        <v>102.28571428571429</v>
      </c>
      <c r="J670" s="99">
        <v>0</v>
      </c>
      <c r="K670" s="99">
        <v>3069.4121330724065</v>
      </c>
      <c r="L670" s="103">
        <v>510.5878669275935</v>
      </c>
    </row>
    <row r="671" spans="1:12" x14ac:dyDescent="0.45">
      <c r="A671" s="98" t="s">
        <v>526</v>
      </c>
      <c r="B671" s="87">
        <v>330</v>
      </c>
      <c r="C671" s="98" t="s">
        <v>633</v>
      </c>
      <c r="D671" s="93">
        <v>34335</v>
      </c>
      <c r="E671" s="99">
        <v>1000</v>
      </c>
      <c r="F671" s="100"/>
      <c r="G671" s="101">
        <v>50</v>
      </c>
      <c r="H671" s="102">
        <v>31</v>
      </c>
      <c r="I671" s="99">
        <v>20</v>
      </c>
      <c r="J671" s="99">
        <v>0</v>
      </c>
      <c r="K671" s="99">
        <v>600.16438356164508</v>
      </c>
      <c r="L671" s="103">
        <v>399.83561643835492</v>
      </c>
    </row>
    <row r="672" spans="1:12" x14ac:dyDescent="0.45">
      <c r="A672" s="98" t="s">
        <v>526</v>
      </c>
      <c r="B672" s="87">
        <v>330</v>
      </c>
      <c r="C672" s="98" t="s">
        <v>634</v>
      </c>
      <c r="D672" s="93">
        <v>34335</v>
      </c>
      <c r="E672" s="99">
        <v>5120</v>
      </c>
      <c r="F672" s="100"/>
      <c r="G672" s="101">
        <v>50</v>
      </c>
      <c r="H672" s="102">
        <v>31</v>
      </c>
      <c r="I672" s="99">
        <v>102.4</v>
      </c>
      <c r="J672" s="99">
        <v>0</v>
      </c>
      <c r="K672" s="99">
        <v>3072.8416438356148</v>
      </c>
      <c r="L672" s="103">
        <v>2047.1583561643852</v>
      </c>
    </row>
    <row r="673" spans="1:12" x14ac:dyDescent="0.45">
      <c r="A673" s="98" t="s">
        <v>526</v>
      </c>
      <c r="B673" s="87">
        <v>330</v>
      </c>
      <c r="C673" s="98" t="s">
        <v>592</v>
      </c>
      <c r="D673" s="93">
        <v>34335</v>
      </c>
      <c r="E673" s="99">
        <v>4500</v>
      </c>
      <c r="F673" s="100"/>
      <c r="G673" s="101">
        <v>50</v>
      </c>
      <c r="H673" s="102">
        <v>31</v>
      </c>
      <c r="I673" s="99">
        <v>90</v>
      </c>
      <c r="J673" s="99">
        <v>0</v>
      </c>
      <c r="K673" s="99">
        <v>2700.7397260273974</v>
      </c>
      <c r="L673" s="103">
        <v>1799.2602739726026</v>
      </c>
    </row>
    <row r="674" spans="1:12" x14ac:dyDescent="0.45">
      <c r="A674" s="98" t="s">
        <v>526</v>
      </c>
      <c r="B674" s="87">
        <v>330</v>
      </c>
      <c r="C674" s="98" t="s">
        <v>593</v>
      </c>
      <c r="D674" s="93">
        <v>34335</v>
      </c>
      <c r="E674" s="99">
        <v>21450</v>
      </c>
      <c r="F674" s="100"/>
      <c r="G674" s="101">
        <v>50</v>
      </c>
      <c r="H674" s="102">
        <v>31</v>
      </c>
      <c r="I674" s="99">
        <v>429</v>
      </c>
      <c r="J674" s="99">
        <v>0</v>
      </c>
      <c r="K674" s="99">
        <v>12873.52602739726</v>
      </c>
      <c r="L674" s="103">
        <v>8576.4739726027401</v>
      </c>
    </row>
    <row r="675" spans="1:12" x14ac:dyDescent="0.45">
      <c r="A675" s="98" t="s">
        <v>526</v>
      </c>
      <c r="B675" s="87">
        <v>303</v>
      </c>
      <c r="C675" s="98" t="s">
        <v>635</v>
      </c>
      <c r="D675" s="93">
        <v>34530</v>
      </c>
      <c r="E675" s="99">
        <v>1830</v>
      </c>
      <c r="F675" s="100"/>
      <c r="G675" s="101">
        <v>0</v>
      </c>
      <c r="H675" s="102">
        <v>0</v>
      </c>
      <c r="I675" s="99">
        <v>0</v>
      </c>
      <c r="J675" s="99">
        <v>0</v>
      </c>
      <c r="K675" s="99">
        <v>0</v>
      </c>
      <c r="L675" s="103">
        <v>1830</v>
      </c>
    </row>
    <row r="676" spans="1:12" x14ac:dyDescent="0.45">
      <c r="A676" s="98" t="s">
        <v>526</v>
      </c>
      <c r="B676" s="87">
        <v>303</v>
      </c>
      <c r="C676" s="98" t="s">
        <v>636</v>
      </c>
      <c r="D676" s="93">
        <v>34530</v>
      </c>
      <c r="E676" s="99">
        <v>2410</v>
      </c>
      <c r="F676" s="100"/>
      <c r="G676" s="101">
        <v>0</v>
      </c>
      <c r="H676" s="102">
        <v>0</v>
      </c>
      <c r="I676" s="99">
        <v>0</v>
      </c>
      <c r="J676" s="99">
        <v>0</v>
      </c>
      <c r="K676" s="99">
        <v>0</v>
      </c>
      <c r="L676" s="103">
        <v>2410</v>
      </c>
    </row>
    <row r="677" spans="1:12" x14ac:dyDescent="0.45">
      <c r="A677" s="98" t="s">
        <v>526</v>
      </c>
      <c r="B677" s="87">
        <v>311</v>
      </c>
      <c r="C677" s="98" t="s">
        <v>637</v>
      </c>
      <c r="D677" s="93">
        <v>34700</v>
      </c>
      <c r="E677" s="99">
        <v>3000</v>
      </c>
      <c r="F677" s="100"/>
      <c r="G677" s="101">
        <v>20</v>
      </c>
      <c r="H677" s="102">
        <v>20</v>
      </c>
      <c r="I677" s="99">
        <v>0</v>
      </c>
      <c r="J677" s="99">
        <v>0</v>
      </c>
      <c r="K677" s="99">
        <v>3000</v>
      </c>
      <c r="L677" s="103">
        <v>0</v>
      </c>
    </row>
    <row r="678" spans="1:12" x14ac:dyDescent="0.45">
      <c r="A678" s="98" t="s">
        <v>526</v>
      </c>
      <c r="B678" s="87">
        <v>311</v>
      </c>
      <c r="C678" s="98" t="s">
        <v>638</v>
      </c>
      <c r="D678" s="93">
        <v>34700</v>
      </c>
      <c r="E678" s="99">
        <v>3200</v>
      </c>
      <c r="F678" s="100"/>
      <c r="G678" s="101">
        <v>20</v>
      </c>
      <c r="H678" s="102">
        <v>20</v>
      </c>
      <c r="I678" s="99">
        <v>0</v>
      </c>
      <c r="J678" s="99">
        <v>0</v>
      </c>
      <c r="K678" s="99">
        <v>3200</v>
      </c>
      <c r="L678" s="103">
        <v>0</v>
      </c>
    </row>
    <row r="679" spans="1:12" x14ac:dyDescent="0.45">
      <c r="A679" s="98" t="s">
        <v>526</v>
      </c>
      <c r="B679" s="87">
        <v>311</v>
      </c>
      <c r="C679" s="98" t="s">
        <v>639</v>
      </c>
      <c r="D679" s="93">
        <v>34700</v>
      </c>
      <c r="E679" s="99">
        <v>2800</v>
      </c>
      <c r="F679" s="100"/>
      <c r="G679" s="101">
        <v>20</v>
      </c>
      <c r="H679" s="102">
        <v>20</v>
      </c>
      <c r="I679" s="99">
        <v>0</v>
      </c>
      <c r="J679" s="99">
        <v>0</v>
      </c>
      <c r="K679" s="99">
        <v>2800</v>
      </c>
      <c r="L679" s="103">
        <v>0</v>
      </c>
    </row>
    <row r="680" spans="1:12" x14ac:dyDescent="0.45">
      <c r="A680" s="98" t="s">
        <v>526</v>
      </c>
      <c r="B680" s="87">
        <v>311</v>
      </c>
      <c r="C680" s="98" t="s">
        <v>640</v>
      </c>
      <c r="D680" s="93">
        <v>34700</v>
      </c>
      <c r="E680" s="99">
        <v>2400</v>
      </c>
      <c r="F680" s="100"/>
      <c r="G680" s="101">
        <v>20</v>
      </c>
      <c r="H680" s="102">
        <v>20</v>
      </c>
      <c r="I680" s="99">
        <v>0</v>
      </c>
      <c r="J680" s="99">
        <v>0</v>
      </c>
      <c r="K680" s="99">
        <v>2400</v>
      </c>
      <c r="L680" s="103">
        <v>0</v>
      </c>
    </row>
    <row r="681" spans="1:12" x14ac:dyDescent="0.45">
      <c r="A681" s="98" t="s">
        <v>526</v>
      </c>
      <c r="B681" s="87">
        <v>311</v>
      </c>
      <c r="C681" s="98" t="s">
        <v>641</v>
      </c>
      <c r="D681" s="93">
        <v>34700</v>
      </c>
      <c r="E681" s="99">
        <v>5600</v>
      </c>
      <c r="F681" s="100"/>
      <c r="G681" s="101">
        <v>20</v>
      </c>
      <c r="H681" s="102">
        <v>20</v>
      </c>
      <c r="I681" s="99">
        <v>0</v>
      </c>
      <c r="J681" s="99">
        <v>0</v>
      </c>
      <c r="K681" s="99">
        <v>5600</v>
      </c>
      <c r="L681" s="103">
        <v>0</v>
      </c>
    </row>
    <row r="682" spans="1:12" x14ac:dyDescent="0.45">
      <c r="A682" s="98" t="s">
        <v>526</v>
      </c>
      <c r="B682" s="87">
        <v>304</v>
      </c>
      <c r="C682" s="98" t="s">
        <v>642</v>
      </c>
      <c r="D682" s="93">
        <v>34700</v>
      </c>
      <c r="E682" s="99">
        <v>4200</v>
      </c>
      <c r="F682" s="100"/>
      <c r="G682" s="101">
        <v>35</v>
      </c>
      <c r="H682" s="102">
        <v>30</v>
      </c>
      <c r="I682" s="99">
        <v>120</v>
      </c>
      <c r="J682" s="99">
        <v>0</v>
      </c>
      <c r="K682" s="99">
        <v>3480.9863013698632</v>
      </c>
      <c r="L682" s="103">
        <v>719.01369863013679</v>
      </c>
    </row>
    <row r="683" spans="1:12" x14ac:dyDescent="0.45">
      <c r="A683" s="98" t="s">
        <v>526</v>
      </c>
      <c r="B683" s="87">
        <v>304</v>
      </c>
      <c r="C683" s="98" t="s">
        <v>643</v>
      </c>
      <c r="D683" s="93">
        <v>34700</v>
      </c>
      <c r="E683" s="99">
        <v>1200</v>
      </c>
      <c r="F683" s="100"/>
      <c r="G683" s="101">
        <v>35</v>
      </c>
      <c r="H683" s="102">
        <v>30</v>
      </c>
      <c r="I683" s="99">
        <v>34.285714285714285</v>
      </c>
      <c r="J683" s="99">
        <v>0</v>
      </c>
      <c r="K683" s="99">
        <v>994.56751467710285</v>
      </c>
      <c r="L683" s="103">
        <v>205.43248532289715</v>
      </c>
    </row>
    <row r="684" spans="1:12" x14ac:dyDescent="0.45">
      <c r="A684" s="98" t="s">
        <v>526</v>
      </c>
      <c r="B684" s="87">
        <v>304</v>
      </c>
      <c r="C684" s="98" t="s">
        <v>581</v>
      </c>
      <c r="D684" s="93">
        <v>34700</v>
      </c>
      <c r="E684" s="99">
        <v>50</v>
      </c>
      <c r="F684" s="100"/>
      <c r="G684" s="101">
        <v>35</v>
      </c>
      <c r="H684" s="102">
        <v>30</v>
      </c>
      <c r="I684" s="99">
        <v>1.4285714285714286</v>
      </c>
      <c r="J684" s="99">
        <v>0</v>
      </c>
      <c r="K684" s="99">
        <v>41.440313111545962</v>
      </c>
      <c r="L684" s="103">
        <v>8.5596868884540385</v>
      </c>
    </row>
    <row r="685" spans="1:12" x14ac:dyDescent="0.45">
      <c r="A685" s="98" t="s">
        <v>526</v>
      </c>
      <c r="B685" s="87">
        <v>330</v>
      </c>
      <c r="C685" s="98" t="s">
        <v>644</v>
      </c>
      <c r="D685" s="93">
        <v>34700</v>
      </c>
      <c r="E685" s="99">
        <v>200000</v>
      </c>
      <c r="F685" s="100"/>
      <c r="G685" s="101">
        <v>50</v>
      </c>
      <c r="H685" s="102">
        <v>30</v>
      </c>
      <c r="I685" s="99">
        <v>4000</v>
      </c>
      <c r="J685" s="99">
        <v>0</v>
      </c>
      <c r="K685" s="99">
        <v>116032.87671232845</v>
      </c>
      <c r="L685" s="103">
        <v>83967.123287671551</v>
      </c>
    </row>
    <row r="686" spans="1:12" x14ac:dyDescent="0.45">
      <c r="A686" s="98" t="s">
        <v>526</v>
      </c>
      <c r="B686" s="87">
        <v>330</v>
      </c>
      <c r="C686" s="98" t="s">
        <v>645</v>
      </c>
      <c r="D686" s="93">
        <v>34700</v>
      </c>
      <c r="E686" s="99">
        <v>5000</v>
      </c>
      <c r="F686" s="100"/>
      <c r="G686" s="101">
        <v>50</v>
      </c>
      <c r="H686" s="102">
        <v>30</v>
      </c>
      <c r="I686" s="99">
        <v>100</v>
      </c>
      <c r="J686" s="99">
        <v>0</v>
      </c>
      <c r="K686" s="99">
        <v>2900.821917808229</v>
      </c>
      <c r="L686" s="103">
        <v>2099.178082191771</v>
      </c>
    </row>
    <row r="687" spans="1:12" x14ac:dyDescent="0.45">
      <c r="A687" s="98" t="s">
        <v>526</v>
      </c>
      <c r="B687" s="87">
        <v>333</v>
      </c>
      <c r="C687" s="98" t="s">
        <v>646</v>
      </c>
      <c r="D687" s="93">
        <v>34700</v>
      </c>
      <c r="E687" s="99">
        <v>7200</v>
      </c>
      <c r="F687" s="100"/>
      <c r="G687" s="101">
        <v>30</v>
      </c>
      <c r="H687" s="102">
        <v>30</v>
      </c>
      <c r="I687" s="99">
        <v>0</v>
      </c>
      <c r="J687" s="99">
        <v>0</v>
      </c>
      <c r="K687" s="99">
        <v>6961.9726027397264</v>
      </c>
      <c r="L687" s="103">
        <v>238.02739726027357</v>
      </c>
    </row>
    <row r="688" spans="1:12" x14ac:dyDescent="0.45">
      <c r="A688" s="98" t="s">
        <v>526</v>
      </c>
      <c r="B688" s="87">
        <v>311</v>
      </c>
      <c r="C688" s="98" t="s">
        <v>647</v>
      </c>
      <c r="D688" s="93">
        <v>35065</v>
      </c>
      <c r="E688" s="99">
        <v>4000</v>
      </c>
      <c r="F688" s="100"/>
      <c r="G688" s="101">
        <v>20</v>
      </c>
      <c r="H688" s="102">
        <v>20</v>
      </c>
      <c r="I688" s="99">
        <v>0</v>
      </c>
      <c r="J688" s="99">
        <v>0</v>
      </c>
      <c r="K688" s="99">
        <v>4000</v>
      </c>
      <c r="L688" s="103">
        <v>0</v>
      </c>
    </row>
    <row r="689" spans="1:12" x14ac:dyDescent="0.45">
      <c r="A689" s="98" t="s">
        <v>526</v>
      </c>
      <c r="B689" s="87">
        <v>311</v>
      </c>
      <c r="C689" s="98" t="s">
        <v>647</v>
      </c>
      <c r="D689" s="93">
        <v>35065</v>
      </c>
      <c r="E689" s="99">
        <v>4000</v>
      </c>
      <c r="F689" s="100"/>
      <c r="G689" s="101">
        <v>20</v>
      </c>
      <c r="H689" s="102">
        <v>20</v>
      </c>
      <c r="I689" s="99">
        <v>0</v>
      </c>
      <c r="J689" s="99">
        <v>0</v>
      </c>
      <c r="K689" s="99">
        <v>4000</v>
      </c>
      <c r="L689" s="103">
        <v>0</v>
      </c>
    </row>
    <row r="690" spans="1:12" x14ac:dyDescent="0.45">
      <c r="A690" s="98" t="s">
        <v>526</v>
      </c>
      <c r="B690" s="87">
        <v>311</v>
      </c>
      <c r="C690" s="98" t="s">
        <v>648</v>
      </c>
      <c r="D690" s="93">
        <v>35065</v>
      </c>
      <c r="E690" s="99">
        <v>2200</v>
      </c>
      <c r="F690" s="100"/>
      <c r="G690" s="101">
        <v>20</v>
      </c>
      <c r="H690" s="102">
        <v>20</v>
      </c>
      <c r="I690" s="99">
        <v>0</v>
      </c>
      <c r="J690" s="99">
        <v>0</v>
      </c>
      <c r="K690" s="99">
        <v>2200</v>
      </c>
      <c r="L690" s="103">
        <v>0</v>
      </c>
    </row>
    <row r="691" spans="1:12" x14ac:dyDescent="0.45">
      <c r="A691" s="98" t="s">
        <v>526</v>
      </c>
      <c r="B691" s="87">
        <v>311</v>
      </c>
      <c r="C691" s="98" t="s">
        <v>648</v>
      </c>
      <c r="D691" s="93">
        <v>35065</v>
      </c>
      <c r="E691" s="99">
        <v>2200</v>
      </c>
      <c r="F691" s="100"/>
      <c r="G691" s="101">
        <v>20</v>
      </c>
      <c r="H691" s="102">
        <v>20</v>
      </c>
      <c r="I691" s="99">
        <v>0</v>
      </c>
      <c r="J691" s="99">
        <v>0</v>
      </c>
      <c r="K691" s="99">
        <v>2200</v>
      </c>
      <c r="L691" s="103">
        <v>0</v>
      </c>
    </row>
    <row r="692" spans="1:12" x14ac:dyDescent="0.45">
      <c r="A692" s="98" t="s">
        <v>526</v>
      </c>
      <c r="B692" s="87">
        <v>304</v>
      </c>
      <c r="C692" s="98" t="s">
        <v>533</v>
      </c>
      <c r="D692" s="93">
        <v>35065</v>
      </c>
      <c r="E692" s="99">
        <v>100</v>
      </c>
      <c r="F692" s="100"/>
      <c r="G692" s="101">
        <v>35</v>
      </c>
      <c r="H692" s="102">
        <v>29</v>
      </c>
      <c r="I692" s="99">
        <v>2.8571428571428572</v>
      </c>
      <c r="J692" s="99">
        <v>0</v>
      </c>
      <c r="K692" s="99">
        <v>80.02348336594909</v>
      </c>
      <c r="L692" s="103">
        <v>19.97651663405091</v>
      </c>
    </row>
    <row r="693" spans="1:12" x14ac:dyDescent="0.45">
      <c r="A693" s="98" t="s">
        <v>526</v>
      </c>
      <c r="B693" s="87">
        <v>330</v>
      </c>
      <c r="C693" s="98" t="s">
        <v>649</v>
      </c>
      <c r="D693" s="93">
        <v>35065</v>
      </c>
      <c r="E693" s="99">
        <v>4500</v>
      </c>
      <c r="F693" s="100"/>
      <c r="G693" s="101">
        <v>50</v>
      </c>
      <c r="H693" s="102">
        <v>29</v>
      </c>
      <c r="I693" s="99">
        <v>90</v>
      </c>
      <c r="J693" s="99">
        <v>0</v>
      </c>
      <c r="K693" s="99">
        <v>2520.7397260273974</v>
      </c>
      <c r="L693" s="103">
        <v>1979.2602739726026</v>
      </c>
    </row>
    <row r="694" spans="1:12" x14ac:dyDescent="0.45">
      <c r="A694" s="98" t="s">
        <v>526</v>
      </c>
      <c r="B694" s="87">
        <v>311</v>
      </c>
      <c r="C694" s="98" t="s">
        <v>650</v>
      </c>
      <c r="D694" s="93">
        <v>35431</v>
      </c>
      <c r="E694" s="99">
        <v>2600</v>
      </c>
      <c r="F694" s="100"/>
      <c r="G694" s="101">
        <v>20</v>
      </c>
      <c r="H694" s="102">
        <v>20</v>
      </c>
      <c r="I694" s="99">
        <v>0</v>
      </c>
      <c r="J694" s="99">
        <v>0</v>
      </c>
      <c r="K694" s="99">
        <v>2600</v>
      </c>
      <c r="L694" s="103">
        <v>0</v>
      </c>
    </row>
    <row r="695" spans="1:12" x14ac:dyDescent="0.45">
      <c r="A695" s="98" t="s">
        <v>526</v>
      </c>
      <c r="B695" s="87">
        <v>311</v>
      </c>
      <c r="C695" s="98" t="s">
        <v>651</v>
      </c>
      <c r="D695" s="93">
        <v>35431</v>
      </c>
      <c r="E695" s="99">
        <v>950</v>
      </c>
      <c r="F695" s="100"/>
      <c r="G695" s="101">
        <v>20</v>
      </c>
      <c r="H695" s="102">
        <v>20</v>
      </c>
      <c r="I695" s="99">
        <v>0</v>
      </c>
      <c r="J695" s="99">
        <v>0</v>
      </c>
      <c r="K695" s="99">
        <v>950</v>
      </c>
      <c r="L695" s="103">
        <v>0</v>
      </c>
    </row>
    <row r="696" spans="1:12" x14ac:dyDescent="0.45">
      <c r="A696" s="98" t="s">
        <v>526</v>
      </c>
      <c r="B696" s="87">
        <v>304</v>
      </c>
      <c r="C696" s="98" t="s">
        <v>609</v>
      </c>
      <c r="D696" s="93">
        <v>35796</v>
      </c>
      <c r="E696" s="99">
        <v>50</v>
      </c>
      <c r="F696" s="100"/>
      <c r="G696" s="101">
        <v>35</v>
      </c>
      <c r="H696" s="102">
        <v>27</v>
      </c>
      <c r="I696" s="99">
        <v>1.4285714285714286</v>
      </c>
      <c r="J696" s="99">
        <v>0</v>
      </c>
      <c r="K696" s="99">
        <v>37.150684931506881</v>
      </c>
      <c r="L696" s="103">
        <v>12.849315068493119</v>
      </c>
    </row>
    <row r="697" spans="1:12" x14ac:dyDescent="0.45">
      <c r="A697" s="98" t="s">
        <v>526</v>
      </c>
      <c r="B697" s="87">
        <v>330</v>
      </c>
      <c r="C697" s="98" t="s">
        <v>652</v>
      </c>
      <c r="D697" s="93">
        <v>35796</v>
      </c>
      <c r="E697" s="99">
        <v>600</v>
      </c>
      <c r="F697" s="100"/>
      <c r="G697" s="101">
        <v>50</v>
      </c>
      <c r="H697" s="102">
        <v>27</v>
      </c>
      <c r="I697" s="99">
        <v>12</v>
      </c>
      <c r="J697" s="99">
        <v>0</v>
      </c>
      <c r="K697" s="99">
        <v>312.06575342465754</v>
      </c>
      <c r="L697" s="103">
        <v>287.93424657534246</v>
      </c>
    </row>
    <row r="698" spans="1:12" x14ac:dyDescent="0.45">
      <c r="A698" s="98" t="s">
        <v>526</v>
      </c>
      <c r="B698" s="87">
        <v>303</v>
      </c>
      <c r="C698" s="98" t="s">
        <v>530</v>
      </c>
      <c r="D698" s="93">
        <v>36526</v>
      </c>
      <c r="E698" s="99">
        <v>7211</v>
      </c>
      <c r="F698" s="100"/>
      <c r="G698" s="101">
        <v>0</v>
      </c>
      <c r="H698" s="102">
        <v>0</v>
      </c>
      <c r="I698" s="99">
        <v>0</v>
      </c>
      <c r="J698" s="99">
        <v>0</v>
      </c>
      <c r="K698" s="99">
        <v>0</v>
      </c>
      <c r="L698" s="103">
        <v>7211</v>
      </c>
    </row>
    <row r="699" spans="1:12" x14ac:dyDescent="0.45">
      <c r="A699" s="98" t="s">
        <v>526</v>
      </c>
      <c r="B699" s="87">
        <v>311</v>
      </c>
      <c r="C699" s="98" t="s">
        <v>653</v>
      </c>
      <c r="D699" s="93">
        <v>36526</v>
      </c>
      <c r="E699" s="99">
        <v>1200</v>
      </c>
      <c r="F699" s="100"/>
      <c r="G699" s="101">
        <v>20</v>
      </c>
      <c r="H699" s="102">
        <v>20</v>
      </c>
      <c r="I699" s="99">
        <v>0</v>
      </c>
      <c r="J699" s="99">
        <v>0</v>
      </c>
      <c r="K699" s="99">
        <v>1200</v>
      </c>
      <c r="L699" s="103">
        <v>0</v>
      </c>
    </row>
    <row r="700" spans="1:12" x14ac:dyDescent="0.45">
      <c r="A700" s="98" t="s">
        <v>526</v>
      </c>
      <c r="B700" s="87">
        <v>311</v>
      </c>
      <c r="C700" s="98" t="s">
        <v>654</v>
      </c>
      <c r="D700" s="93">
        <v>36892</v>
      </c>
      <c r="E700" s="99">
        <v>800</v>
      </c>
      <c r="F700" s="100"/>
      <c r="G700" s="101">
        <v>20</v>
      </c>
      <c r="H700" s="102">
        <v>20</v>
      </c>
      <c r="I700" s="99">
        <v>0</v>
      </c>
      <c r="J700" s="99">
        <v>0</v>
      </c>
      <c r="K700" s="99">
        <v>799.99625570776266</v>
      </c>
      <c r="L700" s="103">
        <v>3.744292237342961E-3</v>
      </c>
    </row>
    <row r="701" spans="1:12" x14ac:dyDescent="0.45">
      <c r="A701" s="98" t="s">
        <v>526</v>
      </c>
      <c r="B701" s="87">
        <v>330</v>
      </c>
      <c r="C701" s="98" t="s">
        <v>655</v>
      </c>
      <c r="D701" s="93">
        <v>38353</v>
      </c>
      <c r="E701" s="99">
        <v>2600</v>
      </c>
      <c r="F701" s="100"/>
      <c r="G701" s="101">
        <v>50</v>
      </c>
      <c r="H701" s="102">
        <v>20</v>
      </c>
      <c r="I701" s="99">
        <v>52</v>
      </c>
      <c r="J701" s="99">
        <v>0</v>
      </c>
      <c r="K701" s="99">
        <v>987.99999999999523</v>
      </c>
      <c r="L701" s="103">
        <v>1612.0000000000048</v>
      </c>
    </row>
    <row r="702" spans="1:12" x14ac:dyDescent="0.45">
      <c r="A702" s="98" t="s">
        <v>526</v>
      </c>
      <c r="B702" s="87">
        <v>311</v>
      </c>
      <c r="C702" s="98" t="s">
        <v>656</v>
      </c>
      <c r="D702" s="93">
        <v>38353</v>
      </c>
      <c r="E702" s="99">
        <v>4693</v>
      </c>
      <c r="F702" s="100"/>
      <c r="G702" s="101">
        <v>20</v>
      </c>
      <c r="H702" s="102">
        <v>20</v>
      </c>
      <c r="I702" s="99">
        <v>234.65</v>
      </c>
      <c r="J702" s="99">
        <v>0</v>
      </c>
      <c r="K702" s="99">
        <v>4458.3499999999985</v>
      </c>
      <c r="L702" s="103">
        <v>234.65000000000146</v>
      </c>
    </row>
    <row r="703" spans="1:12" x14ac:dyDescent="0.45">
      <c r="A703" s="98" t="s">
        <v>526</v>
      </c>
      <c r="B703" s="87">
        <v>330</v>
      </c>
      <c r="C703" s="98" t="s">
        <v>593</v>
      </c>
      <c r="D703" s="93">
        <v>38353</v>
      </c>
      <c r="E703" s="99">
        <v>17850</v>
      </c>
      <c r="F703" s="100"/>
      <c r="G703" s="101">
        <v>50</v>
      </c>
      <c r="H703" s="102">
        <v>20</v>
      </c>
      <c r="I703" s="99">
        <v>357</v>
      </c>
      <c r="J703" s="99">
        <v>0</v>
      </c>
      <c r="K703" s="99">
        <v>6783</v>
      </c>
      <c r="L703" s="103">
        <v>11067</v>
      </c>
    </row>
    <row r="704" spans="1:12" x14ac:dyDescent="0.45">
      <c r="A704" s="98" t="s">
        <v>526</v>
      </c>
      <c r="B704" s="87">
        <v>311</v>
      </c>
      <c r="C704" s="98" t="s">
        <v>657</v>
      </c>
      <c r="D704" s="93">
        <v>39083</v>
      </c>
      <c r="E704" s="99">
        <v>1971</v>
      </c>
      <c r="F704" s="100"/>
      <c r="G704" s="101">
        <v>20</v>
      </c>
      <c r="H704" s="102">
        <v>18</v>
      </c>
      <c r="I704" s="99">
        <v>98.55</v>
      </c>
      <c r="J704" s="99">
        <v>0</v>
      </c>
      <c r="K704" s="99">
        <v>1675.3499999999983</v>
      </c>
      <c r="L704" s="103">
        <v>295.65000000000168</v>
      </c>
    </row>
    <row r="705" spans="1:12" x14ac:dyDescent="0.45">
      <c r="A705" s="98" t="s">
        <v>526</v>
      </c>
      <c r="B705" s="87">
        <v>311</v>
      </c>
      <c r="C705" s="98" t="s">
        <v>658</v>
      </c>
      <c r="D705" s="93">
        <v>40544</v>
      </c>
      <c r="E705" s="99">
        <v>800</v>
      </c>
      <c r="F705" s="100"/>
      <c r="G705" s="101">
        <v>20</v>
      </c>
      <c r="H705" s="102">
        <v>14</v>
      </c>
      <c r="I705" s="99">
        <v>40</v>
      </c>
      <c r="J705" s="99">
        <v>0</v>
      </c>
      <c r="K705" s="99">
        <v>519.89041095890298</v>
      </c>
      <c r="L705" s="103">
        <v>280.10958904109702</v>
      </c>
    </row>
    <row r="706" spans="1:12" x14ac:dyDescent="0.45">
      <c r="A706" s="98" t="s">
        <v>526</v>
      </c>
      <c r="B706" s="87">
        <v>304</v>
      </c>
      <c r="C706" s="98" t="s">
        <v>659</v>
      </c>
      <c r="D706" s="93">
        <v>40544</v>
      </c>
      <c r="E706" s="99">
        <v>250</v>
      </c>
      <c r="F706" s="100"/>
      <c r="G706" s="101">
        <v>35</v>
      </c>
      <c r="H706" s="102">
        <v>14</v>
      </c>
      <c r="I706" s="99">
        <v>7.1428571428571432</v>
      </c>
      <c r="J706" s="99">
        <v>0</v>
      </c>
      <c r="K706" s="99">
        <v>92.837573385518994</v>
      </c>
      <c r="L706" s="103">
        <v>157.16242661448101</v>
      </c>
    </row>
    <row r="707" spans="1:12" x14ac:dyDescent="0.45">
      <c r="A707" s="98" t="s">
        <v>526</v>
      </c>
      <c r="B707" s="87">
        <v>311</v>
      </c>
      <c r="C707" s="98" t="s">
        <v>660</v>
      </c>
      <c r="D707" s="93">
        <v>40909</v>
      </c>
      <c r="E707" s="99">
        <v>13000</v>
      </c>
      <c r="F707" s="100"/>
      <c r="G707" s="101">
        <v>20</v>
      </c>
      <c r="H707" s="102">
        <v>13</v>
      </c>
      <c r="I707" s="99">
        <v>650</v>
      </c>
      <c r="J707" s="99">
        <v>0</v>
      </c>
      <c r="K707" s="99">
        <v>7800.0000000000127</v>
      </c>
      <c r="L707" s="103">
        <v>5199.9999999999873</v>
      </c>
    </row>
    <row r="708" spans="1:12" x14ac:dyDescent="0.45">
      <c r="A708" s="98" t="s">
        <v>526</v>
      </c>
      <c r="B708" s="87">
        <v>330</v>
      </c>
      <c r="C708" s="98" t="s">
        <v>661</v>
      </c>
      <c r="D708" s="93">
        <v>41275</v>
      </c>
      <c r="E708" s="99">
        <v>4436.6899999999996</v>
      </c>
      <c r="F708" s="100"/>
      <c r="G708" s="101">
        <v>50</v>
      </c>
      <c r="H708" s="102">
        <v>12</v>
      </c>
      <c r="I708" s="99">
        <v>88.733799999999988</v>
      </c>
      <c r="J708" s="99">
        <v>0</v>
      </c>
      <c r="K708" s="99">
        <v>975.8286936986392</v>
      </c>
      <c r="L708" s="103">
        <v>3460.8613063013604</v>
      </c>
    </row>
    <row r="709" spans="1:12" x14ac:dyDescent="0.45">
      <c r="A709" s="98" t="s">
        <v>526</v>
      </c>
      <c r="B709" s="87">
        <v>311</v>
      </c>
      <c r="C709" s="98" t="s">
        <v>662</v>
      </c>
      <c r="D709" s="93">
        <v>41279</v>
      </c>
      <c r="E709" s="99">
        <v>73.48</v>
      </c>
      <c r="F709" s="100"/>
      <c r="G709" s="101">
        <v>40</v>
      </c>
      <c r="H709" s="102">
        <v>12</v>
      </c>
      <c r="I709" s="99">
        <v>1.8370000000000002</v>
      </c>
      <c r="J709" s="99">
        <v>0</v>
      </c>
      <c r="K709" s="99">
        <v>20.181835616438462</v>
      </c>
      <c r="L709" s="103">
        <v>53.298164383561542</v>
      </c>
    </row>
    <row r="710" spans="1:12" x14ac:dyDescent="0.45">
      <c r="A710" s="98" t="s">
        <v>526</v>
      </c>
      <c r="B710" s="87">
        <v>311</v>
      </c>
      <c r="C710" s="98" t="s">
        <v>663</v>
      </c>
      <c r="D710" s="93">
        <v>41302</v>
      </c>
      <c r="E710" s="99">
        <v>264.79000000000002</v>
      </c>
      <c r="F710" s="100"/>
      <c r="G710" s="101">
        <v>40</v>
      </c>
      <c r="H710" s="102">
        <v>12</v>
      </c>
      <c r="I710" s="99">
        <v>6.6197500000000007</v>
      </c>
      <c r="J710" s="99">
        <v>0</v>
      </c>
      <c r="K710" s="99">
        <v>72.309433561644198</v>
      </c>
      <c r="L710" s="103">
        <v>192.48056643835582</v>
      </c>
    </row>
    <row r="711" spans="1:12" x14ac:dyDescent="0.45">
      <c r="A711" s="98" t="s">
        <v>526</v>
      </c>
      <c r="B711" s="87">
        <v>311</v>
      </c>
      <c r="C711" s="98" t="s">
        <v>664</v>
      </c>
      <c r="D711" s="93">
        <v>41334</v>
      </c>
      <c r="E711" s="99">
        <v>1854.42</v>
      </c>
      <c r="F711" s="100"/>
      <c r="G711" s="101">
        <v>20</v>
      </c>
      <c r="H711" s="102">
        <v>12</v>
      </c>
      <c r="I711" s="99">
        <v>92.721000000000004</v>
      </c>
      <c r="J711" s="99">
        <v>0</v>
      </c>
      <c r="K711" s="99">
        <v>1004.6891917808243</v>
      </c>
      <c r="L711" s="103">
        <v>849.73080821917574</v>
      </c>
    </row>
    <row r="712" spans="1:12" x14ac:dyDescent="0.45">
      <c r="A712" s="98" t="s">
        <v>526</v>
      </c>
      <c r="B712" s="87">
        <v>311</v>
      </c>
      <c r="C712" s="98" t="s">
        <v>665</v>
      </c>
      <c r="D712" s="93">
        <v>41339</v>
      </c>
      <c r="E712" s="99">
        <v>242.18</v>
      </c>
      <c r="F712" s="100"/>
      <c r="G712" s="101">
        <v>40</v>
      </c>
      <c r="H712" s="102">
        <v>12</v>
      </c>
      <c r="I712" s="99">
        <v>6.0545</v>
      </c>
      <c r="J712" s="99">
        <v>0</v>
      </c>
      <c r="K712" s="99">
        <v>65.521301369862186</v>
      </c>
      <c r="L712" s="103">
        <v>176.65869863013782</v>
      </c>
    </row>
    <row r="713" spans="1:12" x14ac:dyDescent="0.45">
      <c r="A713" s="98" t="s">
        <v>526</v>
      </c>
      <c r="B713" s="87">
        <v>311</v>
      </c>
      <c r="C713" s="98" t="s">
        <v>666</v>
      </c>
      <c r="D713" s="93">
        <v>41339</v>
      </c>
      <c r="E713" s="99">
        <v>81.53</v>
      </c>
      <c r="F713" s="100"/>
      <c r="G713" s="101">
        <v>40</v>
      </c>
      <c r="H713" s="102">
        <v>12</v>
      </c>
      <c r="I713" s="99">
        <v>2.0382500000000001</v>
      </c>
      <c r="J713" s="99">
        <v>0</v>
      </c>
      <c r="K713" s="99">
        <v>22.057773972602789</v>
      </c>
      <c r="L713" s="103">
        <v>59.472226027397213</v>
      </c>
    </row>
    <row r="714" spans="1:12" x14ac:dyDescent="0.45">
      <c r="A714" s="98" t="s">
        <v>526</v>
      </c>
      <c r="B714" s="87">
        <v>311</v>
      </c>
      <c r="C714" s="98" t="s">
        <v>667</v>
      </c>
      <c r="D714" s="93">
        <v>41354</v>
      </c>
      <c r="E714" s="99">
        <v>556</v>
      </c>
      <c r="F714" s="100"/>
      <c r="G714" s="101">
        <v>40</v>
      </c>
      <c r="H714" s="102">
        <v>12</v>
      </c>
      <c r="I714" s="99">
        <v>13.9</v>
      </c>
      <c r="J714" s="99">
        <v>0</v>
      </c>
      <c r="K714" s="99">
        <v>149.85342465753575</v>
      </c>
      <c r="L714" s="103">
        <v>406.14657534246425</v>
      </c>
    </row>
    <row r="715" spans="1:12" x14ac:dyDescent="0.45">
      <c r="A715" s="98" t="s">
        <v>526</v>
      </c>
      <c r="B715" s="87">
        <v>333</v>
      </c>
      <c r="C715" s="98" t="s">
        <v>668</v>
      </c>
      <c r="D715" s="93">
        <v>41372</v>
      </c>
      <c r="E715" s="99">
        <v>3598</v>
      </c>
      <c r="F715" s="100"/>
      <c r="G715" s="101">
        <v>30</v>
      </c>
      <c r="H715" s="102">
        <v>12</v>
      </c>
      <c r="I715" s="99">
        <v>119.93333333333334</v>
      </c>
      <c r="J715" s="99">
        <v>0</v>
      </c>
      <c r="K715" s="99">
        <v>1287.065388127859</v>
      </c>
      <c r="L715" s="103">
        <v>2310.934611872141</v>
      </c>
    </row>
    <row r="716" spans="1:12" x14ac:dyDescent="0.45">
      <c r="A716" s="98" t="s">
        <v>526</v>
      </c>
      <c r="B716" s="87">
        <v>311</v>
      </c>
      <c r="C716" s="98" t="s">
        <v>669</v>
      </c>
      <c r="D716" s="93">
        <v>41384</v>
      </c>
      <c r="E716" s="99">
        <v>374.47</v>
      </c>
      <c r="F716" s="100"/>
      <c r="G716" s="101">
        <v>40</v>
      </c>
      <c r="H716" s="102">
        <v>12</v>
      </c>
      <c r="I716" s="99">
        <v>9.3617500000000007</v>
      </c>
      <c r="J716" s="99">
        <v>0</v>
      </c>
      <c r="K716" s="99">
        <v>100.15790068493175</v>
      </c>
      <c r="L716" s="103">
        <v>274.31209931506828</v>
      </c>
    </row>
    <row r="717" spans="1:12" x14ac:dyDescent="0.45">
      <c r="A717" s="98" t="s">
        <v>526</v>
      </c>
      <c r="B717" s="87">
        <v>311</v>
      </c>
      <c r="C717" s="98" t="s">
        <v>670</v>
      </c>
      <c r="D717" s="93">
        <v>41401</v>
      </c>
      <c r="E717" s="99">
        <v>662.8</v>
      </c>
      <c r="F717" s="100"/>
      <c r="G717" s="101">
        <v>40</v>
      </c>
      <c r="H717" s="102">
        <v>12</v>
      </c>
      <c r="I717" s="99">
        <v>16.57</v>
      </c>
      <c r="J717" s="99">
        <v>0</v>
      </c>
      <c r="K717" s="99">
        <v>176.50454794520778</v>
      </c>
      <c r="L717" s="103">
        <v>486.29545205479218</v>
      </c>
    </row>
    <row r="718" spans="1:12" x14ac:dyDescent="0.45">
      <c r="A718" s="98" t="s">
        <v>526</v>
      </c>
      <c r="B718" s="87">
        <v>311</v>
      </c>
      <c r="C718" s="98" t="s">
        <v>671</v>
      </c>
      <c r="D718" s="93">
        <v>41436</v>
      </c>
      <c r="E718" s="99">
        <v>1471.25</v>
      </c>
      <c r="F718" s="100"/>
      <c r="G718" s="101">
        <v>20</v>
      </c>
      <c r="H718" s="102">
        <v>12</v>
      </c>
      <c r="I718" s="99">
        <v>73.5625</v>
      </c>
      <c r="J718" s="99">
        <v>0</v>
      </c>
      <c r="K718" s="99">
        <v>776.53784246575469</v>
      </c>
      <c r="L718" s="103">
        <v>694.71215753424531</v>
      </c>
    </row>
    <row r="719" spans="1:12" x14ac:dyDescent="0.45">
      <c r="A719" s="98" t="s">
        <v>526</v>
      </c>
      <c r="B719" s="87">
        <v>311</v>
      </c>
      <c r="C719" s="98" t="s">
        <v>672</v>
      </c>
      <c r="D719" s="93">
        <v>41439</v>
      </c>
      <c r="E719" s="99">
        <v>95.11</v>
      </c>
      <c r="F719" s="100"/>
      <c r="G719" s="101">
        <v>40</v>
      </c>
      <c r="H719" s="102">
        <v>12</v>
      </c>
      <c r="I719" s="99">
        <v>2.3777499999999998</v>
      </c>
      <c r="J719" s="99">
        <v>0</v>
      </c>
      <c r="K719" s="99">
        <v>25.080376712328459</v>
      </c>
      <c r="L719" s="103">
        <v>70.029623287671541</v>
      </c>
    </row>
    <row r="720" spans="1:12" x14ac:dyDescent="0.45">
      <c r="A720" s="98" t="s">
        <v>526</v>
      </c>
      <c r="B720" s="87">
        <v>311</v>
      </c>
      <c r="C720" s="98" t="s">
        <v>673</v>
      </c>
      <c r="D720" s="93">
        <v>41444</v>
      </c>
      <c r="E720" s="99">
        <v>70.66</v>
      </c>
      <c r="F720" s="100"/>
      <c r="G720" s="101">
        <v>40</v>
      </c>
      <c r="H720" s="102">
        <v>12</v>
      </c>
      <c r="I720" s="99">
        <v>1.7665</v>
      </c>
      <c r="J720" s="99">
        <v>0</v>
      </c>
      <c r="K720" s="99">
        <v>18.60874657534233</v>
      </c>
      <c r="L720" s="103">
        <v>52.051253424657666</v>
      </c>
    </row>
    <row r="721" spans="1:12" x14ac:dyDescent="0.45">
      <c r="A721" s="98" t="s">
        <v>526</v>
      </c>
      <c r="B721" s="87">
        <v>311</v>
      </c>
      <c r="C721" s="98" t="s">
        <v>674</v>
      </c>
      <c r="D721" s="93">
        <v>41485</v>
      </c>
      <c r="E721" s="99">
        <v>233.71</v>
      </c>
      <c r="F721" s="100"/>
      <c r="G721" s="101">
        <v>40</v>
      </c>
      <c r="H721" s="102">
        <v>12</v>
      </c>
      <c r="I721" s="99">
        <v>5.8427500000000006</v>
      </c>
      <c r="J721" s="99">
        <v>0</v>
      </c>
      <c r="K721" s="99">
        <v>60.892660273972695</v>
      </c>
      <c r="L721" s="103">
        <v>172.81733972602731</v>
      </c>
    </row>
    <row r="722" spans="1:12" x14ac:dyDescent="0.45">
      <c r="A722" s="98" t="s">
        <v>526</v>
      </c>
      <c r="B722" s="87">
        <v>311</v>
      </c>
      <c r="C722" s="98" t="s">
        <v>675</v>
      </c>
      <c r="D722" s="93">
        <v>41486</v>
      </c>
      <c r="E722" s="99">
        <v>119.03</v>
      </c>
      <c r="F722" s="100"/>
      <c r="G722" s="101">
        <v>40</v>
      </c>
      <c r="H722" s="102">
        <v>12</v>
      </c>
      <c r="I722" s="99">
        <v>2.9757500000000001</v>
      </c>
      <c r="J722" s="99">
        <v>0</v>
      </c>
      <c r="K722" s="99">
        <v>31.004869178082245</v>
      </c>
      <c r="L722" s="103">
        <v>88.025130821917756</v>
      </c>
    </row>
    <row r="723" spans="1:12" x14ac:dyDescent="0.45">
      <c r="A723" s="98" t="s">
        <v>526</v>
      </c>
      <c r="B723" s="87">
        <v>311</v>
      </c>
      <c r="C723" s="98" t="s">
        <v>676</v>
      </c>
      <c r="D723" s="93">
        <v>41515</v>
      </c>
      <c r="E723" s="99">
        <v>1034.82</v>
      </c>
      <c r="F723" s="100"/>
      <c r="G723" s="101">
        <v>40</v>
      </c>
      <c r="H723" s="102">
        <v>12</v>
      </c>
      <c r="I723" s="99">
        <v>25.8705</v>
      </c>
      <c r="J723" s="99">
        <v>0</v>
      </c>
      <c r="K723" s="99">
        <v>267.4938821917832</v>
      </c>
      <c r="L723" s="103">
        <v>767.32611780821674</v>
      </c>
    </row>
    <row r="724" spans="1:12" x14ac:dyDescent="0.45">
      <c r="A724" s="98" t="s">
        <v>526</v>
      </c>
      <c r="B724" s="87">
        <v>333</v>
      </c>
      <c r="C724" s="98" t="s">
        <v>677</v>
      </c>
      <c r="D724" s="93">
        <v>41523</v>
      </c>
      <c r="E724" s="99">
        <v>6155</v>
      </c>
      <c r="F724" s="100"/>
      <c r="G724" s="101">
        <v>30</v>
      </c>
      <c r="H724" s="102">
        <v>12</v>
      </c>
      <c r="I724" s="99">
        <v>205.16666666666666</v>
      </c>
      <c r="J724" s="99">
        <v>0</v>
      </c>
      <c r="K724" s="99">
        <v>2116.8703196347278</v>
      </c>
      <c r="L724" s="103">
        <v>4038.1296803652722</v>
      </c>
    </row>
    <row r="725" spans="1:12" x14ac:dyDescent="0.45">
      <c r="A725" s="98" t="s">
        <v>526</v>
      </c>
      <c r="B725" s="87">
        <v>311</v>
      </c>
      <c r="C725" s="98" t="s">
        <v>678</v>
      </c>
      <c r="D725" s="93">
        <v>41577</v>
      </c>
      <c r="E725" s="99">
        <v>409.8</v>
      </c>
      <c r="F725" s="100"/>
      <c r="G725" s="101">
        <v>40</v>
      </c>
      <c r="H725" s="102">
        <v>11</v>
      </c>
      <c r="I725" s="99">
        <v>10.245000000000001</v>
      </c>
      <c r="J725" s="99">
        <v>0</v>
      </c>
      <c r="K725" s="99">
        <v>104.19024657534192</v>
      </c>
      <c r="L725" s="103">
        <v>305.60975342465809</v>
      </c>
    </row>
    <row r="726" spans="1:12" x14ac:dyDescent="0.45">
      <c r="A726" s="98" t="s">
        <v>526</v>
      </c>
      <c r="B726" s="87">
        <v>304</v>
      </c>
      <c r="C726" s="98" t="s">
        <v>679</v>
      </c>
      <c r="D726" s="93">
        <v>42375</v>
      </c>
      <c r="E726" s="99">
        <v>391.32</v>
      </c>
      <c r="F726" s="100"/>
      <c r="G726" s="101">
        <v>35</v>
      </c>
      <c r="H726" s="102">
        <v>9</v>
      </c>
      <c r="I726" s="99">
        <v>11.180571428571428</v>
      </c>
      <c r="J726" s="99">
        <v>0</v>
      </c>
      <c r="K726" s="99">
        <v>89.291412915851708</v>
      </c>
      <c r="L726" s="103">
        <v>302.02858708414828</v>
      </c>
    </row>
    <row r="727" spans="1:12" x14ac:dyDescent="0.45">
      <c r="A727" s="98" t="s">
        <v>526</v>
      </c>
      <c r="B727" s="87">
        <v>304</v>
      </c>
      <c r="C727" s="98" t="s">
        <v>680</v>
      </c>
      <c r="D727" s="93">
        <v>42375</v>
      </c>
      <c r="E727" s="99">
        <v>1822.66</v>
      </c>
      <c r="F727" s="100"/>
      <c r="G727" s="101">
        <v>35</v>
      </c>
      <c r="H727" s="102">
        <v>9</v>
      </c>
      <c r="I727" s="99">
        <v>52.076000000000001</v>
      </c>
      <c r="J727" s="99">
        <v>0</v>
      </c>
      <c r="K727" s="99">
        <v>415.89463013699128</v>
      </c>
      <c r="L727" s="103">
        <v>1406.7653698630088</v>
      </c>
    </row>
    <row r="728" spans="1:12" x14ac:dyDescent="0.45">
      <c r="A728" s="98" t="s">
        <v>526</v>
      </c>
      <c r="B728" s="87">
        <v>334</v>
      </c>
      <c r="C728" s="98" t="s">
        <v>681</v>
      </c>
      <c r="D728" s="93">
        <v>42376</v>
      </c>
      <c r="E728" s="99">
        <v>505.46</v>
      </c>
      <c r="F728" s="100"/>
      <c r="G728" s="101">
        <v>35</v>
      </c>
      <c r="H728" s="102">
        <v>9</v>
      </c>
      <c r="I728" s="99">
        <v>14.441714285714285</v>
      </c>
      <c r="J728" s="99">
        <v>0</v>
      </c>
      <c r="K728" s="99">
        <v>115.29631624266085</v>
      </c>
      <c r="L728" s="103">
        <v>390.16368375733913</v>
      </c>
    </row>
    <row r="729" spans="1:12" x14ac:dyDescent="0.45">
      <c r="A729" s="98" t="s">
        <v>526</v>
      </c>
      <c r="B729" s="87">
        <v>304</v>
      </c>
      <c r="C729" s="98" t="s">
        <v>682</v>
      </c>
      <c r="D729" s="93">
        <v>42400</v>
      </c>
      <c r="E729" s="99">
        <v>451.11</v>
      </c>
      <c r="F729" s="100"/>
      <c r="G729" s="101">
        <v>35</v>
      </c>
      <c r="H729" s="102">
        <v>9</v>
      </c>
      <c r="I729" s="99">
        <v>12.888857142857143</v>
      </c>
      <c r="J729" s="99">
        <v>0</v>
      </c>
      <c r="K729" s="99">
        <v>102.05149902152556</v>
      </c>
      <c r="L729" s="103">
        <v>349.05850097847446</v>
      </c>
    </row>
    <row r="730" spans="1:12" x14ac:dyDescent="0.45">
      <c r="A730" s="98" t="s">
        <v>526</v>
      </c>
      <c r="B730" s="87">
        <v>304</v>
      </c>
      <c r="C730" s="98" t="s">
        <v>680</v>
      </c>
      <c r="D730" s="93">
        <v>42410</v>
      </c>
      <c r="E730" s="99">
        <v>660.06</v>
      </c>
      <c r="F730" s="100"/>
      <c r="G730" s="101">
        <v>35</v>
      </c>
      <c r="H730" s="102">
        <v>9</v>
      </c>
      <c r="I730" s="99">
        <v>18.85885714285714</v>
      </c>
      <c r="J730" s="99">
        <v>0</v>
      </c>
      <c r="K730" s="99">
        <v>148.8041330724098</v>
      </c>
      <c r="L730" s="103">
        <v>511.25586692759015</v>
      </c>
    </row>
    <row r="731" spans="1:12" x14ac:dyDescent="0.45">
      <c r="A731" s="98" t="s">
        <v>526</v>
      </c>
      <c r="B731" s="87">
        <v>304</v>
      </c>
      <c r="C731" s="98" t="s">
        <v>683</v>
      </c>
      <c r="D731" s="93">
        <v>42459</v>
      </c>
      <c r="E731" s="99">
        <v>430.67</v>
      </c>
      <c r="F731" s="100"/>
      <c r="G731" s="101">
        <v>35</v>
      </c>
      <c r="H731" s="102">
        <v>9</v>
      </c>
      <c r="I731" s="99">
        <v>12.304857142857143</v>
      </c>
      <c r="J731" s="99">
        <v>0</v>
      </c>
      <c r="K731" s="99">
        <v>95.438494716243895</v>
      </c>
      <c r="L731" s="103">
        <v>335.23150528375612</v>
      </c>
    </row>
    <row r="732" spans="1:12" x14ac:dyDescent="0.45">
      <c r="A732" s="98" t="s">
        <v>526</v>
      </c>
      <c r="B732" s="87">
        <v>304</v>
      </c>
      <c r="C732" s="98" t="s">
        <v>684</v>
      </c>
      <c r="D732" s="93">
        <v>42589</v>
      </c>
      <c r="E732" s="99">
        <v>1239.18</v>
      </c>
      <c r="F732" s="100"/>
      <c r="G732" s="101">
        <v>35</v>
      </c>
      <c r="H732" s="102">
        <v>9</v>
      </c>
      <c r="I732" s="99">
        <v>35.405142857142856</v>
      </c>
      <c r="J732" s="99">
        <v>0</v>
      </c>
      <c r="K732" s="99">
        <v>261.99805714285731</v>
      </c>
      <c r="L732" s="103">
        <v>977.18194285714276</v>
      </c>
    </row>
    <row r="733" spans="1:12" x14ac:dyDescent="0.45">
      <c r="A733" s="98" t="s">
        <v>526</v>
      </c>
      <c r="B733" s="87">
        <v>304</v>
      </c>
      <c r="C733" s="98" t="s">
        <v>685</v>
      </c>
      <c r="D733" s="93">
        <v>42589</v>
      </c>
      <c r="E733" s="99">
        <v>62.49</v>
      </c>
      <c r="F733" s="100"/>
      <c r="G733" s="101">
        <v>35</v>
      </c>
      <c r="H733" s="102">
        <v>9</v>
      </c>
      <c r="I733" s="99">
        <v>1.7854285714285716</v>
      </c>
      <c r="J733" s="99">
        <v>0</v>
      </c>
      <c r="K733" s="99">
        <v>13.21217142857148</v>
      </c>
      <c r="L733" s="103">
        <v>49.277828571428522</v>
      </c>
    </row>
    <row r="734" spans="1:12" x14ac:dyDescent="0.45">
      <c r="A734" s="98" t="s">
        <v>526</v>
      </c>
      <c r="B734" s="87">
        <v>304</v>
      </c>
      <c r="C734" s="98" t="s">
        <v>686</v>
      </c>
      <c r="D734" s="93">
        <v>42589</v>
      </c>
      <c r="E734" s="99">
        <v>288.06</v>
      </c>
      <c r="F734" s="100"/>
      <c r="G734" s="101">
        <v>35</v>
      </c>
      <c r="H734" s="102">
        <v>9</v>
      </c>
      <c r="I734" s="99">
        <v>8.2302857142857135</v>
      </c>
      <c r="J734" s="99">
        <v>0</v>
      </c>
      <c r="K734" s="99">
        <v>60.904114285713916</v>
      </c>
      <c r="L734" s="103">
        <v>227.15588571428609</v>
      </c>
    </row>
    <row r="735" spans="1:12" x14ac:dyDescent="0.45">
      <c r="A735" s="98" t="s">
        <v>526</v>
      </c>
      <c r="B735" s="87">
        <v>311</v>
      </c>
      <c r="C735" s="98" t="s">
        <v>687</v>
      </c>
      <c r="D735" s="93">
        <v>42750</v>
      </c>
      <c r="E735" s="99">
        <v>93</v>
      </c>
      <c r="F735" s="100"/>
      <c r="G735" s="101">
        <v>40</v>
      </c>
      <c r="H735" s="102">
        <v>8</v>
      </c>
      <c r="I735" s="99">
        <v>2.3250000000000002</v>
      </c>
      <c r="J735" s="99">
        <v>0</v>
      </c>
      <c r="K735" s="99">
        <v>16.179452054794169</v>
      </c>
      <c r="L735" s="103">
        <v>76.820547945205831</v>
      </c>
    </row>
    <row r="736" spans="1:12" x14ac:dyDescent="0.45">
      <c r="A736" s="98" t="s">
        <v>526</v>
      </c>
      <c r="B736" s="87">
        <v>311</v>
      </c>
      <c r="C736" s="98" t="s">
        <v>687</v>
      </c>
      <c r="D736" s="93">
        <v>42750</v>
      </c>
      <c r="E736" s="99">
        <v>2613.0300000000002</v>
      </c>
      <c r="F736" s="100"/>
      <c r="G736" s="101">
        <v>40</v>
      </c>
      <c r="H736" s="102">
        <v>8</v>
      </c>
      <c r="I736" s="99">
        <v>65.325749999999999</v>
      </c>
      <c r="J736" s="99">
        <v>0</v>
      </c>
      <c r="K736" s="99">
        <v>454.59563013699562</v>
      </c>
      <c r="L736" s="103">
        <v>2158.4343698630046</v>
      </c>
    </row>
    <row r="737" spans="1:12" x14ac:dyDescent="0.45">
      <c r="A737" s="98" t="s">
        <v>526</v>
      </c>
      <c r="B737" s="87">
        <v>311</v>
      </c>
      <c r="C737" s="98" t="s">
        <v>688</v>
      </c>
      <c r="D737" s="93">
        <v>42859</v>
      </c>
      <c r="E737" s="99">
        <v>2434.88</v>
      </c>
      <c r="F737" s="100"/>
      <c r="G737" s="101">
        <v>20</v>
      </c>
      <c r="H737" s="102">
        <v>8</v>
      </c>
      <c r="I737" s="99">
        <v>121.744</v>
      </c>
      <c r="J737" s="99">
        <v>0</v>
      </c>
      <c r="K737" s="99">
        <v>810.84839452055121</v>
      </c>
      <c r="L737" s="103">
        <v>1624.0316054794489</v>
      </c>
    </row>
    <row r="738" spans="1:12" x14ac:dyDescent="0.45">
      <c r="A738" s="98" t="s">
        <v>526</v>
      </c>
      <c r="B738" s="87">
        <v>311</v>
      </c>
      <c r="C738" s="98" t="s">
        <v>689</v>
      </c>
      <c r="D738" s="93">
        <v>42902</v>
      </c>
      <c r="E738" s="99">
        <v>306.64</v>
      </c>
      <c r="F738" s="100"/>
      <c r="G738" s="101">
        <v>40</v>
      </c>
      <c r="H738" s="102">
        <v>8</v>
      </c>
      <c r="I738" s="99">
        <v>7.6659999999999995</v>
      </c>
      <c r="J738" s="99">
        <v>0</v>
      </c>
      <c r="K738" s="99">
        <v>50.154542465751945</v>
      </c>
      <c r="L738" s="103">
        <v>256.48545753424804</v>
      </c>
    </row>
    <row r="739" spans="1:12" x14ac:dyDescent="0.45">
      <c r="A739" s="98" t="s">
        <v>526</v>
      </c>
      <c r="B739" s="87">
        <v>311</v>
      </c>
      <c r="C739" s="98" t="s">
        <v>690</v>
      </c>
      <c r="D739" s="93">
        <v>42944</v>
      </c>
      <c r="E739" s="99">
        <v>584.26</v>
      </c>
      <c r="F739" s="100"/>
      <c r="G739" s="101">
        <v>40</v>
      </c>
      <c r="H739" s="102">
        <v>8</v>
      </c>
      <c r="I739" s="99">
        <v>14.6065</v>
      </c>
      <c r="J739" s="99">
        <v>0</v>
      </c>
      <c r="K739" s="99">
        <v>93.881778082193478</v>
      </c>
      <c r="L739" s="103">
        <v>490.37822191780651</v>
      </c>
    </row>
    <row r="740" spans="1:12" x14ac:dyDescent="0.45">
      <c r="A740" s="98" t="s">
        <v>526</v>
      </c>
      <c r="B740" s="87">
        <v>330</v>
      </c>
      <c r="C740" s="98" t="s">
        <v>691</v>
      </c>
      <c r="D740" s="93">
        <v>43076</v>
      </c>
      <c r="E740" s="99">
        <v>661.98</v>
      </c>
      <c r="F740" s="100"/>
      <c r="G740" s="101">
        <v>50</v>
      </c>
      <c r="H740" s="102">
        <v>7</v>
      </c>
      <c r="I740" s="99">
        <v>13.239600000000001</v>
      </c>
      <c r="J740" s="99">
        <v>0</v>
      </c>
      <c r="K740" s="99">
        <v>80.308149041095248</v>
      </c>
      <c r="L740" s="103">
        <v>581.67185095890477</v>
      </c>
    </row>
    <row r="741" spans="1:12" x14ac:dyDescent="0.45">
      <c r="A741" s="98" t="s">
        <v>526</v>
      </c>
      <c r="B741" s="87">
        <v>311</v>
      </c>
      <c r="C741" s="98" t="s">
        <v>692</v>
      </c>
      <c r="D741" s="93">
        <v>43110</v>
      </c>
      <c r="E741" s="99">
        <v>300.56</v>
      </c>
      <c r="F741" s="100"/>
      <c r="G741" s="101">
        <v>40</v>
      </c>
      <c r="H741" s="102">
        <v>7</v>
      </c>
      <c r="I741" s="99">
        <v>7.5140000000000002</v>
      </c>
      <c r="J741" s="99">
        <v>0</v>
      </c>
      <c r="K741" s="99">
        <v>43.900287671233514</v>
      </c>
      <c r="L741" s="103">
        <v>256.65971232876649</v>
      </c>
    </row>
    <row r="742" spans="1:12" x14ac:dyDescent="0.45">
      <c r="A742" s="98" t="s">
        <v>526</v>
      </c>
      <c r="B742" s="87">
        <v>311</v>
      </c>
      <c r="C742" s="98" t="s">
        <v>693</v>
      </c>
      <c r="D742" s="93">
        <v>43140</v>
      </c>
      <c r="E742" s="99">
        <v>255.45</v>
      </c>
      <c r="F742" s="100"/>
      <c r="G742" s="101">
        <v>40</v>
      </c>
      <c r="H742" s="102">
        <v>7</v>
      </c>
      <c r="I742" s="99">
        <v>6.3862499999999995</v>
      </c>
      <c r="J742" s="99">
        <v>0</v>
      </c>
      <c r="K742" s="99">
        <v>36.874032534246084</v>
      </c>
      <c r="L742" s="103">
        <v>218.57596746575391</v>
      </c>
    </row>
    <row r="743" spans="1:12" x14ac:dyDescent="0.45">
      <c r="A743" s="98" t="s">
        <v>526</v>
      </c>
      <c r="B743" s="87">
        <v>311</v>
      </c>
      <c r="C743" s="98" t="s">
        <v>694</v>
      </c>
      <c r="D743" s="93">
        <v>43280</v>
      </c>
      <c r="E743" s="99">
        <v>326.10000000000002</v>
      </c>
      <c r="F743" s="100"/>
      <c r="G743" s="101">
        <v>20</v>
      </c>
      <c r="H743" s="102">
        <v>7</v>
      </c>
      <c r="I743" s="99">
        <v>16.305</v>
      </c>
      <c r="J743" s="99">
        <v>0</v>
      </c>
      <c r="K743" s="99">
        <v>88.932979452053928</v>
      </c>
      <c r="L743" s="103">
        <v>237.16702054794609</v>
      </c>
    </row>
    <row r="744" spans="1:12" x14ac:dyDescent="0.45">
      <c r="A744" s="98" t="s">
        <v>526</v>
      </c>
      <c r="B744" s="87">
        <v>311</v>
      </c>
      <c r="C744" s="98" t="s">
        <v>695</v>
      </c>
      <c r="D744" s="93">
        <v>43344</v>
      </c>
      <c r="E744" s="99">
        <v>3966.46</v>
      </c>
      <c r="F744" s="100"/>
      <c r="G744" s="101">
        <v>20</v>
      </c>
      <c r="H744" s="102">
        <v>7</v>
      </c>
      <c r="I744" s="99">
        <v>198.32300000000001</v>
      </c>
      <c r="J744" s="99">
        <v>0</v>
      </c>
      <c r="K744" s="99">
        <v>1052.741952054796</v>
      </c>
      <c r="L744" s="103">
        <v>2913.718047945204</v>
      </c>
    </row>
    <row r="745" spans="1:12" x14ac:dyDescent="0.45">
      <c r="A745" s="98" t="s">
        <v>526</v>
      </c>
      <c r="B745" s="87">
        <v>311</v>
      </c>
      <c r="C745" s="98" t="s">
        <v>696</v>
      </c>
      <c r="D745" s="93">
        <v>43373</v>
      </c>
      <c r="E745" s="99">
        <v>1850.07</v>
      </c>
      <c r="F745" s="100"/>
      <c r="G745" s="101">
        <v>20</v>
      </c>
      <c r="H745" s="102">
        <v>7</v>
      </c>
      <c r="I745" s="99">
        <v>92.503500000000003</v>
      </c>
      <c r="J745" s="99">
        <v>0</v>
      </c>
      <c r="K745" s="99">
        <v>484.90419178082084</v>
      </c>
      <c r="L745" s="103">
        <v>1365.1658082191791</v>
      </c>
    </row>
    <row r="746" spans="1:12" x14ac:dyDescent="0.45">
      <c r="A746" s="98" t="s">
        <v>697</v>
      </c>
      <c r="B746" s="87">
        <v>310</v>
      </c>
      <c r="C746" s="98" t="s">
        <v>698</v>
      </c>
      <c r="D746" s="93">
        <v>44007</v>
      </c>
      <c r="E746" s="99">
        <v>45236.87</v>
      </c>
      <c r="F746" s="100"/>
      <c r="G746" s="101">
        <v>15</v>
      </c>
      <c r="H746" s="102">
        <v>5</v>
      </c>
      <c r="I746" s="99">
        <v>3015.7913333333336</v>
      </c>
      <c r="J746" s="99">
        <v>0</v>
      </c>
      <c r="K746" s="99">
        <v>10806.585611111193</v>
      </c>
      <c r="L746" s="103">
        <v>34430.284388888809</v>
      </c>
    </row>
    <row r="747" spans="1:12" x14ac:dyDescent="0.45">
      <c r="A747" s="98" t="s">
        <v>699</v>
      </c>
      <c r="B747" s="87">
        <v>303</v>
      </c>
      <c r="C747" s="98" t="s">
        <v>700</v>
      </c>
      <c r="D747" s="93">
        <v>0</v>
      </c>
      <c r="E747" s="99">
        <v>1402</v>
      </c>
      <c r="F747" s="100"/>
      <c r="G747" s="101">
        <v>0</v>
      </c>
      <c r="H747" s="102">
        <v>0</v>
      </c>
      <c r="I747" s="99">
        <v>0</v>
      </c>
      <c r="J747" s="99">
        <v>0</v>
      </c>
      <c r="K747" s="99">
        <v>0</v>
      </c>
      <c r="L747" s="103">
        <v>1402</v>
      </c>
    </row>
    <row r="748" spans="1:12" x14ac:dyDescent="0.45">
      <c r="A748" s="98" t="s">
        <v>699</v>
      </c>
      <c r="B748" s="87">
        <v>303</v>
      </c>
      <c r="C748" s="98" t="s">
        <v>701</v>
      </c>
      <c r="D748" s="93">
        <v>0</v>
      </c>
      <c r="E748" s="99">
        <v>1250</v>
      </c>
      <c r="F748" s="100"/>
      <c r="G748" s="101">
        <v>0</v>
      </c>
      <c r="H748" s="102">
        <v>0</v>
      </c>
      <c r="I748" s="99">
        <v>0</v>
      </c>
      <c r="J748" s="99">
        <v>0</v>
      </c>
      <c r="K748" s="99">
        <v>0</v>
      </c>
      <c r="L748" s="103">
        <v>1250</v>
      </c>
    </row>
    <row r="749" spans="1:12" x14ac:dyDescent="0.45">
      <c r="A749" s="98" t="s">
        <v>699</v>
      </c>
      <c r="B749" s="87">
        <v>334</v>
      </c>
      <c r="C749" s="98" t="s">
        <v>702</v>
      </c>
      <c r="D749" s="93">
        <v>28671</v>
      </c>
      <c r="E749" s="99">
        <v>7410</v>
      </c>
      <c r="F749" s="100"/>
      <c r="G749" s="101">
        <v>35</v>
      </c>
      <c r="H749" s="102">
        <v>35</v>
      </c>
      <c r="I749" s="99">
        <v>0</v>
      </c>
      <c r="J749" s="99">
        <v>0</v>
      </c>
      <c r="K749" s="99">
        <v>7410</v>
      </c>
      <c r="L749" s="103">
        <v>0</v>
      </c>
    </row>
    <row r="750" spans="1:12" x14ac:dyDescent="0.45">
      <c r="A750" s="98" t="s">
        <v>699</v>
      </c>
      <c r="B750" s="87">
        <v>334</v>
      </c>
      <c r="C750" s="98" t="s">
        <v>703</v>
      </c>
      <c r="D750" s="93">
        <v>31593</v>
      </c>
      <c r="E750" s="99">
        <v>180</v>
      </c>
      <c r="F750" s="100"/>
      <c r="G750" s="101">
        <v>35</v>
      </c>
      <c r="H750" s="102">
        <v>35</v>
      </c>
      <c r="I750" s="99">
        <v>0</v>
      </c>
      <c r="J750" s="99">
        <v>0</v>
      </c>
      <c r="K750" s="99">
        <v>179.99710371819961</v>
      </c>
      <c r="L750" s="103">
        <v>2.8962818003890334E-3</v>
      </c>
    </row>
    <row r="751" spans="1:12" x14ac:dyDescent="0.45">
      <c r="A751" s="98" t="s">
        <v>699</v>
      </c>
      <c r="B751" s="87">
        <v>334</v>
      </c>
      <c r="C751" s="98" t="s">
        <v>704</v>
      </c>
      <c r="D751" s="93">
        <v>31958</v>
      </c>
      <c r="E751" s="99">
        <v>360</v>
      </c>
      <c r="F751" s="100"/>
      <c r="G751" s="101">
        <v>35</v>
      </c>
      <c r="H751" s="102">
        <v>35</v>
      </c>
      <c r="I751" s="99">
        <v>0</v>
      </c>
      <c r="J751" s="99">
        <v>0</v>
      </c>
      <c r="K751" s="99">
        <v>360.00420743639921</v>
      </c>
      <c r="L751" s="103">
        <v>-4.2074363992128383E-3</v>
      </c>
    </row>
    <row r="752" spans="1:12" x14ac:dyDescent="0.45">
      <c r="A752" s="98" t="s">
        <v>699</v>
      </c>
      <c r="B752" s="87">
        <v>334</v>
      </c>
      <c r="C752" s="98" t="s">
        <v>705</v>
      </c>
      <c r="D752" s="93">
        <v>32324</v>
      </c>
      <c r="E752" s="99">
        <v>270</v>
      </c>
      <c r="F752" s="100"/>
      <c r="G752" s="101">
        <v>35</v>
      </c>
      <c r="H752" s="102">
        <v>35</v>
      </c>
      <c r="I752" s="99">
        <v>0</v>
      </c>
      <c r="J752" s="99">
        <v>0</v>
      </c>
      <c r="K752" s="99">
        <v>270</v>
      </c>
      <c r="L752" s="103">
        <v>0</v>
      </c>
    </row>
    <row r="753" spans="1:12" x14ac:dyDescent="0.45">
      <c r="A753" s="98" t="s">
        <v>699</v>
      </c>
      <c r="B753" s="87">
        <v>334</v>
      </c>
      <c r="C753" s="98" t="s">
        <v>706</v>
      </c>
      <c r="D753" s="93">
        <v>32689</v>
      </c>
      <c r="E753" s="99">
        <v>630</v>
      </c>
      <c r="F753" s="100"/>
      <c r="G753" s="101">
        <v>35</v>
      </c>
      <c r="H753" s="102">
        <v>35</v>
      </c>
      <c r="I753" s="99">
        <v>0</v>
      </c>
      <c r="J753" s="99">
        <v>0</v>
      </c>
      <c r="K753" s="99">
        <v>621.32054794520536</v>
      </c>
      <c r="L753" s="103">
        <v>8.6794520547946377</v>
      </c>
    </row>
    <row r="754" spans="1:12" x14ac:dyDescent="0.45">
      <c r="A754" s="98" t="s">
        <v>699</v>
      </c>
      <c r="B754" s="87">
        <v>347</v>
      </c>
      <c r="C754" s="98" t="s">
        <v>707</v>
      </c>
      <c r="D754" s="93">
        <v>32689</v>
      </c>
      <c r="E754" s="99">
        <v>1250</v>
      </c>
      <c r="F754" s="100"/>
      <c r="G754" s="101">
        <v>10</v>
      </c>
      <c r="H754" s="102">
        <v>10</v>
      </c>
      <c r="I754" s="99">
        <v>0</v>
      </c>
      <c r="J754" s="99">
        <v>0</v>
      </c>
      <c r="K754" s="99">
        <v>1250</v>
      </c>
      <c r="L754" s="103">
        <v>0</v>
      </c>
    </row>
    <row r="755" spans="1:12" x14ac:dyDescent="0.45">
      <c r="A755" s="98" t="s">
        <v>699</v>
      </c>
      <c r="B755" s="87">
        <v>334</v>
      </c>
      <c r="C755" s="98" t="s">
        <v>708</v>
      </c>
      <c r="D755" s="93">
        <v>33054</v>
      </c>
      <c r="E755" s="99">
        <v>720</v>
      </c>
      <c r="F755" s="100"/>
      <c r="G755" s="101">
        <v>35</v>
      </c>
      <c r="H755" s="102">
        <v>35</v>
      </c>
      <c r="I755" s="99">
        <v>20.571428571428573</v>
      </c>
      <c r="J755" s="99">
        <v>0</v>
      </c>
      <c r="K755" s="99">
        <v>689.50919765166316</v>
      </c>
      <c r="L755" s="103">
        <v>30.490802348336842</v>
      </c>
    </row>
    <row r="756" spans="1:12" x14ac:dyDescent="0.45">
      <c r="A756" s="98" t="s">
        <v>699</v>
      </c>
      <c r="B756" s="87">
        <v>334</v>
      </c>
      <c r="C756" s="98" t="s">
        <v>709</v>
      </c>
      <c r="D756" s="93">
        <v>33419</v>
      </c>
      <c r="E756" s="99">
        <v>750</v>
      </c>
      <c r="F756" s="100"/>
      <c r="G756" s="101">
        <v>35</v>
      </c>
      <c r="H756" s="102">
        <v>34</v>
      </c>
      <c r="I756" s="99">
        <v>21.428571428571427</v>
      </c>
      <c r="J756" s="99">
        <v>0</v>
      </c>
      <c r="K756" s="99">
        <v>696.81017612524465</v>
      </c>
      <c r="L756" s="103">
        <v>53.189823874755348</v>
      </c>
    </row>
    <row r="757" spans="1:12" x14ac:dyDescent="0.45">
      <c r="A757" s="98" t="s">
        <v>699</v>
      </c>
      <c r="B757" s="87">
        <v>347</v>
      </c>
      <c r="C757" s="98" t="s">
        <v>710</v>
      </c>
      <c r="D757" s="93">
        <v>33419</v>
      </c>
      <c r="E757" s="99">
        <v>1250</v>
      </c>
      <c r="F757" s="100"/>
      <c r="G757" s="101">
        <v>10</v>
      </c>
      <c r="H757" s="102">
        <v>10</v>
      </c>
      <c r="I757" s="99">
        <v>0</v>
      </c>
      <c r="J757" s="99">
        <v>0</v>
      </c>
      <c r="K757" s="99">
        <v>1250</v>
      </c>
      <c r="L757" s="103">
        <v>0</v>
      </c>
    </row>
    <row r="758" spans="1:12" x14ac:dyDescent="0.45">
      <c r="A758" s="98" t="s">
        <v>699</v>
      </c>
      <c r="B758" s="87">
        <v>347</v>
      </c>
      <c r="C758" s="98" t="s">
        <v>711</v>
      </c>
      <c r="D758" s="93">
        <v>33419</v>
      </c>
      <c r="E758" s="99">
        <v>1250</v>
      </c>
      <c r="F758" s="100"/>
      <c r="G758" s="101">
        <v>10</v>
      </c>
      <c r="H758" s="102">
        <v>10</v>
      </c>
      <c r="I758" s="99">
        <v>0</v>
      </c>
      <c r="J758" s="99">
        <v>0</v>
      </c>
      <c r="K758" s="99">
        <v>1250</v>
      </c>
      <c r="L758" s="103">
        <v>0</v>
      </c>
    </row>
    <row r="759" spans="1:12" x14ac:dyDescent="0.45">
      <c r="A759" s="98" t="s">
        <v>699</v>
      </c>
      <c r="B759" s="87">
        <v>334</v>
      </c>
      <c r="C759" s="98" t="s">
        <v>712</v>
      </c>
      <c r="D759" s="93">
        <v>33785</v>
      </c>
      <c r="E759" s="99">
        <v>450</v>
      </c>
      <c r="F759" s="100"/>
      <c r="G759" s="101">
        <v>35</v>
      </c>
      <c r="H759" s="102">
        <v>33</v>
      </c>
      <c r="I759" s="99">
        <v>12.857142857142858</v>
      </c>
      <c r="J759" s="99">
        <v>0</v>
      </c>
      <c r="K759" s="99">
        <v>405.19373776908009</v>
      </c>
      <c r="L759" s="103">
        <v>44.806262230919913</v>
      </c>
    </row>
    <row r="760" spans="1:12" x14ac:dyDescent="0.45">
      <c r="A760" s="98" t="s">
        <v>699</v>
      </c>
      <c r="B760" s="87">
        <v>334</v>
      </c>
      <c r="C760" s="98" t="s">
        <v>713</v>
      </c>
      <c r="D760" s="93">
        <v>33785</v>
      </c>
      <c r="E760" s="99">
        <v>480</v>
      </c>
      <c r="F760" s="100"/>
      <c r="G760" s="101">
        <v>20</v>
      </c>
      <c r="H760" s="102">
        <v>20</v>
      </c>
      <c r="I760" s="99">
        <v>0</v>
      </c>
      <c r="J760" s="99">
        <v>0</v>
      </c>
      <c r="K760" s="99">
        <v>480</v>
      </c>
      <c r="L760" s="103">
        <v>0</v>
      </c>
    </row>
    <row r="761" spans="1:12" x14ac:dyDescent="0.45">
      <c r="A761" s="98" t="s">
        <v>699</v>
      </c>
      <c r="B761" s="87">
        <v>334</v>
      </c>
      <c r="C761" s="98" t="s">
        <v>714</v>
      </c>
      <c r="D761" s="93">
        <v>34150</v>
      </c>
      <c r="E761" s="99">
        <v>1400</v>
      </c>
      <c r="F761" s="100"/>
      <c r="G761" s="101">
        <v>35</v>
      </c>
      <c r="H761" s="102">
        <v>32</v>
      </c>
      <c r="I761" s="99">
        <v>40</v>
      </c>
      <c r="J761" s="99">
        <v>0</v>
      </c>
      <c r="K761" s="99">
        <v>1220.602739726027</v>
      </c>
      <c r="L761" s="103">
        <v>179.39726027397296</v>
      </c>
    </row>
    <row r="762" spans="1:12" x14ac:dyDescent="0.45">
      <c r="A762" s="98" t="s">
        <v>699</v>
      </c>
      <c r="B762" s="87">
        <v>334</v>
      </c>
      <c r="C762" s="98" t="s">
        <v>715</v>
      </c>
      <c r="D762" s="93">
        <v>34515</v>
      </c>
      <c r="E762" s="99">
        <v>1200</v>
      </c>
      <c r="F762" s="100"/>
      <c r="G762" s="101">
        <v>35</v>
      </c>
      <c r="H762" s="102">
        <v>31</v>
      </c>
      <c r="I762" s="99">
        <v>34.285714285714285</v>
      </c>
      <c r="J762" s="99">
        <v>0</v>
      </c>
      <c r="K762" s="99">
        <v>1011.9452054794513</v>
      </c>
      <c r="L762" s="103">
        <v>188.05479452054874</v>
      </c>
    </row>
    <row r="763" spans="1:12" x14ac:dyDescent="0.45">
      <c r="A763" s="98" t="s">
        <v>699</v>
      </c>
      <c r="B763" s="87">
        <v>334</v>
      </c>
      <c r="C763" s="98" t="s">
        <v>716</v>
      </c>
      <c r="D763" s="93">
        <v>34880</v>
      </c>
      <c r="E763" s="99">
        <v>400</v>
      </c>
      <c r="F763" s="100"/>
      <c r="G763" s="101">
        <v>35</v>
      </c>
      <c r="H763" s="102">
        <v>30</v>
      </c>
      <c r="I763" s="99">
        <v>11.428571428571429</v>
      </c>
      <c r="J763" s="99">
        <v>0</v>
      </c>
      <c r="K763" s="99">
        <v>325.88649706457909</v>
      </c>
      <c r="L763" s="103">
        <v>74.113502935420911</v>
      </c>
    </row>
    <row r="764" spans="1:12" x14ac:dyDescent="0.45">
      <c r="A764" s="98" t="s">
        <v>699</v>
      </c>
      <c r="B764" s="87">
        <v>334</v>
      </c>
      <c r="C764" s="98" t="s">
        <v>717</v>
      </c>
      <c r="D764" s="93">
        <v>35246</v>
      </c>
      <c r="E764" s="99">
        <v>200</v>
      </c>
      <c r="F764" s="100"/>
      <c r="G764" s="101">
        <v>35</v>
      </c>
      <c r="H764" s="102">
        <v>29</v>
      </c>
      <c r="I764" s="99">
        <v>5.7142857142857144</v>
      </c>
      <c r="J764" s="99">
        <v>0</v>
      </c>
      <c r="K764" s="99">
        <v>157.21330724070449</v>
      </c>
      <c r="L764" s="103">
        <v>42.786692759295505</v>
      </c>
    </row>
    <row r="765" spans="1:12" x14ac:dyDescent="0.45">
      <c r="A765" s="98" t="s">
        <v>699</v>
      </c>
      <c r="B765" s="87">
        <v>334</v>
      </c>
      <c r="C765" s="98" t="s">
        <v>718</v>
      </c>
      <c r="D765" s="93">
        <v>35611</v>
      </c>
      <c r="E765" s="99">
        <v>200</v>
      </c>
      <c r="F765" s="100"/>
      <c r="G765" s="101">
        <v>35</v>
      </c>
      <c r="H765" s="102">
        <v>28</v>
      </c>
      <c r="I765" s="99">
        <v>5.7142857142857144</v>
      </c>
      <c r="J765" s="99">
        <v>0</v>
      </c>
      <c r="K765" s="99">
        <v>151.49902152641886</v>
      </c>
      <c r="L765" s="103">
        <v>48.500978473581142</v>
      </c>
    </row>
    <row r="766" spans="1:12" x14ac:dyDescent="0.45">
      <c r="A766" s="98" t="s">
        <v>699</v>
      </c>
      <c r="B766" s="87">
        <v>347</v>
      </c>
      <c r="C766" s="98" t="s">
        <v>719</v>
      </c>
      <c r="D766" s="93">
        <v>35611</v>
      </c>
      <c r="E766" s="99">
        <v>715</v>
      </c>
      <c r="F766" s="100"/>
      <c r="G766" s="101">
        <v>10</v>
      </c>
      <c r="H766" s="102">
        <v>10</v>
      </c>
      <c r="I766" s="99">
        <v>0</v>
      </c>
      <c r="J766" s="99">
        <v>0</v>
      </c>
      <c r="K766" s="99">
        <v>715</v>
      </c>
      <c r="L766" s="103">
        <v>0</v>
      </c>
    </row>
    <row r="767" spans="1:12" x14ac:dyDescent="0.45">
      <c r="A767" s="98" t="s">
        <v>699</v>
      </c>
      <c r="B767" s="87">
        <v>334</v>
      </c>
      <c r="C767" s="98" t="s">
        <v>720</v>
      </c>
      <c r="D767" s="93">
        <v>35976</v>
      </c>
      <c r="E767" s="99">
        <v>400</v>
      </c>
      <c r="F767" s="100"/>
      <c r="G767" s="101">
        <v>35</v>
      </c>
      <c r="H767" s="102">
        <v>27</v>
      </c>
      <c r="I767" s="99">
        <v>11.428571428571429</v>
      </c>
      <c r="J767" s="99">
        <v>0</v>
      </c>
      <c r="K767" s="99">
        <v>291.56947162426644</v>
      </c>
      <c r="L767" s="103">
        <v>108.43052837573356</v>
      </c>
    </row>
    <row r="768" spans="1:12" x14ac:dyDescent="0.45">
      <c r="A768" s="98" t="s">
        <v>699</v>
      </c>
      <c r="B768" s="87">
        <v>344</v>
      </c>
      <c r="C768" s="98" t="s">
        <v>721</v>
      </c>
      <c r="D768" s="93">
        <v>36341</v>
      </c>
      <c r="E768" s="99">
        <v>920</v>
      </c>
      <c r="F768" s="100"/>
      <c r="G768" s="101">
        <v>15</v>
      </c>
      <c r="H768" s="102">
        <v>15</v>
      </c>
      <c r="I768" s="99">
        <v>0</v>
      </c>
      <c r="J768" s="99">
        <v>0</v>
      </c>
      <c r="K768" s="99">
        <v>920</v>
      </c>
      <c r="L768" s="103">
        <v>0</v>
      </c>
    </row>
    <row r="769" spans="1:12" x14ac:dyDescent="0.45">
      <c r="A769" s="98" t="s">
        <v>699</v>
      </c>
      <c r="B769" s="87">
        <v>344</v>
      </c>
      <c r="C769" s="98" t="s">
        <v>722</v>
      </c>
      <c r="D769" s="93">
        <v>36341</v>
      </c>
      <c r="E769" s="99">
        <v>30</v>
      </c>
      <c r="F769" s="100"/>
      <c r="G769" s="101">
        <v>15</v>
      </c>
      <c r="H769" s="102">
        <v>15</v>
      </c>
      <c r="I769" s="99">
        <v>0</v>
      </c>
      <c r="J769" s="99">
        <v>0</v>
      </c>
      <c r="K769" s="99">
        <v>30</v>
      </c>
      <c r="L769" s="103">
        <v>0</v>
      </c>
    </row>
    <row r="770" spans="1:12" x14ac:dyDescent="0.45">
      <c r="A770" s="98" t="s">
        <v>699</v>
      </c>
      <c r="B770" s="87">
        <v>334</v>
      </c>
      <c r="C770" s="98" t="s">
        <v>723</v>
      </c>
      <c r="D770" s="93">
        <v>37072</v>
      </c>
      <c r="E770" s="99">
        <v>200</v>
      </c>
      <c r="F770" s="100"/>
      <c r="G770" s="101">
        <v>35</v>
      </c>
      <c r="H770" s="102">
        <v>24</v>
      </c>
      <c r="I770" s="99">
        <v>5.7142857142857144</v>
      </c>
      <c r="J770" s="99">
        <v>0</v>
      </c>
      <c r="K770" s="99">
        <v>128.62622309197684</v>
      </c>
      <c r="L770" s="103">
        <v>71.37377690802316</v>
      </c>
    </row>
    <row r="771" spans="1:12" x14ac:dyDescent="0.45">
      <c r="A771" s="98" t="s">
        <v>699</v>
      </c>
      <c r="B771" s="87">
        <v>334</v>
      </c>
      <c r="C771" s="98" t="s">
        <v>724</v>
      </c>
      <c r="D771" s="93">
        <v>37437</v>
      </c>
      <c r="E771" s="99">
        <v>400</v>
      </c>
      <c r="F771" s="100"/>
      <c r="G771" s="101">
        <v>35</v>
      </c>
      <c r="H771" s="102">
        <v>23</v>
      </c>
      <c r="I771" s="99">
        <v>11.428571428571429</v>
      </c>
      <c r="J771" s="99">
        <v>0</v>
      </c>
      <c r="K771" s="99">
        <v>245.82387475538232</v>
      </c>
      <c r="L771" s="103">
        <v>154.17612524461768</v>
      </c>
    </row>
    <row r="772" spans="1:12" x14ac:dyDescent="0.45">
      <c r="A772" s="98" t="s">
        <v>699</v>
      </c>
      <c r="B772" s="87">
        <v>311</v>
      </c>
      <c r="C772" s="98" t="s">
        <v>725</v>
      </c>
      <c r="D772" s="93">
        <v>37437</v>
      </c>
      <c r="E772" s="99">
        <v>1950</v>
      </c>
      <c r="F772" s="100"/>
      <c r="G772" s="101">
        <v>40</v>
      </c>
      <c r="H772" s="102">
        <v>23</v>
      </c>
      <c r="I772" s="99">
        <v>48.75</v>
      </c>
      <c r="J772" s="99">
        <v>0</v>
      </c>
      <c r="K772" s="99">
        <v>1048.5924657534247</v>
      </c>
      <c r="L772" s="103">
        <v>901.40753424657532</v>
      </c>
    </row>
    <row r="773" spans="1:12" x14ac:dyDescent="0.45">
      <c r="A773" s="98" t="s">
        <v>699</v>
      </c>
      <c r="B773" s="87">
        <v>334</v>
      </c>
      <c r="C773" s="98" t="s">
        <v>726</v>
      </c>
      <c r="D773" s="93">
        <v>37802</v>
      </c>
      <c r="E773" s="99">
        <v>200</v>
      </c>
      <c r="F773" s="100"/>
      <c r="G773" s="101">
        <v>35</v>
      </c>
      <c r="H773" s="102">
        <v>22</v>
      </c>
      <c r="I773" s="99">
        <v>5.7142857142857144</v>
      </c>
      <c r="J773" s="99">
        <v>0</v>
      </c>
      <c r="K773" s="99">
        <v>117.19765166340545</v>
      </c>
      <c r="L773" s="103">
        <v>82.802348336594548</v>
      </c>
    </row>
    <row r="774" spans="1:12" x14ac:dyDescent="0.45">
      <c r="A774" s="98" t="s">
        <v>699</v>
      </c>
      <c r="B774" s="87">
        <v>347</v>
      </c>
      <c r="C774" s="98" t="s">
        <v>727</v>
      </c>
      <c r="D774" s="93">
        <v>37802</v>
      </c>
      <c r="E774" s="99">
        <v>380</v>
      </c>
      <c r="F774" s="100"/>
      <c r="G774" s="101">
        <v>10</v>
      </c>
      <c r="H774" s="102">
        <v>10</v>
      </c>
      <c r="I774" s="99">
        <v>0</v>
      </c>
      <c r="J774" s="99">
        <v>0</v>
      </c>
      <c r="K774" s="99">
        <v>380</v>
      </c>
      <c r="L774" s="103">
        <v>0</v>
      </c>
    </row>
    <row r="775" spans="1:12" x14ac:dyDescent="0.45">
      <c r="A775" s="98" t="s">
        <v>699</v>
      </c>
      <c r="B775" s="87">
        <v>311</v>
      </c>
      <c r="C775" s="98" t="s">
        <v>728</v>
      </c>
      <c r="D775" s="93">
        <v>38168</v>
      </c>
      <c r="E775" s="99">
        <v>720</v>
      </c>
      <c r="F775" s="100"/>
      <c r="G775" s="101">
        <v>20</v>
      </c>
      <c r="H775" s="102">
        <v>20</v>
      </c>
      <c r="I775" s="99">
        <v>0</v>
      </c>
      <c r="J775" s="99">
        <v>0</v>
      </c>
      <c r="K775" s="99">
        <v>702.24657534246569</v>
      </c>
      <c r="L775" s="103">
        <v>17.75342465753431</v>
      </c>
    </row>
    <row r="776" spans="1:12" x14ac:dyDescent="0.45">
      <c r="A776" s="98" t="s">
        <v>699</v>
      </c>
      <c r="B776" s="87">
        <v>311</v>
      </c>
      <c r="C776" s="98" t="s">
        <v>729</v>
      </c>
      <c r="D776" s="93">
        <v>38168</v>
      </c>
      <c r="E776" s="99">
        <v>100</v>
      </c>
      <c r="F776" s="100"/>
      <c r="G776" s="101">
        <v>20</v>
      </c>
      <c r="H776" s="102">
        <v>20</v>
      </c>
      <c r="I776" s="99">
        <v>0</v>
      </c>
      <c r="J776" s="99">
        <v>0</v>
      </c>
      <c r="K776" s="99">
        <v>97.534246575342493</v>
      </c>
      <c r="L776" s="103">
        <v>2.4657534246575068</v>
      </c>
    </row>
    <row r="777" spans="1:12" x14ac:dyDescent="0.45">
      <c r="A777" s="98" t="s">
        <v>699</v>
      </c>
      <c r="B777" s="87">
        <v>311</v>
      </c>
      <c r="C777" s="98" t="s">
        <v>730</v>
      </c>
      <c r="D777" s="93">
        <v>38168</v>
      </c>
      <c r="E777" s="99">
        <v>75</v>
      </c>
      <c r="F777" s="100"/>
      <c r="G777" s="101">
        <v>20</v>
      </c>
      <c r="H777" s="102">
        <v>20</v>
      </c>
      <c r="I777" s="99">
        <v>0</v>
      </c>
      <c r="J777" s="99">
        <v>0</v>
      </c>
      <c r="K777" s="99">
        <v>73.150684931506845</v>
      </c>
      <c r="L777" s="103">
        <v>1.849315068493155</v>
      </c>
    </row>
    <row r="778" spans="1:12" x14ac:dyDescent="0.45">
      <c r="A778" s="98" t="s">
        <v>699</v>
      </c>
      <c r="B778" s="87">
        <v>343</v>
      </c>
      <c r="C778" s="98" t="s">
        <v>731</v>
      </c>
      <c r="D778" s="93">
        <v>38168</v>
      </c>
      <c r="E778" s="99">
        <v>400</v>
      </c>
      <c r="F778" s="100"/>
      <c r="G778" s="101">
        <v>10</v>
      </c>
      <c r="H778" s="102">
        <v>10</v>
      </c>
      <c r="I778" s="99">
        <v>0</v>
      </c>
      <c r="J778" s="99">
        <v>0</v>
      </c>
      <c r="K778" s="99">
        <v>400</v>
      </c>
      <c r="L778" s="103">
        <v>0</v>
      </c>
    </row>
    <row r="779" spans="1:12" x14ac:dyDescent="0.45">
      <c r="A779" s="98" t="s">
        <v>699</v>
      </c>
      <c r="B779" s="87">
        <v>348</v>
      </c>
      <c r="C779" s="98" t="s">
        <v>732</v>
      </c>
      <c r="D779" s="93">
        <v>38168</v>
      </c>
      <c r="E779" s="99">
        <v>5000</v>
      </c>
      <c r="F779" s="100"/>
      <c r="G779" s="101">
        <v>6</v>
      </c>
      <c r="H779" s="102">
        <v>6</v>
      </c>
      <c r="I779" s="99">
        <v>0</v>
      </c>
      <c r="J779" s="99">
        <v>0</v>
      </c>
      <c r="K779" s="99">
        <v>4236.1111111111059</v>
      </c>
      <c r="L779" s="103">
        <v>763.88888888889414</v>
      </c>
    </row>
    <row r="780" spans="1:12" x14ac:dyDescent="0.45">
      <c r="A780" s="98" t="s">
        <v>699</v>
      </c>
      <c r="B780" s="87">
        <v>333</v>
      </c>
      <c r="C780" s="98" t="s">
        <v>733</v>
      </c>
      <c r="D780" s="93">
        <v>38168</v>
      </c>
      <c r="E780" s="99">
        <v>500</v>
      </c>
      <c r="F780" s="100"/>
      <c r="G780" s="101">
        <v>20</v>
      </c>
      <c r="H780" s="102">
        <v>20</v>
      </c>
      <c r="I780" s="99">
        <v>0</v>
      </c>
      <c r="J780" s="99">
        <v>0</v>
      </c>
      <c r="K780" s="99">
        <v>487.67123287671228</v>
      </c>
      <c r="L780" s="103">
        <v>12.328767123287719</v>
      </c>
    </row>
    <row r="781" spans="1:12" x14ac:dyDescent="0.45">
      <c r="A781" s="98" t="s">
        <v>699</v>
      </c>
      <c r="B781" s="87">
        <v>344</v>
      </c>
      <c r="C781" s="98" t="s">
        <v>734</v>
      </c>
      <c r="D781" s="93">
        <v>38168</v>
      </c>
      <c r="E781" s="99">
        <v>145</v>
      </c>
      <c r="F781" s="100"/>
      <c r="G781" s="101">
        <v>15</v>
      </c>
      <c r="H781" s="102">
        <v>15</v>
      </c>
      <c r="I781" s="99">
        <v>0</v>
      </c>
      <c r="J781" s="99">
        <v>0</v>
      </c>
      <c r="K781" s="99">
        <v>145</v>
      </c>
      <c r="L781" s="103">
        <v>0</v>
      </c>
    </row>
    <row r="782" spans="1:12" x14ac:dyDescent="0.45">
      <c r="A782" s="98" t="s">
        <v>699</v>
      </c>
      <c r="B782" s="87">
        <v>333</v>
      </c>
      <c r="C782" s="98" t="s">
        <v>735</v>
      </c>
      <c r="D782" s="93">
        <v>38168</v>
      </c>
      <c r="E782" s="99">
        <v>2255</v>
      </c>
      <c r="F782" s="100"/>
      <c r="G782" s="101">
        <v>20</v>
      </c>
      <c r="H782" s="102">
        <v>20</v>
      </c>
      <c r="I782" s="99">
        <v>0</v>
      </c>
      <c r="J782" s="99">
        <v>0</v>
      </c>
      <c r="K782" s="99">
        <v>2199.3972602739727</v>
      </c>
      <c r="L782" s="103">
        <v>55.602739726027266</v>
      </c>
    </row>
    <row r="783" spans="1:12" x14ac:dyDescent="0.45">
      <c r="A783" s="98" t="s">
        <v>699</v>
      </c>
      <c r="B783" s="87">
        <v>333</v>
      </c>
      <c r="C783" s="98" t="s">
        <v>736</v>
      </c>
      <c r="D783" s="93">
        <v>38533</v>
      </c>
      <c r="E783" s="99">
        <v>200</v>
      </c>
      <c r="F783" s="100"/>
      <c r="G783" s="101">
        <v>30</v>
      </c>
      <c r="H783" s="102">
        <v>20</v>
      </c>
      <c r="I783" s="99">
        <v>6.666666666666667</v>
      </c>
      <c r="J783" s="99">
        <v>0</v>
      </c>
      <c r="K783" s="99">
        <v>123.37899543379002</v>
      </c>
      <c r="L783" s="103">
        <v>76.621004566209976</v>
      </c>
    </row>
    <row r="784" spans="1:12" x14ac:dyDescent="0.45">
      <c r="A784" s="98" t="s">
        <v>699</v>
      </c>
      <c r="B784" s="87">
        <v>343</v>
      </c>
      <c r="C784" s="98" t="s">
        <v>737</v>
      </c>
      <c r="D784" s="93">
        <v>38533</v>
      </c>
      <c r="E784" s="99">
        <v>2132</v>
      </c>
      <c r="F784" s="100"/>
      <c r="G784" s="101">
        <v>10</v>
      </c>
      <c r="H784" s="102">
        <v>10</v>
      </c>
      <c r="I784" s="99">
        <v>0</v>
      </c>
      <c r="J784" s="99">
        <v>0</v>
      </c>
      <c r="K784" s="99">
        <v>2132</v>
      </c>
      <c r="L784" s="103">
        <v>0</v>
      </c>
    </row>
    <row r="785" spans="1:12" x14ac:dyDescent="0.45">
      <c r="A785" s="98" t="s">
        <v>699</v>
      </c>
      <c r="B785" s="87">
        <v>333</v>
      </c>
      <c r="C785" s="98" t="s">
        <v>738</v>
      </c>
      <c r="D785" s="93">
        <v>38898</v>
      </c>
      <c r="E785" s="99">
        <v>1012</v>
      </c>
      <c r="F785" s="100"/>
      <c r="G785" s="101">
        <v>30</v>
      </c>
      <c r="H785" s="102">
        <v>19</v>
      </c>
      <c r="I785" s="99">
        <v>33.733333333333334</v>
      </c>
      <c r="J785" s="99">
        <v>0</v>
      </c>
      <c r="K785" s="99">
        <v>590.56438356164517</v>
      </c>
      <c r="L785" s="103">
        <v>421.43561643835483</v>
      </c>
    </row>
    <row r="786" spans="1:12" x14ac:dyDescent="0.45">
      <c r="A786" s="98" t="s">
        <v>699</v>
      </c>
      <c r="B786" s="87">
        <v>344</v>
      </c>
      <c r="C786" s="98" t="s">
        <v>739</v>
      </c>
      <c r="D786" s="93">
        <v>38898</v>
      </c>
      <c r="E786" s="99">
        <v>3558</v>
      </c>
      <c r="F786" s="100"/>
      <c r="G786" s="101">
        <v>15</v>
      </c>
      <c r="H786" s="102">
        <v>15</v>
      </c>
      <c r="I786" s="99">
        <v>0</v>
      </c>
      <c r="J786" s="99">
        <v>0</v>
      </c>
      <c r="K786" s="99">
        <v>3557.9979908675796</v>
      </c>
      <c r="L786" s="103">
        <v>2.0091324204258854E-3</v>
      </c>
    </row>
    <row r="787" spans="1:12" x14ac:dyDescent="0.45">
      <c r="A787" s="98" t="s">
        <v>699</v>
      </c>
      <c r="B787" s="87">
        <v>343</v>
      </c>
      <c r="C787" s="98" t="s">
        <v>740</v>
      </c>
      <c r="D787" s="93">
        <v>38898</v>
      </c>
      <c r="E787" s="99">
        <v>750</v>
      </c>
      <c r="F787" s="100"/>
      <c r="G787" s="101">
        <v>10</v>
      </c>
      <c r="H787" s="102">
        <v>10</v>
      </c>
      <c r="I787" s="99">
        <v>0</v>
      </c>
      <c r="J787" s="99">
        <v>0</v>
      </c>
      <c r="K787" s="99">
        <v>750</v>
      </c>
      <c r="L787" s="103">
        <v>0</v>
      </c>
    </row>
    <row r="788" spans="1:12" x14ac:dyDescent="0.45">
      <c r="A788" s="98" t="s">
        <v>699</v>
      </c>
      <c r="B788" s="87">
        <v>340</v>
      </c>
      <c r="C788" s="98" t="s">
        <v>741</v>
      </c>
      <c r="D788" s="93">
        <v>38898</v>
      </c>
      <c r="E788" s="99">
        <v>100</v>
      </c>
      <c r="F788" s="100"/>
      <c r="G788" s="101">
        <v>5</v>
      </c>
      <c r="H788" s="102">
        <v>5</v>
      </c>
      <c r="I788" s="99">
        <v>0</v>
      </c>
      <c r="J788" s="99">
        <v>0</v>
      </c>
      <c r="K788" s="99">
        <v>100</v>
      </c>
      <c r="L788" s="103">
        <v>0</v>
      </c>
    </row>
    <row r="789" spans="1:12" x14ac:dyDescent="0.45">
      <c r="A789" s="98" t="s">
        <v>699</v>
      </c>
      <c r="B789" s="87">
        <v>340</v>
      </c>
      <c r="C789" s="98" t="s">
        <v>742</v>
      </c>
      <c r="D789" s="93">
        <v>38898</v>
      </c>
      <c r="E789" s="99">
        <v>340</v>
      </c>
      <c r="F789" s="100"/>
      <c r="G789" s="101">
        <v>5</v>
      </c>
      <c r="H789" s="102">
        <v>5</v>
      </c>
      <c r="I789" s="99">
        <v>0</v>
      </c>
      <c r="J789" s="99">
        <v>0</v>
      </c>
      <c r="K789" s="99">
        <v>340</v>
      </c>
      <c r="L789" s="103">
        <v>0</v>
      </c>
    </row>
    <row r="790" spans="1:12" x14ac:dyDescent="0.45">
      <c r="A790" s="98" t="s">
        <v>699</v>
      </c>
      <c r="B790" s="87">
        <v>343</v>
      </c>
      <c r="C790" s="98" t="s">
        <v>743</v>
      </c>
      <c r="D790" s="93">
        <v>38898</v>
      </c>
      <c r="E790" s="99">
        <v>100</v>
      </c>
      <c r="F790" s="100"/>
      <c r="G790" s="101">
        <v>10</v>
      </c>
      <c r="H790" s="102">
        <v>10</v>
      </c>
      <c r="I790" s="99">
        <v>0</v>
      </c>
      <c r="J790" s="99">
        <v>0</v>
      </c>
      <c r="K790" s="99">
        <v>100</v>
      </c>
      <c r="L790" s="103">
        <v>0</v>
      </c>
    </row>
    <row r="791" spans="1:12" x14ac:dyDescent="0.45">
      <c r="A791" s="98" t="s">
        <v>699</v>
      </c>
      <c r="B791" s="87">
        <v>347</v>
      </c>
      <c r="C791" s="98" t="s">
        <v>744</v>
      </c>
      <c r="D791" s="93">
        <v>38898</v>
      </c>
      <c r="E791" s="99">
        <v>367</v>
      </c>
      <c r="F791" s="100"/>
      <c r="G791" s="101">
        <v>10</v>
      </c>
      <c r="H791" s="102">
        <v>10</v>
      </c>
      <c r="I791" s="99">
        <v>0</v>
      </c>
      <c r="J791" s="99">
        <v>0</v>
      </c>
      <c r="K791" s="99">
        <v>367</v>
      </c>
      <c r="L791" s="103">
        <v>0</v>
      </c>
    </row>
    <row r="792" spans="1:12" x14ac:dyDescent="0.45">
      <c r="A792" s="98" t="s">
        <v>699</v>
      </c>
      <c r="B792" s="87">
        <v>333</v>
      </c>
      <c r="C792" s="98" t="s">
        <v>745</v>
      </c>
      <c r="D792" s="93">
        <v>38898</v>
      </c>
      <c r="E792" s="99">
        <v>1792</v>
      </c>
      <c r="F792" s="100"/>
      <c r="G792" s="101">
        <v>30</v>
      </c>
      <c r="H792" s="102">
        <v>19</v>
      </c>
      <c r="I792" s="99">
        <v>59.733333333333334</v>
      </c>
      <c r="J792" s="99">
        <v>0</v>
      </c>
      <c r="K792" s="99">
        <v>1045.7424657534243</v>
      </c>
      <c r="L792" s="103">
        <v>746.25753424657569</v>
      </c>
    </row>
    <row r="793" spans="1:12" x14ac:dyDescent="0.45">
      <c r="A793" s="98" t="s">
        <v>699</v>
      </c>
      <c r="B793" s="87">
        <v>333</v>
      </c>
      <c r="C793" s="98" t="s">
        <v>746</v>
      </c>
      <c r="D793" s="93">
        <v>39263</v>
      </c>
      <c r="E793" s="99">
        <v>313</v>
      </c>
      <c r="F793" s="100"/>
      <c r="G793" s="101">
        <v>30</v>
      </c>
      <c r="H793" s="102">
        <v>18</v>
      </c>
      <c r="I793" s="99">
        <v>10.433333333333334</v>
      </c>
      <c r="J793" s="99">
        <v>0</v>
      </c>
      <c r="K793" s="99">
        <v>172.2214611872144</v>
      </c>
      <c r="L793" s="103">
        <v>140.7785388127856</v>
      </c>
    </row>
    <row r="794" spans="1:12" x14ac:dyDescent="0.45">
      <c r="A794" s="98" t="s">
        <v>699</v>
      </c>
      <c r="B794" s="87">
        <v>347</v>
      </c>
      <c r="C794" s="98" t="s">
        <v>747</v>
      </c>
      <c r="D794" s="93">
        <v>39263</v>
      </c>
      <c r="E794" s="99">
        <v>2162</v>
      </c>
      <c r="F794" s="100"/>
      <c r="G794" s="101">
        <v>10</v>
      </c>
      <c r="H794" s="102">
        <v>10</v>
      </c>
      <c r="I794" s="99">
        <v>0</v>
      </c>
      <c r="J794" s="99">
        <v>0</v>
      </c>
      <c r="K794" s="99">
        <v>2162</v>
      </c>
      <c r="L794" s="103">
        <v>0</v>
      </c>
    </row>
    <row r="795" spans="1:12" x14ac:dyDescent="0.45">
      <c r="A795" s="98" t="s">
        <v>699</v>
      </c>
      <c r="B795" s="87">
        <v>344</v>
      </c>
      <c r="C795" s="98" t="s">
        <v>748</v>
      </c>
      <c r="D795" s="93">
        <v>39263</v>
      </c>
      <c r="E795" s="99">
        <v>813</v>
      </c>
      <c r="F795" s="100"/>
      <c r="G795" s="101">
        <v>15</v>
      </c>
      <c r="H795" s="102">
        <v>15</v>
      </c>
      <c r="I795" s="99">
        <v>0</v>
      </c>
      <c r="J795" s="99">
        <v>0</v>
      </c>
      <c r="K795" s="99">
        <v>813.00456621004571</v>
      </c>
      <c r="L795" s="103">
        <v>-4.5662100457093402E-3</v>
      </c>
    </row>
    <row r="796" spans="1:12" x14ac:dyDescent="0.45">
      <c r="A796" s="98" t="s">
        <v>699</v>
      </c>
      <c r="B796" s="87">
        <v>348</v>
      </c>
      <c r="C796" s="98" t="s">
        <v>749</v>
      </c>
      <c r="D796" s="93">
        <v>39263</v>
      </c>
      <c r="E796" s="99">
        <v>375</v>
      </c>
      <c r="F796" s="100"/>
      <c r="G796" s="101">
        <v>6</v>
      </c>
      <c r="H796" s="102">
        <v>6</v>
      </c>
      <c r="I796" s="99">
        <v>0</v>
      </c>
      <c r="J796" s="99">
        <v>0</v>
      </c>
      <c r="K796" s="99">
        <v>317.70833333333309</v>
      </c>
      <c r="L796" s="103">
        <v>57.291666666666913</v>
      </c>
    </row>
    <row r="797" spans="1:12" x14ac:dyDescent="0.45">
      <c r="A797" s="98" t="s">
        <v>699</v>
      </c>
      <c r="B797" s="87">
        <v>344</v>
      </c>
      <c r="C797" s="98" t="s">
        <v>750</v>
      </c>
      <c r="D797" s="93">
        <v>39263</v>
      </c>
      <c r="E797" s="99">
        <v>208</v>
      </c>
      <c r="F797" s="100"/>
      <c r="G797" s="101">
        <v>15</v>
      </c>
      <c r="H797" s="102">
        <v>15</v>
      </c>
      <c r="I797" s="99">
        <v>0</v>
      </c>
      <c r="J797" s="99">
        <v>0</v>
      </c>
      <c r="K797" s="99">
        <v>207.9994216133943</v>
      </c>
      <c r="L797" s="103">
        <v>5.7838660569586864E-4</v>
      </c>
    </row>
    <row r="798" spans="1:12" x14ac:dyDescent="0.45">
      <c r="A798" s="98" t="s">
        <v>699</v>
      </c>
      <c r="B798" s="87">
        <v>333</v>
      </c>
      <c r="C798" s="98" t="s">
        <v>751</v>
      </c>
      <c r="D798" s="93">
        <v>39629</v>
      </c>
      <c r="E798" s="99">
        <v>1603</v>
      </c>
      <c r="F798" s="100"/>
      <c r="G798" s="101">
        <v>30</v>
      </c>
      <c r="H798" s="102">
        <v>17</v>
      </c>
      <c r="I798" s="99">
        <v>53.43333333333333</v>
      </c>
      <c r="J798" s="99">
        <v>0</v>
      </c>
      <c r="K798" s="99">
        <v>828.43625570776339</v>
      </c>
      <c r="L798" s="103">
        <v>774.56374429223661</v>
      </c>
    </row>
    <row r="799" spans="1:12" x14ac:dyDescent="0.45">
      <c r="A799" s="98" t="s">
        <v>699</v>
      </c>
      <c r="B799" s="87">
        <v>333</v>
      </c>
      <c r="C799" s="98" t="s">
        <v>752</v>
      </c>
      <c r="D799" s="93">
        <v>39629</v>
      </c>
      <c r="E799" s="99">
        <v>1516</v>
      </c>
      <c r="F799" s="100"/>
      <c r="G799" s="101">
        <v>20</v>
      </c>
      <c r="H799" s="102">
        <v>17</v>
      </c>
      <c r="I799" s="99">
        <v>75.8</v>
      </c>
      <c r="J799" s="99">
        <v>0</v>
      </c>
      <c r="K799" s="99">
        <v>1175.2115068493163</v>
      </c>
      <c r="L799" s="103">
        <v>340.78849315068373</v>
      </c>
    </row>
    <row r="800" spans="1:12" x14ac:dyDescent="0.45">
      <c r="A800" s="98" t="s">
        <v>699</v>
      </c>
      <c r="B800" s="87">
        <v>347</v>
      </c>
      <c r="C800" s="98" t="s">
        <v>753</v>
      </c>
      <c r="D800" s="93">
        <v>39629</v>
      </c>
      <c r="E800" s="99">
        <v>151</v>
      </c>
      <c r="F800" s="100"/>
      <c r="G800" s="101">
        <v>10</v>
      </c>
      <c r="H800" s="102">
        <v>10</v>
      </c>
      <c r="I800" s="99">
        <v>0</v>
      </c>
      <c r="J800" s="99">
        <v>0</v>
      </c>
      <c r="K800" s="99">
        <v>151</v>
      </c>
      <c r="L800" s="103">
        <v>0</v>
      </c>
    </row>
    <row r="801" spans="1:12" x14ac:dyDescent="0.45">
      <c r="A801" s="98" t="s">
        <v>699</v>
      </c>
      <c r="B801" s="87">
        <v>333</v>
      </c>
      <c r="C801" s="98" t="s">
        <v>754</v>
      </c>
      <c r="D801" s="93">
        <v>39629</v>
      </c>
      <c r="E801" s="99">
        <v>7075</v>
      </c>
      <c r="F801" s="100"/>
      <c r="G801" s="101">
        <v>30</v>
      </c>
      <c r="H801" s="102">
        <v>17</v>
      </c>
      <c r="I801" s="99">
        <v>235.83333333333334</v>
      </c>
      <c r="J801" s="99">
        <v>0</v>
      </c>
      <c r="K801" s="99">
        <v>3656.3858447488469</v>
      </c>
      <c r="L801" s="103">
        <v>3418.6141552511531</v>
      </c>
    </row>
    <row r="802" spans="1:12" x14ac:dyDescent="0.45">
      <c r="A802" s="98" t="s">
        <v>699</v>
      </c>
      <c r="B802" s="87">
        <v>333</v>
      </c>
      <c r="C802" s="98" t="s">
        <v>755</v>
      </c>
      <c r="D802" s="93">
        <v>39994</v>
      </c>
      <c r="E802" s="99">
        <v>2004</v>
      </c>
      <c r="F802" s="100"/>
      <c r="G802" s="101">
        <v>30</v>
      </c>
      <c r="H802" s="102">
        <v>16</v>
      </c>
      <c r="I802" s="99">
        <v>66.8</v>
      </c>
      <c r="J802" s="99">
        <v>0</v>
      </c>
      <c r="K802" s="99">
        <v>968.8745205479413</v>
      </c>
      <c r="L802" s="103">
        <v>1035.1254794520587</v>
      </c>
    </row>
    <row r="803" spans="1:12" x14ac:dyDescent="0.45">
      <c r="A803" s="98" t="s">
        <v>699</v>
      </c>
      <c r="B803" s="87">
        <v>333</v>
      </c>
      <c r="C803" s="98" t="s">
        <v>756</v>
      </c>
      <c r="D803" s="93">
        <v>39994</v>
      </c>
      <c r="E803" s="99">
        <v>5736</v>
      </c>
      <c r="F803" s="100"/>
      <c r="G803" s="101">
        <v>30</v>
      </c>
      <c r="H803" s="102">
        <v>16</v>
      </c>
      <c r="I803" s="99">
        <v>191.2</v>
      </c>
      <c r="J803" s="99">
        <v>0</v>
      </c>
      <c r="K803" s="99">
        <v>2773.1857534246606</v>
      </c>
      <c r="L803" s="103">
        <v>2962.8142465753394</v>
      </c>
    </row>
    <row r="804" spans="1:12" x14ac:dyDescent="0.45">
      <c r="A804" s="98" t="s">
        <v>699</v>
      </c>
      <c r="B804" s="87">
        <v>347</v>
      </c>
      <c r="C804" s="98" t="s">
        <v>757</v>
      </c>
      <c r="D804" s="93">
        <v>39994</v>
      </c>
      <c r="E804" s="99">
        <v>1970</v>
      </c>
      <c r="F804" s="100"/>
      <c r="G804" s="101">
        <v>10</v>
      </c>
      <c r="H804" s="102">
        <v>10</v>
      </c>
      <c r="I804" s="99">
        <v>0</v>
      </c>
      <c r="J804" s="99">
        <v>0</v>
      </c>
      <c r="K804" s="99">
        <v>1970.0029223744293</v>
      </c>
      <c r="L804" s="103">
        <v>-2.9223744293176424E-3</v>
      </c>
    </row>
    <row r="805" spans="1:12" x14ac:dyDescent="0.45">
      <c r="A805" s="98" t="s">
        <v>699</v>
      </c>
      <c r="B805" s="87">
        <v>340</v>
      </c>
      <c r="C805" s="98" t="s">
        <v>758</v>
      </c>
      <c r="D805" s="93">
        <v>39994</v>
      </c>
      <c r="E805" s="99">
        <v>228</v>
      </c>
      <c r="F805" s="100"/>
      <c r="G805" s="101">
        <v>5</v>
      </c>
      <c r="H805" s="102">
        <v>5</v>
      </c>
      <c r="I805" s="99">
        <v>0</v>
      </c>
      <c r="J805" s="99">
        <v>0</v>
      </c>
      <c r="K805" s="99">
        <v>228</v>
      </c>
      <c r="L805" s="103">
        <v>0</v>
      </c>
    </row>
    <row r="806" spans="1:12" x14ac:dyDescent="0.45">
      <c r="A806" s="98" t="s">
        <v>699</v>
      </c>
      <c r="B806" s="87">
        <v>347</v>
      </c>
      <c r="C806" s="98" t="s">
        <v>759</v>
      </c>
      <c r="D806" s="93">
        <v>39994</v>
      </c>
      <c r="E806" s="99">
        <v>1297</v>
      </c>
      <c r="F806" s="100"/>
      <c r="G806" s="101">
        <v>10</v>
      </c>
      <c r="H806" s="102">
        <v>10</v>
      </c>
      <c r="I806" s="99">
        <v>0</v>
      </c>
      <c r="J806" s="99">
        <v>0</v>
      </c>
      <c r="K806" s="99">
        <v>1297.0046803652972</v>
      </c>
      <c r="L806" s="103">
        <v>-4.680365297190292E-3</v>
      </c>
    </row>
    <row r="807" spans="1:12" x14ac:dyDescent="0.45">
      <c r="A807" s="98" t="s">
        <v>699</v>
      </c>
      <c r="B807" s="87">
        <v>340</v>
      </c>
      <c r="C807" s="98" t="s">
        <v>760</v>
      </c>
      <c r="D807" s="93">
        <v>40359</v>
      </c>
      <c r="E807" s="99">
        <v>942</v>
      </c>
      <c r="F807" s="100"/>
      <c r="G807" s="101">
        <v>5</v>
      </c>
      <c r="H807" s="102">
        <v>5</v>
      </c>
      <c r="I807" s="99">
        <v>0</v>
      </c>
      <c r="J807" s="99">
        <v>0</v>
      </c>
      <c r="K807" s="99">
        <v>942</v>
      </c>
      <c r="L807" s="103">
        <v>0</v>
      </c>
    </row>
    <row r="808" spans="1:12" x14ac:dyDescent="0.45">
      <c r="A808" s="98" t="s">
        <v>699</v>
      </c>
      <c r="B808" s="87">
        <v>333</v>
      </c>
      <c r="C808" s="98" t="s">
        <v>761</v>
      </c>
      <c r="D808" s="93">
        <v>40359</v>
      </c>
      <c r="E808" s="99">
        <v>2255</v>
      </c>
      <c r="F808" s="100"/>
      <c r="G808" s="101">
        <v>30</v>
      </c>
      <c r="H808" s="102">
        <v>15</v>
      </c>
      <c r="I808" s="99">
        <v>75.166666666666671</v>
      </c>
      <c r="J808" s="99">
        <v>0</v>
      </c>
      <c r="K808" s="99">
        <v>1015.0589041095909</v>
      </c>
      <c r="L808" s="103">
        <v>1239.9410958904091</v>
      </c>
    </row>
    <row r="809" spans="1:12" x14ac:dyDescent="0.45">
      <c r="A809" s="98" t="s">
        <v>699</v>
      </c>
      <c r="B809" s="87">
        <v>333</v>
      </c>
      <c r="C809" s="98" t="s">
        <v>762</v>
      </c>
      <c r="D809" s="93">
        <v>40724</v>
      </c>
      <c r="E809" s="99">
        <v>1603</v>
      </c>
      <c r="F809" s="100"/>
      <c r="G809" s="101">
        <v>30</v>
      </c>
      <c r="H809" s="102">
        <v>14</v>
      </c>
      <c r="I809" s="99">
        <v>53.43333333333333</v>
      </c>
      <c r="J809" s="99">
        <v>0</v>
      </c>
      <c r="K809" s="99">
        <v>668.13625570776321</v>
      </c>
      <c r="L809" s="103">
        <v>934.86374429223679</v>
      </c>
    </row>
    <row r="810" spans="1:12" x14ac:dyDescent="0.45">
      <c r="A810" s="98" t="s">
        <v>699</v>
      </c>
      <c r="B810" s="87">
        <v>340</v>
      </c>
      <c r="C810" s="98" t="s">
        <v>763</v>
      </c>
      <c r="D810" s="93">
        <v>40724</v>
      </c>
      <c r="E810" s="99">
        <v>550</v>
      </c>
      <c r="F810" s="100"/>
      <c r="G810" s="101">
        <v>5</v>
      </c>
      <c r="H810" s="102">
        <v>5</v>
      </c>
      <c r="I810" s="99">
        <v>0</v>
      </c>
      <c r="J810" s="99">
        <v>0</v>
      </c>
      <c r="K810" s="99">
        <v>550</v>
      </c>
      <c r="L810" s="103">
        <v>0</v>
      </c>
    </row>
    <row r="811" spans="1:12" x14ac:dyDescent="0.45">
      <c r="A811" s="98" t="s">
        <v>699</v>
      </c>
      <c r="B811" s="87">
        <v>347</v>
      </c>
      <c r="C811" s="98" t="s">
        <v>764</v>
      </c>
      <c r="D811" s="93">
        <v>40724</v>
      </c>
      <c r="E811" s="99">
        <v>1953</v>
      </c>
      <c r="F811" s="100"/>
      <c r="G811" s="101">
        <v>10</v>
      </c>
      <c r="H811" s="102">
        <v>10</v>
      </c>
      <c r="I811" s="99">
        <v>0</v>
      </c>
      <c r="J811" s="99">
        <v>0</v>
      </c>
      <c r="K811" s="99">
        <v>1952.9976027397254</v>
      </c>
      <c r="L811" s="103">
        <v>2.397260274619839E-3</v>
      </c>
    </row>
    <row r="812" spans="1:12" x14ac:dyDescent="0.45">
      <c r="A812" s="98" t="s">
        <v>699</v>
      </c>
      <c r="B812" s="87">
        <v>333</v>
      </c>
      <c r="C812" s="98" t="s">
        <v>765</v>
      </c>
      <c r="D812" s="93">
        <v>40724</v>
      </c>
      <c r="E812" s="99">
        <v>588</v>
      </c>
      <c r="F812" s="100"/>
      <c r="G812" s="101">
        <v>30</v>
      </c>
      <c r="H812" s="102">
        <v>14</v>
      </c>
      <c r="I812" s="99">
        <v>19.600000000000001</v>
      </c>
      <c r="J812" s="99">
        <v>0</v>
      </c>
      <c r="K812" s="99">
        <v>245.08054794520518</v>
      </c>
      <c r="L812" s="103">
        <v>342.91945205479482</v>
      </c>
    </row>
    <row r="813" spans="1:12" x14ac:dyDescent="0.45">
      <c r="A813" s="98" t="s">
        <v>699</v>
      </c>
      <c r="B813" s="87">
        <v>311</v>
      </c>
      <c r="C813" s="98" t="s">
        <v>766</v>
      </c>
      <c r="D813" s="93">
        <v>40724</v>
      </c>
      <c r="E813" s="99">
        <v>300</v>
      </c>
      <c r="F813" s="100"/>
      <c r="G813" s="101">
        <v>20</v>
      </c>
      <c r="H813" s="102">
        <v>14</v>
      </c>
      <c r="I813" s="99">
        <v>15</v>
      </c>
      <c r="J813" s="99">
        <v>0</v>
      </c>
      <c r="K813" s="99">
        <v>187.56164383561645</v>
      </c>
      <c r="L813" s="103">
        <v>112.43835616438355</v>
      </c>
    </row>
    <row r="814" spans="1:12" x14ac:dyDescent="0.45">
      <c r="A814" s="98" t="s">
        <v>699</v>
      </c>
      <c r="B814" s="87">
        <v>333</v>
      </c>
      <c r="C814" s="98" t="s">
        <v>767</v>
      </c>
      <c r="D814" s="93">
        <v>40724</v>
      </c>
      <c r="E814" s="99">
        <v>125</v>
      </c>
      <c r="F814" s="100"/>
      <c r="G814" s="101">
        <v>30</v>
      </c>
      <c r="H814" s="102">
        <v>14</v>
      </c>
      <c r="I814" s="99">
        <v>4.166666666666667</v>
      </c>
      <c r="J814" s="99">
        <v>0</v>
      </c>
      <c r="K814" s="99">
        <v>52.100456621004994</v>
      </c>
      <c r="L814" s="103">
        <v>72.899543378995006</v>
      </c>
    </row>
    <row r="815" spans="1:12" x14ac:dyDescent="0.45">
      <c r="A815" s="98" t="s">
        <v>699</v>
      </c>
      <c r="B815" s="87">
        <v>347</v>
      </c>
      <c r="C815" s="98" t="s">
        <v>768</v>
      </c>
      <c r="D815" s="93">
        <v>40724</v>
      </c>
      <c r="E815" s="99">
        <v>1881</v>
      </c>
      <c r="F815" s="100"/>
      <c r="G815" s="101">
        <v>10</v>
      </c>
      <c r="H815" s="102">
        <v>10</v>
      </c>
      <c r="I815" s="99">
        <v>0</v>
      </c>
      <c r="J815" s="99">
        <v>0</v>
      </c>
      <c r="K815" s="99">
        <v>1880.9980136986303</v>
      </c>
      <c r="L815" s="103">
        <v>1.986301369697685E-3</v>
      </c>
    </row>
    <row r="816" spans="1:12" x14ac:dyDescent="0.45">
      <c r="A816" s="98" t="s">
        <v>699</v>
      </c>
      <c r="B816" s="87">
        <v>333</v>
      </c>
      <c r="C816" s="98" t="s">
        <v>769</v>
      </c>
      <c r="D816" s="93">
        <v>41090</v>
      </c>
      <c r="E816" s="99">
        <v>1710</v>
      </c>
      <c r="F816" s="100"/>
      <c r="G816" s="101">
        <v>30</v>
      </c>
      <c r="H816" s="102">
        <v>13</v>
      </c>
      <c r="I816" s="99">
        <v>57</v>
      </c>
      <c r="J816" s="99">
        <v>0</v>
      </c>
      <c r="K816" s="99">
        <v>655.73424657534247</v>
      </c>
      <c r="L816" s="103">
        <v>1054.2657534246575</v>
      </c>
    </row>
    <row r="817" spans="1:12" x14ac:dyDescent="0.45">
      <c r="A817" s="98" t="s">
        <v>699</v>
      </c>
      <c r="B817" s="87">
        <v>340</v>
      </c>
      <c r="C817" s="98" t="s">
        <v>770</v>
      </c>
      <c r="D817" s="93">
        <v>41090</v>
      </c>
      <c r="E817" s="99">
        <v>512</v>
      </c>
      <c r="F817" s="100"/>
      <c r="G817" s="101">
        <v>5</v>
      </c>
      <c r="H817" s="102">
        <v>5</v>
      </c>
      <c r="I817" s="99">
        <v>0</v>
      </c>
      <c r="J817" s="99">
        <v>0</v>
      </c>
      <c r="K817" s="99">
        <v>512</v>
      </c>
      <c r="L817" s="103">
        <v>0</v>
      </c>
    </row>
    <row r="818" spans="1:12" x14ac:dyDescent="0.45">
      <c r="A818" s="98" t="s">
        <v>699</v>
      </c>
      <c r="B818" s="87">
        <v>340</v>
      </c>
      <c r="C818" s="98" t="s">
        <v>771</v>
      </c>
      <c r="D818" s="93">
        <v>41090</v>
      </c>
      <c r="E818" s="99">
        <v>235</v>
      </c>
      <c r="F818" s="100"/>
      <c r="G818" s="101">
        <v>5</v>
      </c>
      <c r="H818" s="102">
        <v>5</v>
      </c>
      <c r="I818" s="99">
        <v>0</v>
      </c>
      <c r="J818" s="99">
        <v>0</v>
      </c>
      <c r="K818" s="99">
        <v>235</v>
      </c>
      <c r="L818" s="103">
        <v>0</v>
      </c>
    </row>
    <row r="819" spans="1:12" x14ac:dyDescent="0.45">
      <c r="A819" s="98" t="s">
        <v>699</v>
      </c>
      <c r="B819" s="87">
        <v>347</v>
      </c>
      <c r="C819" s="98" t="s">
        <v>772</v>
      </c>
      <c r="D819" s="93">
        <v>41090</v>
      </c>
      <c r="E819" s="99">
        <v>9874</v>
      </c>
      <c r="F819" s="100"/>
      <c r="G819" s="101">
        <v>10</v>
      </c>
      <c r="H819" s="102">
        <v>10</v>
      </c>
      <c r="I819" s="99">
        <v>0</v>
      </c>
      <c r="J819" s="99">
        <v>0</v>
      </c>
      <c r="K819" s="99">
        <v>9874.0044748858418</v>
      </c>
      <c r="L819" s="103">
        <v>-4.4748858417733572E-3</v>
      </c>
    </row>
    <row r="820" spans="1:12" x14ac:dyDescent="0.45">
      <c r="A820" s="98" t="s">
        <v>699</v>
      </c>
      <c r="B820" s="87">
        <v>347</v>
      </c>
      <c r="C820" s="98" t="s">
        <v>773</v>
      </c>
      <c r="D820" s="93">
        <v>41090</v>
      </c>
      <c r="E820" s="99">
        <v>544</v>
      </c>
      <c r="F820" s="100"/>
      <c r="G820" s="101">
        <v>10</v>
      </c>
      <c r="H820" s="102">
        <v>10</v>
      </c>
      <c r="I820" s="99">
        <v>0</v>
      </c>
      <c r="J820" s="99">
        <v>0</v>
      </c>
      <c r="K820" s="99">
        <v>544.00022831050205</v>
      </c>
      <c r="L820" s="103">
        <v>-2.2831050205240899E-4</v>
      </c>
    </row>
    <row r="821" spans="1:12" x14ac:dyDescent="0.45">
      <c r="A821" s="98" t="s">
        <v>699</v>
      </c>
      <c r="B821" s="87">
        <v>340</v>
      </c>
      <c r="C821" s="98" t="s">
        <v>774</v>
      </c>
      <c r="D821" s="93">
        <v>41090</v>
      </c>
      <c r="E821" s="99">
        <v>201</v>
      </c>
      <c r="F821" s="100"/>
      <c r="G821" s="101">
        <v>5</v>
      </c>
      <c r="H821" s="102">
        <v>5</v>
      </c>
      <c r="I821" s="99">
        <v>0</v>
      </c>
      <c r="J821" s="99">
        <v>0</v>
      </c>
      <c r="K821" s="99">
        <v>201</v>
      </c>
      <c r="L821" s="103">
        <v>0</v>
      </c>
    </row>
    <row r="822" spans="1:12" x14ac:dyDescent="0.45">
      <c r="A822" s="98" t="s">
        <v>699</v>
      </c>
      <c r="B822" s="87">
        <v>333</v>
      </c>
      <c r="C822" s="98" t="s">
        <v>775</v>
      </c>
      <c r="D822" s="93">
        <v>41090</v>
      </c>
      <c r="E822" s="99">
        <v>8558</v>
      </c>
      <c r="F822" s="100"/>
      <c r="G822" s="101">
        <v>20</v>
      </c>
      <c r="H822" s="102">
        <v>13</v>
      </c>
      <c r="I822" s="99">
        <v>427.9</v>
      </c>
      <c r="J822" s="99">
        <v>0</v>
      </c>
      <c r="K822" s="99">
        <v>4922.608493150703</v>
      </c>
      <c r="L822" s="103">
        <v>3635.391506849297</v>
      </c>
    </row>
    <row r="823" spans="1:12" x14ac:dyDescent="0.45">
      <c r="A823" s="98" t="s">
        <v>699</v>
      </c>
      <c r="B823" s="87">
        <v>340</v>
      </c>
      <c r="C823" s="98" t="s">
        <v>776</v>
      </c>
      <c r="D823" s="93">
        <v>41090</v>
      </c>
      <c r="E823" s="99">
        <v>497</v>
      </c>
      <c r="F823" s="100"/>
      <c r="G823" s="101">
        <v>5</v>
      </c>
      <c r="H823" s="102">
        <v>5</v>
      </c>
      <c r="I823" s="99">
        <v>0</v>
      </c>
      <c r="J823" s="99">
        <v>0</v>
      </c>
      <c r="K823" s="99">
        <v>497</v>
      </c>
      <c r="L823" s="103">
        <v>0</v>
      </c>
    </row>
    <row r="824" spans="1:12" x14ac:dyDescent="0.45">
      <c r="A824" s="98" t="s">
        <v>699</v>
      </c>
      <c r="B824" s="87">
        <v>340</v>
      </c>
      <c r="C824" s="98" t="s">
        <v>777</v>
      </c>
      <c r="D824" s="93">
        <v>41090</v>
      </c>
      <c r="E824" s="99">
        <v>1648</v>
      </c>
      <c r="F824" s="100"/>
      <c r="G824" s="101">
        <v>5</v>
      </c>
      <c r="H824" s="102">
        <v>5</v>
      </c>
      <c r="I824" s="99">
        <v>0</v>
      </c>
      <c r="J824" s="99">
        <v>0</v>
      </c>
      <c r="K824" s="99">
        <v>1648</v>
      </c>
      <c r="L824" s="103">
        <v>0</v>
      </c>
    </row>
    <row r="825" spans="1:12" x14ac:dyDescent="0.45">
      <c r="A825" s="98" t="s">
        <v>699</v>
      </c>
      <c r="B825" s="87">
        <v>340</v>
      </c>
      <c r="C825" s="98" t="s">
        <v>778</v>
      </c>
      <c r="D825" s="93">
        <v>41090</v>
      </c>
      <c r="E825" s="99">
        <v>95</v>
      </c>
      <c r="F825" s="100"/>
      <c r="G825" s="101">
        <v>5</v>
      </c>
      <c r="H825" s="102">
        <v>5</v>
      </c>
      <c r="I825" s="99">
        <v>0</v>
      </c>
      <c r="J825" s="99">
        <v>0</v>
      </c>
      <c r="K825" s="99">
        <v>95</v>
      </c>
      <c r="L825" s="103">
        <v>0</v>
      </c>
    </row>
    <row r="826" spans="1:12" x14ac:dyDescent="0.45">
      <c r="A826" s="98" t="s">
        <v>699</v>
      </c>
      <c r="B826" s="87">
        <v>333</v>
      </c>
      <c r="C826" s="98" t="s">
        <v>779</v>
      </c>
      <c r="D826" s="93">
        <v>41090</v>
      </c>
      <c r="E826" s="99">
        <v>13603</v>
      </c>
      <c r="F826" s="100"/>
      <c r="G826" s="101">
        <v>30</v>
      </c>
      <c r="H826" s="102">
        <v>13</v>
      </c>
      <c r="I826" s="99">
        <v>453.43333333333334</v>
      </c>
      <c r="J826" s="99">
        <v>0</v>
      </c>
      <c r="K826" s="99">
        <v>5216.3467579908302</v>
      </c>
      <c r="L826" s="103">
        <v>8386.6532420091698</v>
      </c>
    </row>
    <row r="827" spans="1:12" x14ac:dyDescent="0.45">
      <c r="A827" s="98" t="s">
        <v>699</v>
      </c>
      <c r="B827" s="87">
        <v>333</v>
      </c>
      <c r="C827" s="98" t="s">
        <v>780</v>
      </c>
      <c r="D827" s="93">
        <v>41146</v>
      </c>
      <c r="E827" s="99">
        <v>5121</v>
      </c>
      <c r="F827" s="100"/>
      <c r="G827" s="101">
        <v>20</v>
      </c>
      <c r="H827" s="102">
        <v>13</v>
      </c>
      <c r="I827" s="99">
        <v>256.05</v>
      </c>
      <c r="J827" s="99">
        <v>0</v>
      </c>
      <c r="K827" s="99">
        <v>2906.3428767123351</v>
      </c>
      <c r="L827" s="103">
        <v>2214.6571232876649</v>
      </c>
    </row>
    <row r="828" spans="1:12" x14ac:dyDescent="0.45">
      <c r="A828" s="98" t="s">
        <v>699</v>
      </c>
      <c r="B828" s="87">
        <v>347</v>
      </c>
      <c r="C828" s="98" t="s">
        <v>781</v>
      </c>
      <c r="D828" s="93">
        <v>41336</v>
      </c>
      <c r="E828" s="99">
        <v>250</v>
      </c>
      <c r="F828" s="100"/>
      <c r="G828" s="101">
        <v>10</v>
      </c>
      <c r="H828" s="102">
        <v>10</v>
      </c>
      <c r="I828" s="99">
        <v>0</v>
      </c>
      <c r="J828" s="99">
        <v>0</v>
      </c>
      <c r="K828" s="99">
        <v>250</v>
      </c>
      <c r="L828" s="103">
        <v>0</v>
      </c>
    </row>
    <row r="829" spans="1:12" x14ac:dyDescent="0.45">
      <c r="A829" s="98" t="s">
        <v>699</v>
      </c>
      <c r="B829" s="87">
        <v>344</v>
      </c>
      <c r="C829" s="98" t="s">
        <v>782</v>
      </c>
      <c r="D829" s="93">
        <v>41336</v>
      </c>
      <c r="E829" s="99">
        <v>502</v>
      </c>
      <c r="F829" s="100"/>
      <c r="G829" s="101">
        <v>15</v>
      </c>
      <c r="H829" s="102">
        <v>12</v>
      </c>
      <c r="I829" s="99">
        <v>33.466666666666669</v>
      </c>
      <c r="J829" s="99">
        <v>0</v>
      </c>
      <c r="K829" s="99">
        <v>362.44858447488616</v>
      </c>
      <c r="L829" s="103">
        <v>139.55141552511384</v>
      </c>
    </row>
    <row r="830" spans="1:12" x14ac:dyDescent="0.45">
      <c r="A830" s="98" t="s">
        <v>699</v>
      </c>
      <c r="B830" s="87">
        <v>347</v>
      </c>
      <c r="C830" s="98" t="s">
        <v>783</v>
      </c>
      <c r="D830" s="93">
        <v>41374</v>
      </c>
      <c r="E830" s="99">
        <v>2157</v>
      </c>
      <c r="F830" s="100"/>
      <c r="G830" s="101">
        <v>10</v>
      </c>
      <c r="H830" s="102">
        <v>10</v>
      </c>
      <c r="I830" s="99">
        <v>0</v>
      </c>
      <c r="J830" s="99">
        <v>0</v>
      </c>
      <c r="K830" s="99">
        <v>2157</v>
      </c>
      <c r="L830" s="103">
        <v>0</v>
      </c>
    </row>
    <row r="831" spans="1:12" x14ac:dyDescent="0.45">
      <c r="A831" s="98" t="s">
        <v>699</v>
      </c>
      <c r="B831" s="87">
        <v>340</v>
      </c>
      <c r="C831" s="98" t="s">
        <v>784</v>
      </c>
      <c r="D831" s="93">
        <v>41374</v>
      </c>
      <c r="E831" s="99">
        <v>13300</v>
      </c>
      <c r="F831" s="100"/>
      <c r="G831" s="101">
        <v>5</v>
      </c>
      <c r="H831" s="102">
        <v>5</v>
      </c>
      <c r="I831" s="99">
        <v>0</v>
      </c>
      <c r="J831" s="99">
        <v>0</v>
      </c>
      <c r="K831" s="99">
        <v>13299.998812785389</v>
      </c>
      <c r="L831" s="103">
        <v>1.187214611491072E-3</v>
      </c>
    </row>
    <row r="832" spans="1:12" x14ac:dyDescent="0.45">
      <c r="A832" s="98" t="s">
        <v>699</v>
      </c>
      <c r="B832" s="87">
        <v>347</v>
      </c>
      <c r="C832" s="98" t="s">
        <v>785</v>
      </c>
      <c r="D832" s="93">
        <v>41455</v>
      </c>
      <c r="E832" s="99">
        <v>3928</v>
      </c>
      <c r="F832" s="100"/>
      <c r="G832" s="101">
        <v>10</v>
      </c>
      <c r="H832" s="102">
        <v>10</v>
      </c>
      <c r="I832" s="99">
        <v>0</v>
      </c>
      <c r="J832" s="99">
        <v>0</v>
      </c>
      <c r="K832" s="99">
        <v>3928</v>
      </c>
      <c r="L832" s="103">
        <v>0</v>
      </c>
    </row>
    <row r="833" spans="1:12" x14ac:dyDescent="0.45">
      <c r="A833" s="98" t="s">
        <v>699</v>
      </c>
      <c r="B833" s="87">
        <v>340</v>
      </c>
      <c r="C833" s="98" t="s">
        <v>786</v>
      </c>
      <c r="D833" s="93">
        <v>41469</v>
      </c>
      <c r="E833" s="99">
        <v>593</v>
      </c>
      <c r="F833" s="100"/>
      <c r="G833" s="101">
        <v>5</v>
      </c>
      <c r="H833" s="102">
        <v>5</v>
      </c>
      <c r="I833" s="99">
        <v>0</v>
      </c>
      <c r="J833" s="99">
        <v>0</v>
      </c>
      <c r="K833" s="99">
        <v>593.00305936073062</v>
      </c>
      <c r="L833" s="103">
        <v>-3.0593607306172999E-3</v>
      </c>
    </row>
    <row r="834" spans="1:12" x14ac:dyDescent="0.45">
      <c r="A834" s="98" t="s">
        <v>699</v>
      </c>
      <c r="B834" s="87">
        <v>333</v>
      </c>
      <c r="C834" s="98" t="s">
        <v>787</v>
      </c>
      <c r="D834" s="93">
        <v>41487</v>
      </c>
      <c r="E834" s="99">
        <v>620</v>
      </c>
      <c r="F834" s="100"/>
      <c r="G834" s="101">
        <v>30</v>
      </c>
      <c r="H834" s="102">
        <v>12</v>
      </c>
      <c r="I834" s="99">
        <v>20.666666666666668</v>
      </c>
      <c r="J834" s="99">
        <v>0</v>
      </c>
      <c r="K834" s="99">
        <v>215.27305936073088</v>
      </c>
      <c r="L834" s="103">
        <v>404.72694063926912</v>
      </c>
    </row>
    <row r="835" spans="1:12" x14ac:dyDescent="0.45">
      <c r="A835" s="98" t="s">
        <v>699</v>
      </c>
      <c r="B835" s="87">
        <v>344</v>
      </c>
      <c r="C835" s="98" t="s">
        <v>788</v>
      </c>
      <c r="D835" s="93">
        <v>41518</v>
      </c>
      <c r="E835" s="99">
        <v>5978</v>
      </c>
      <c r="F835" s="100"/>
      <c r="G835" s="101">
        <v>15</v>
      </c>
      <c r="H835" s="102">
        <v>12</v>
      </c>
      <c r="I835" s="99">
        <v>398.53333333333336</v>
      </c>
      <c r="J835" s="99">
        <v>0</v>
      </c>
      <c r="K835" s="99">
        <v>4117.449863013705</v>
      </c>
      <c r="L835" s="103">
        <v>1860.550136986295</v>
      </c>
    </row>
    <row r="836" spans="1:12" x14ac:dyDescent="0.45">
      <c r="A836" s="98" t="s">
        <v>699</v>
      </c>
      <c r="B836" s="87">
        <v>304</v>
      </c>
      <c r="C836" s="98" t="s">
        <v>789</v>
      </c>
      <c r="D836" s="93">
        <v>41578</v>
      </c>
      <c r="E836" s="99">
        <v>150</v>
      </c>
      <c r="F836" s="100"/>
      <c r="G836" s="101">
        <v>5</v>
      </c>
      <c r="H836" s="102">
        <v>5</v>
      </c>
      <c r="I836" s="99">
        <v>0</v>
      </c>
      <c r="J836" s="99">
        <v>0</v>
      </c>
      <c r="K836" s="99">
        <v>149.99561643835617</v>
      </c>
      <c r="L836" s="103">
        <v>4.383561643834355E-3</v>
      </c>
    </row>
    <row r="837" spans="1:12" x14ac:dyDescent="0.45">
      <c r="A837" s="98" t="s">
        <v>699</v>
      </c>
      <c r="B837" s="87">
        <v>333</v>
      </c>
      <c r="C837" s="98" t="s">
        <v>790</v>
      </c>
      <c r="D837" s="93">
        <v>41855</v>
      </c>
      <c r="E837" s="99">
        <v>452</v>
      </c>
      <c r="F837" s="100"/>
      <c r="G837" s="101">
        <v>30</v>
      </c>
      <c r="H837" s="102">
        <v>11</v>
      </c>
      <c r="I837" s="99">
        <v>15.066666666666666</v>
      </c>
      <c r="J837" s="99">
        <v>0</v>
      </c>
      <c r="K837" s="99">
        <v>141.75050228310351</v>
      </c>
      <c r="L837" s="103">
        <v>310.24949771689649</v>
      </c>
    </row>
    <row r="838" spans="1:12" x14ac:dyDescent="0.45">
      <c r="A838" s="98" t="s">
        <v>699</v>
      </c>
      <c r="B838" s="87">
        <v>340</v>
      </c>
      <c r="C838" s="98" t="s">
        <v>791</v>
      </c>
      <c r="D838" s="93">
        <v>41989</v>
      </c>
      <c r="E838" s="99">
        <v>1561</v>
      </c>
      <c r="F838" s="100"/>
      <c r="G838" s="101">
        <v>5</v>
      </c>
      <c r="H838" s="102">
        <v>5</v>
      </c>
      <c r="I838" s="99">
        <v>0</v>
      </c>
      <c r="J838" s="99">
        <v>0</v>
      </c>
      <c r="K838" s="99">
        <v>1561</v>
      </c>
      <c r="L838" s="103">
        <v>0</v>
      </c>
    </row>
    <row r="839" spans="1:12" x14ac:dyDescent="0.45">
      <c r="A839" s="98" t="s">
        <v>699</v>
      </c>
      <c r="B839" s="87">
        <v>333</v>
      </c>
      <c r="C839" s="98" t="s">
        <v>792</v>
      </c>
      <c r="D839" s="93">
        <v>42185</v>
      </c>
      <c r="E839" s="99">
        <v>411</v>
      </c>
      <c r="F839" s="100"/>
      <c r="G839" s="101">
        <v>30</v>
      </c>
      <c r="H839" s="102">
        <v>10</v>
      </c>
      <c r="I839" s="99">
        <v>13.7</v>
      </c>
      <c r="J839" s="99">
        <v>0</v>
      </c>
      <c r="K839" s="99">
        <v>116.50630136986206</v>
      </c>
      <c r="L839" s="103">
        <v>294.49369863013794</v>
      </c>
    </row>
    <row r="840" spans="1:12" x14ac:dyDescent="0.45">
      <c r="A840" s="98" t="s">
        <v>699</v>
      </c>
      <c r="B840" s="87">
        <v>344</v>
      </c>
      <c r="C840" s="98" t="s">
        <v>793</v>
      </c>
      <c r="D840" s="93">
        <v>42366</v>
      </c>
      <c r="E840" s="99">
        <v>1122</v>
      </c>
      <c r="F840" s="100"/>
      <c r="G840" s="101">
        <v>15</v>
      </c>
      <c r="H840" s="102">
        <v>9</v>
      </c>
      <c r="I840" s="99">
        <v>74.8</v>
      </c>
      <c r="J840" s="99">
        <v>0</v>
      </c>
      <c r="K840" s="99">
        <v>599.01479452054889</v>
      </c>
      <c r="L840" s="103">
        <v>522.98520547945111</v>
      </c>
    </row>
    <row r="841" spans="1:12" x14ac:dyDescent="0.45">
      <c r="A841" s="98" t="s">
        <v>699</v>
      </c>
      <c r="B841" s="87">
        <v>333</v>
      </c>
      <c r="C841" s="98" t="s">
        <v>794</v>
      </c>
      <c r="D841" s="93">
        <v>42916</v>
      </c>
      <c r="E841" s="99">
        <v>327</v>
      </c>
      <c r="F841" s="100"/>
      <c r="G841" s="101">
        <v>30</v>
      </c>
      <c r="H841" s="102">
        <v>8</v>
      </c>
      <c r="I841" s="99">
        <v>10.9</v>
      </c>
      <c r="J841" s="99">
        <v>0</v>
      </c>
      <c r="K841" s="99">
        <v>70.894794520549567</v>
      </c>
      <c r="L841" s="103">
        <v>256.10520547945043</v>
      </c>
    </row>
    <row r="842" spans="1:12" x14ac:dyDescent="0.45">
      <c r="A842" s="98" t="s">
        <v>699</v>
      </c>
      <c r="B842" s="87">
        <v>311</v>
      </c>
      <c r="C842" s="98" t="s">
        <v>795</v>
      </c>
      <c r="D842" s="93">
        <v>28500</v>
      </c>
      <c r="E842" s="99">
        <v>2400</v>
      </c>
      <c r="F842" s="100"/>
      <c r="G842" s="101">
        <v>40</v>
      </c>
      <c r="H842" s="102">
        <v>40</v>
      </c>
      <c r="I842" s="99">
        <v>0</v>
      </c>
      <c r="J842" s="99">
        <v>0</v>
      </c>
      <c r="K842" s="99">
        <v>2400</v>
      </c>
      <c r="L842" s="103">
        <v>0</v>
      </c>
    </row>
    <row r="843" spans="1:12" x14ac:dyDescent="0.45">
      <c r="A843" s="98" t="s">
        <v>699</v>
      </c>
      <c r="B843" s="87">
        <v>311</v>
      </c>
      <c r="C843" s="98" t="s">
        <v>795</v>
      </c>
      <c r="D843" s="93">
        <v>29503.75</v>
      </c>
      <c r="E843" s="99">
        <v>8000</v>
      </c>
      <c r="F843" s="100"/>
      <c r="G843" s="101">
        <v>40</v>
      </c>
      <c r="H843" s="102">
        <v>40</v>
      </c>
      <c r="I843" s="99">
        <v>0</v>
      </c>
      <c r="J843" s="99">
        <v>0</v>
      </c>
      <c r="K843" s="99">
        <v>8000</v>
      </c>
      <c r="L843" s="103">
        <v>0</v>
      </c>
    </row>
    <row r="844" spans="1:12" x14ac:dyDescent="0.45">
      <c r="A844" s="98" t="s">
        <v>699</v>
      </c>
      <c r="B844" s="87">
        <v>330</v>
      </c>
      <c r="C844" s="98" t="s">
        <v>795</v>
      </c>
      <c r="D844" s="93">
        <v>30548.689236111109</v>
      </c>
      <c r="E844" s="99">
        <v>36000</v>
      </c>
      <c r="F844" s="100"/>
      <c r="G844" s="101">
        <v>50</v>
      </c>
      <c r="H844" s="102">
        <v>42</v>
      </c>
      <c r="I844" s="99">
        <v>720</v>
      </c>
      <c r="J844" s="99">
        <v>0</v>
      </c>
      <c r="K844" s="99">
        <v>24850.14</v>
      </c>
      <c r="L844" s="103">
        <v>11149.86</v>
      </c>
    </row>
    <row r="845" spans="1:12" x14ac:dyDescent="0.45">
      <c r="A845" s="98" t="s">
        <v>699</v>
      </c>
      <c r="B845" s="87">
        <v>311</v>
      </c>
      <c r="C845" s="98" t="s">
        <v>795</v>
      </c>
      <c r="D845" s="93">
        <v>31055.4010989011</v>
      </c>
      <c r="E845" s="99">
        <v>36400</v>
      </c>
      <c r="F845" s="100"/>
      <c r="G845" s="101">
        <v>40</v>
      </c>
      <c r="H845" s="102">
        <v>40</v>
      </c>
      <c r="I845" s="99">
        <v>910</v>
      </c>
      <c r="J845" s="99">
        <v>0</v>
      </c>
      <c r="K845" s="99">
        <v>35485.016666666663</v>
      </c>
      <c r="L845" s="103">
        <v>914.98333333333721</v>
      </c>
    </row>
    <row r="846" spans="1:12" x14ac:dyDescent="0.45">
      <c r="A846" s="98" t="s">
        <v>699</v>
      </c>
      <c r="B846" s="87">
        <v>311</v>
      </c>
      <c r="C846" s="98" t="s">
        <v>795</v>
      </c>
      <c r="D846" s="93">
        <v>31297.297872340423</v>
      </c>
      <c r="E846" s="99">
        <v>11750</v>
      </c>
      <c r="F846" s="100"/>
      <c r="G846" s="101">
        <v>40</v>
      </c>
      <c r="H846" s="102">
        <v>40</v>
      </c>
      <c r="I846" s="99">
        <v>293.75</v>
      </c>
      <c r="J846" s="99">
        <v>0</v>
      </c>
      <c r="K846" s="99">
        <v>11259.878333333336</v>
      </c>
      <c r="L846" s="103">
        <v>490.12166666666417</v>
      </c>
    </row>
    <row r="847" spans="1:12" x14ac:dyDescent="0.45">
      <c r="A847" s="98" t="s">
        <v>699</v>
      </c>
      <c r="B847" s="87">
        <v>333</v>
      </c>
      <c r="C847" s="98" t="s">
        <v>795</v>
      </c>
      <c r="D847" s="93">
        <v>32039.39393939394</v>
      </c>
      <c r="E847" s="99">
        <v>15915</v>
      </c>
      <c r="F847" s="100"/>
      <c r="G847" s="101">
        <v>30</v>
      </c>
      <c r="H847" s="102">
        <v>30</v>
      </c>
      <c r="I847" s="99">
        <v>0</v>
      </c>
      <c r="J847" s="99">
        <v>0</v>
      </c>
      <c r="K847" s="99">
        <v>15915</v>
      </c>
      <c r="L847" s="103">
        <v>0</v>
      </c>
    </row>
    <row r="848" spans="1:12" x14ac:dyDescent="0.45">
      <c r="A848" s="98" t="s">
        <v>699</v>
      </c>
      <c r="B848" s="87">
        <v>333</v>
      </c>
      <c r="C848" s="98" t="s">
        <v>795</v>
      </c>
      <c r="D848" s="93">
        <v>32524.954545454544</v>
      </c>
      <c r="E848" s="99">
        <v>11000</v>
      </c>
      <c r="F848" s="100"/>
      <c r="G848" s="101">
        <v>20</v>
      </c>
      <c r="H848" s="102">
        <v>20</v>
      </c>
      <c r="I848" s="99">
        <v>0</v>
      </c>
      <c r="J848" s="99">
        <v>0</v>
      </c>
      <c r="K848" s="99">
        <v>11000</v>
      </c>
      <c r="L848" s="103">
        <v>0</v>
      </c>
    </row>
    <row r="849" spans="1:12" x14ac:dyDescent="0.45">
      <c r="A849" s="98" t="s">
        <v>699</v>
      </c>
      <c r="B849" s="87">
        <v>333</v>
      </c>
      <c r="C849" s="98" t="s">
        <v>795</v>
      </c>
      <c r="D849" s="93">
        <v>35228.994764397903</v>
      </c>
      <c r="E849" s="99">
        <v>38200</v>
      </c>
      <c r="F849" s="100"/>
      <c r="G849" s="101">
        <v>20</v>
      </c>
      <c r="H849" s="102">
        <v>20</v>
      </c>
      <c r="I849" s="99">
        <v>0</v>
      </c>
      <c r="J849" s="99">
        <v>0</v>
      </c>
      <c r="K849" s="99">
        <v>38200</v>
      </c>
      <c r="L849" s="103">
        <v>0</v>
      </c>
    </row>
    <row r="850" spans="1:12" x14ac:dyDescent="0.45">
      <c r="A850" s="98" t="s">
        <v>699</v>
      </c>
      <c r="B850" s="87">
        <v>303</v>
      </c>
      <c r="C850" s="98" t="s">
        <v>795</v>
      </c>
      <c r="D850" s="93">
        <v>41455</v>
      </c>
      <c r="E850" s="99">
        <v>100</v>
      </c>
      <c r="F850" s="100"/>
      <c r="G850" s="101">
        <v>0</v>
      </c>
      <c r="H850" s="102">
        <v>0</v>
      </c>
      <c r="I850" s="99">
        <v>0</v>
      </c>
      <c r="J850" s="99">
        <v>0</v>
      </c>
      <c r="K850" s="99">
        <v>0</v>
      </c>
      <c r="L850" s="103">
        <v>100</v>
      </c>
    </row>
    <row r="851" spans="1:12" x14ac:dyDescent="0.45">
      <c r="A851" s="98" t="s">
        <v>796</v>
      </c>
      <c r="B851" s="87">
        <v>333</v>
      </c>
      <c r="C851" s="98" t="s">
        <v>797</v>
      </c>
      <c r="D851" s="93">
        <v>44895</v>
      </c>
      <c r="E851" s="99">
        <v>484.43</v>
      </c>
      <c r="F851" s="100"/>
      <c r="G851" s="101">
        <v>50</v>
      </c>
      <c r="H851" s="102">
        <v>2</v>
      </c>
      <c r="I851" s="99">
        <v>9.688600000000001</v>
      </c>
      <c r="J851" s="99">
        <v>0</v>
      </c>
      <c r="K851" s="99">
        <v>11.303366666666875</v>
      </c>
      <c r="L851" s="103">
        <v>473.12663333333313</v>
      </c>
    </row>
    <row r="852" spans="1:12" x14ac:dyDescent="0.45">
      <c r="A852" s="98" t="s">
        <v>796</v>
      </c>
      <c r="B852" s="87">
        <v>304</v>
      </c>
      <c r="C852" s="98" t="s">
        <v>798</v>
      </c>
      <c r="D852" s="93">
        <v>44830</v>
      </c>
      <c r="E852" s="99">
        <v>5822.31</v>
      </c>
      <c r="F852" s="100"/>
      <c r="G852" s="101">
        <v>35</v>
      </c>
      <c r="H852" s="102">
        <v>3</v>
      </c>
      <c r="I852" s="99">
        <v>166.35171428571431</v>
      </c>
      <c r="J852" s="99">
        <v>0</v>
      </c>
      <c r="K852" s="99">
        <v>221.8022857142787</v>
      </c>
      <c r="L852" s="103">
        <v>5600.5077142857217</v>
      </c>
    </row>
    <row r="853" spans="1:12" x14ac:dyDescent="0.45">
      <c r="A853" s="98" t="s">
        <v>796</v>
      </c>
      <c r="B853" s="87">
        <v>304</v>
      </c>
      <c r="C853" s="98" t="s">
        <v>799</v>
      </c>
      <c r="D853" s="93">
        <v>44865</v>
      </c>
      <c r="E853" s="99">
        <v>16642.71</v>
      </c>
      <c r="F853" s="100"/>
      <c r="G853" s="101">
        <v>35</v>
      </c>
      <c r="H853" s="102">
        <v>2</v>
      </c>
      <c r="I853" s="99">
        <v>475.50599999999997</v>
      </c>
      <c r="J853" s="99">
        <v>0</v>
      </c>
      <c r="K853" s="99">
        <v>594.38249999999061</v>
      </c>
      <c r="L853" s="103">
        <v>16048.327500000009</v>
      </c>
    </row>
    <row r="854" spans="1:12" x14ac:dyDescent="0.45">
      <c r="A854" s="98" t="s">
        <v>796</v>
      </c>
      <c r="B854" s="87">
        <v>346</v>
      </c>
      <c r="C854" s="98" t="s">
        <v>800</v>
      </c>
      <c r="D854" s="93">
        <v>44978</v>
      </c>
      <c r="E854" s="99">
        <v>4621.17</v>
      </c>
      <c r="F854" s="100"/>
      <c r="G854" s="101">
        <v>10</v>
      </c>
      <c r="H854" s="102">
        <v>2</v>
      </c>
      <c r="I854" s="99">
        <v>462.11700000000002</v>
      </c>
      <c r="J854" s="99">
        <v>0</v>
      </c>
      <c r="K854" s="99">
        <v>423.60725000000184</v>
      </c>
      <c r="L854" s="103">
        <v>4197.5627499999982</v>
      </c>
    </row>
    <row r="855" spans="1:12" x14ac:dyDescent="0.45">
      <c r="A855" s="98" t="s">
        <v>796</v>
      </c>
      <c r="B855" s="87">
        <v>346</v>
      </c>
      <c r="C855" s="98" t="s">
        <v>801</v>
      </c>
      <c r="D855" s="93">
        <v>44978</v>
      </c>
      <c r="E855" s="99">
        <v>11235.56</v>
      </c>
      <c r="F855" s="100"/>
      <c r="G855" s="101">
        <v>10</v>
      </c>
      <c r="H855" s="102">
        <v>2</v>
      </c>
      <c r="I855" s="99">
        <v>1123.556</v>
      </c>
      <c r="J855" s="99">
        <v>0</v>
      </c>
      <c r="K855" s="99">
        <v>1029.9263333333238</v>
      </c>
      <c r="L855" s="103">
        <v>10205.633666666676</v>
      </c>
    </row>
    <row r="856" spans="1:12" x14ac:dyDescent="0.45">
      <c r="A856" s="98" t="s">
        <v>796</v>
      </c>
      <c r="B856" s="87">
        <v>346</v>
      </c>
      <c r="C856" s="98" t="s">
        <v>802</v>
      </c>
      <c r="D856" s="93">
        <v>44978</v>
      </c>
      <c r="E856" s="99">
        <v>11235.56</v>
      </c>
      <c r="F856" s="100"/>
      <c r="G856" s="101">
        <v>10</v>
      </c>
      <c r="H856" s="102">
        <v>2</v>
      </c>
      <c r="I856" s="99">
        <v>1123.556</v>
      </c>
      <c r="J856" s="99">
        <v>0</v>
      </c>
      <c r="K856" s="99">
        <v>1029.9263333333238</v>
      </c>
      <c r="L856" s="103">
        <v>10205.633666666676</v>
      </c>
    </row>
    <row r="857" spans="1:12" x14ac:dyDescent="0.45">
      <c r="A857" s="98" t="s">
        <v>796</v>
      </c>
      <c r="B857" s="87">
        <v>346</v>
      </c>
      <c r="C857" s="98" t="s">
        <v>803</v>
      </c>
      <c r="D857" s="93">
        <v>44959</v>
      </c>
      <c r="E857" s="99">
        <v>5889.78</v>
      </c>
      <c r="F857" s="100"/>
      <c r="G857" s="101">
        <v>10</v>
      </c>
      <c r="H857" s="102">
        <v>2</v>
      </c>
      <c r="I857" s="99">
        <v>588.97799999999995</v>
      </c>
      <c r="J857" s="99">
        <v>0</v>
      </c>
      <c r="K857" s="99">
        <v>539.89650000000256</v>
      </c>
      <c r="L857" s="103">
        <v>5349.8834999999972</v>
      </c>
    </row>
    <row r="858" spans="1:12" x14ac:dyDescent="0.45">
      <c r="A858" s="98" t="s">
        <v>796</v>
      </c>
      <c r="B858" s="87">
        <v>334</v>
      </c>
      <c r="C858" s="98" t="s">
        <v>804</v>
      </c>
      <c r="D858" s="93">
        <v>45016</v>
      </c>
      <c r="E858" s="99">
        <v>3865.26</v>
      </c>
      <c r="F858" s="100"/>
      <c r="G858" s="101">
        <v>25</v>
      </c>
      <c r="H858" s="102">
        <v>2</v>
      </c>
      <c r="I858" s="99">
        <v>154.6104</v>
      </c>
      <c r="J858" s="99">
        <v>0</v>
      </c>
      <c r="K858" s="99">
        <v>128.84199999999964</v>
      </c>
      <c r="L858" s="103">
        <v>3736.4180000000006</v>
      </c>
    </row>
    <row r="859" spans="1:12" x14ac:dyDescent="0.45">
      <c r="A859" s="98" t="s">
        <v>796</v>
      </c>
      <c r="B859" s="87">
        <v>310</v>
      </c>
      <c r="C859" s="98" t="s">
        <v>805</v>
      </c>
      <c r="D859" s="93">
        <v>45259</v>
      </c>
      <c r="E859" s="99">
        <v>43780.9</v>
      </c>
      <c r="F859" s="100"/>
      <c r="G859" s="101">
        <v>15</v>
      </c>
      <c r="H859" s="102">
        <v>1</v>
      </c>
      <c r="I859" s="99">
        <v>2918.7266666666669</v>
      </c>
      <c r="J859" s="99">
        <v>0</v>
      </c>
      <c r="K859" s="99">
        <v>486.45444444444729</v>
      </c>
      <c r="L859" s="103">
        <v>43294.445555555554</v>
      </c>
    </row>
    <row r="860" spans="1:12" x14ac:dyDescent="0.45">
      <c r="A860" s="98" t="s">
        <v>796</v>
      </c>
      <c r="B860" s="87">
        <v>310</v>
      </c>
      <c r="C860" s="98" t="s">
        <v>806</v>
      </c>
      <c r="D860" s="93">
        <v>45261</v>
      </c>
      <c r="E860" s="99">
        <v>60845.33</v>
      </c>
      <c r="F860" s="100"/>
      <c r="G860" s="101">
        <v>15</v>
      </c>
      <c r="H860" s="102">
        <v>1</v>
      </c>
      <c r="I860" s="99">
        <v>4056.3553333333334</v>
      </c>
      <c r="J860" s="99">
        <v>0</v>
      </c>
      <c r="K860" s="99">
        <v>338.02961111110926</v>
      </c>
      <c r="L860" s="103">
        <v>60507.300388888892</v>
      </c>
    </row>
    <row r="861" spans="1:12" x14ac:dyDescent="0.45">
      <c r="A861" s="98" t="s">
        <v>796</v>
      </c>
      <c r="B861" s="87">
        <v>310</v>
      </c>
      <c r="C861" s="98" t="s">
        <v>807</v>
      </c>
      <c r="D861" s="93">
        <v>45261</v>
      </c>
      <c r="E861" s="99">
        <v>62961.51</v>
      </c>
      <c r="F861" s="100"/>
      <c r="G861" s="101">
        <v>15</v>
      </c>
      <c r="H861" s="102">
        <v>1</v>
      </c>
      <c r="I861" s="99">
        <v>4197.4340000000002</v>
      </c>
      <c r="J861" s="99">
        <v>0</v>
      </c>
      <c r="K861" s="99">
        <v>349.78616666666494</v>
      </c>
      <c r="L861" s="103">
        <v>62611.723833333337</v>
      </c>
    </row>
    <row r="862" spans="1:12" x14ac:dyDescent="0.45">
      <c r="A862" s="98" t="s">
        <v>796</v>
      </c>
      <c r="B862" s="87">
        <v>310</v>
      </c>
      <c r="C862" s="98" t="s">
        <v>808</v>
      </c>
      <c r="D862" s="93">
        <v>45234</v>
      </c>
      <c r="E862" s="99">
        <v>50210.28</v>
      </c>
      <c r="F862" s="100"/>
      <c r="G862" s="101">
        <v>15</v>
      </c>
      <c r="H862" s="102">
        <v>1</v>
      </c>
      <c r="I862" s="99">
        <v>3347.3519999999999</v>
      </c>
      <c r="J862" s="99">
        <v>0</v>
      </c>
      <c r="K862" s="99">
        <v>557.8920000000071</v>
      </c>
      <c r="L862" s="103">
        <v>49652.387999999992</v>
      </c>
    </row>
    <row r="863" spans="1:12" x14ac:dyDescent="0.45">
      <c r="A863" s="98" t="s">
        <v>796</v>
      </c>
      <c r="B863" s="87">
        <v>330</v>
      </c>
      <c r="C863" s="98" t="s">
        <v>809</v>
      </c>
      <c r="D863" s="93">
        <v>44958</v>
      </c>
      <c r="E863" s="99">
        <v>203.26</v>
      </c>
      <c r="F863" s="100"/>
      <c r="G863" s="101">
        <v>50</v>
      </c>
      <c r="H863" s="102">
        <v>2</v>
      </c>
      <c r="I863" s="99">
        <v>4.0651999999999999</v>
      </c>
      <c r="J863" s="99">
        <v>0</v>
      </c>
      <c r="K863" s="99">
        <v>3.7264333333332331</v>
      </c>
      <c r="L863" s="103">
        <v>199.53356666666676</v>
      </c>
    </row>
    <row r="864" spans="1:12" x14ac:dyDescent="0.45">
      <c r="A864" s="98" t="s">
        <v>796</v>
      </c>
      <c r="B864" s="87">
        <v>330</v>
      </c>
      <c r="C864" s="98" t="s">
        <v>810</v>
      </c>
      <c r="D864" s="93">
        <v>44925</v>
      </c>
      <c r="E864" s="99">
        <v>3523.71</v>
      </c>
      <c r="F864" s="100"/>
      <c r="G864" s="101">
        <v>50</v>
      </c>
      <c r="H864" s="102">
        <v>2</v>
      </c>
      <c r="I864" s="99">
        <v>70.474199999999996</v>
      </c>
      <c r="J864" s="99">
        <v>0</v>
      </c>
      <c r="K864" s="99">
        <v>76.347050000002582</v>
      </c>
      <c r="L864" s="103">
        <v>3447.3629499999975</v>
      </c>
    </row>
    <row r="865" spans="1:12" x14ac:dyDescent="0.45">
      <c r="A865" s="98" t="s">
        <v>796</v>
      </c>
      <c r="B865" s="87">
        <v>331</v>
      </c>
      <c r="C865" s="98" t="s">
        <v>811</v>
      </c>
      <c r="D865" s="93">
        <v>45230</v>
      </c>
      <c r="E865" s="99">
        <v>4852.05</v>
      </c>
      <c r="F865" s="100"/>
      <c r="G865" s="101">
        <v>50</v>
      </c>
      <c r="H865" s="102">
        <v>1</v>
      </c>
      <c r="I865" s="99">
        <v>97.040999999999997</v>
      </c>
      <c r="J865" s="99">
        <v>0</v>
      </c>
      <c r="K865" s="99">
        <v>24.260250000001179</v>
      </c>
      <c r="L865" s="103">
        <v>4827.789749999999</v>
      </c>
    </row>
    <row r="866" spans="1:12" x14ac:dyDescent="0.45">
      <c r="A866" s="98" t="s">
        <v>796</v>
      </c>
      <c r="B866" s="87">
        <v>333</v>
      </c>
      <c r="C866" s="98" t="s">
        <v>812</v>
      </c>
      <c r="D866" s="93">
        <v>45037</v>
      </c>
      <c r="E866" s="99">
        <v>1582.5</v>
      </c>
      <c r="F866" s="100"/>
      <c r="G866" s="101">
        <v>50</v>
      </c>
      <c r="H866" s="102">
        <v>2</v>
      </c>
      <c r="I866" s="99">
        <v>31.65</v>
      </c>
      <c r="J866" s="99">
        <v>0</v>
      </c>
      <c r="K866" s="99">
        <v>23.737500000000409</v>
      </c>
      <c r="L866" s="103">
        <v>1558.7624999999996</v>
      </c>
    </row>
    <row r="867" spans="1:12" x14ac:dyDescent="0.45">
      <c r="A867" s="98" t="s">
        <v>796</v>
      </c>
      <c r="B867" s="87">
        <v>333</v>
      </c>
      <c r="C867" s="98" t="s">
        <v>813</v>
      </c>
      <c r="D867" s="93">
        <v>44931</v>
      </c>
      <c r="E867" s="99">
        <v>11968</v>
      </c>
      <c r="F867" s="100"/>
      <c r="G867" s="101">
        <v>50</v>
      </c>
      <c r="H867" s="102">
        <v>2</v>
      </c>
      <c r="I867" s="99">
        <v>239.36</v>
      </c>
      <c r="J867" s="99">
        <v>0</v>
      </c>
      <c r="K867" s="99">
        <v>239.36000000000058</v>
      </c>
      <c r="L867" s="103">
        <v>11728.64</v>
      </c>
    </row>
    <row r="868" spans="1:12" x14ac:dyDescent="0.45">
      <c r="A868" s="98" t="s">
        <v>796</v>
      </c>
      <c r="B868" s="87">
        <v>334</v>
      </c>
      <c r="C868" s="98" t="s">
        <v>141</v>
      </c>
      <c r="D868" s="93">
        <v>44958</v>
      </c>
      <c r="E868" s="99">
        <v>3846.91</v>
      </c>
      <c r="F868" s="100"/>
      <c r="G868" s="101">
        <v>25</v>
      </c>
      <c r="H868" s="102">
        <v>2</v>
      </c>
      <c r="I868" s="99">
        <v>153.87639999999999</v>
      </c>
      <c r="J868" s="99">
        <v>0</v>
      </c>
      <c r="K868" s="99">
        <v>141.05336666666426</v>
      </c>
      <c r="L868" s="103">
        <v>3705.8566333333356</v>
      </c>
    </row>
    <row r="869" spans="1:12" x14ac:dyDescent="0.45">
      <c r="A869" s="98" t="s">
        <v>796</v>
      </c>
      <c r="B869" s="87">
        <v>334</v>
      </c>
      <c r="C869" s="98" t="s">
        <v>141</v>
      </c>
      <c r="D869" s="93">
        <v>45048</v>
      </c>
      <c r="E869" s="99">
        <v>2641.7</v>
      </c>
      <c r="F869" s="100"/>
      <c r="G869" s="101">
        <v>25</v>
      </c>
      <c r="H869" s="102">
        <v>2</v>
      </c>
      <c r="I869" s="99">
        <v>105.66799999999999</v>
      </c>
      <c r="J869" s="99">
        <v>0</v>
      </c>
      <c r="K869" s="99">
        <v>70.44533333333311</v>
      </c>
      <c r="L869" s="103">
        <v>2571.2546666666667</v>
      </c>
    </row>
    <row r="870" spans="1:12" x14ac:dyDescent="0.45">
      <c r="A870" s="98" t="s">
        <v>796</v>
      </c>
      <c r="B870" s="87">
        <v>346</v>
      </c>
      <c r="C870" s="98" t="s">
        <v>814</v>
      </c>
      <c r="D870" s="93">
        <v>45037</v>
      </c>
      <c r="E870" s="99">
        <v>14132.85</v>
      </c>
      <c r="F870" s="100"/>
      <c r="G870" s="101">
        <v>10</v>
      </c>
      <c r="H870" s="102">
        <v>2</v>
      </c>
      <c r="I870" s="99">
        <v>1413.2850000000001</v>
      </c>
      <c r="J870" s="99">
        <v>0</v>
      </c>
      <c r="K870" s="99">
        <v>1059.9637500000026</v>
      </c>
      <c r="L870" s="103">
        <v>13072.886249999998</v>
      </c>
    </row>
    <row r="871" spans="1:12" x14ac:dyDescent="0.45">
      <c r="A871" s="98" t="s">
        <v>796</v>
      </c>
      <c r="B871" s="87">
        <v>346</v>
      </c>
      <c r="C871" s="98" t="s">
        <v>815</v>
      </c>
      <c r="D871" s="93">
        <v>44958</v>
      </c>
      <c r="E871" s="99">
        <v>5812.58</v>
      </c>
      <c r="F871" s="100"/>
      <c r="G871" s="101">
        <v>10</v>
      </c>
      <c r="H871" s="102">
        <v>2</v>
      </c>
      <c r="I871" s="99">
        <v>581.25800000000004</v>
      </c>
      <c r="J871" s="99">
        <v>0</v>
      </c>
      <c r="K871" s="99">
        <v>532.81983333333483</v>
      </c>
      <c r="L871" s="103">
        <v>5279.7601666666651</v>
      </c>
    </row>
    <row r="872" spans="1:12" x14ac:dyDescent="0.45">
      <c r="A872" s="98" t="s">
        <v>796</v>
      </c>
      <c r="B872" s="87">
        <v>348</v>
      </c>
      <c r="C872" s="98" t="s">
        <v>816</v>
      </c>
      <c r="D872" s="93">
        <v>45185</v>
      </c>
      <c r="E872" s="99">
        <v>1420</v>
      </c>
      <c r="F872" s="100"/>
      <c r="G872" s="101">
        <v>10</v>
      </c>
      <c r="H872" s="102">
        <v>2</v>
      </c>
      <c r="I872" s="99">
        <v>142</v>
      </c>
      <c r="J872" s="99">
        <v>0</v>
      </c>
      <c r="K872" s="99">
        <v>47.33333333333303</v>
      </c>
      <c r="L872" s="103">
        <v>1372.666666666667</v>
      </c>
    </row>
    <row r="873" spans="1:12" x14ac:dyDescent="0.45">
      <c r="A873" s="98" t="s">
        <v>796</v>
      </c>
      <c r="B873" s="87">
        <v>348</v>
      </c>
      <c r="C873" s="98" t="s">
        <v>147</v>
      </c>
      <c r="D873" s="93">
        <v>44805</v>
      </c>
      <c r="E873" s="99">
        <v>7050</v>
      </c>
      <c r="F873" s="100"/>
      <c r="G873" s="101">
        <v>10</v>
      </c>
      <c r="H873" s="102">
        <v>3</v>
      </c>
      <c r="I873" s="99">
        <v>705</v>
      </c>
      <c r="J873" s="99">
        <v>0</v>
      </c>
      <c r="K873" s="99">
        <v>940</v>
      </c>
      <c r="L873" s="103">
        <v>6110</v>
      </c>
    </row>
    <row r="874" spans="1:12" x14ac:dyDescent="0.45">
      <c r="A874" s="98" t="s">
        <v>796</v>
      </c>
      <c r="B874" s="87">
        <v>334</v>
      </c>
      <c r="C874" s="98" t="s">
        <v>817</v>
      </c>
      <c r="D874" s="93">
        <v>44838</v>
      </c>
      <c r="E874" s="99">
        <v>3723.1</v>
      </c>
      <c r="F874" s="100"/>
      <c r="G874" s="101">
        <v>25</v>
      </c>
      <c r="H874" s="102">
        <v>2</v>
      </c>
      <c r="I874" s="99">
        <v>148.92400000000001</v>
      </c>
      <c r="J874" s="99">
        <v>0</v>
      </c>
      <c r="K874" s="99">
        <v>186.15499999999884</v>
      </c>
      <c r="L874" s="103">
        <v>3536.9450000000011</v>
      </c>
    </row>
    <row r="875" spans="1:12" x14ac:dyDescent="0.45">
      <c r="A875" s="98" t="s">
        <v>796</v>
      </c>
      <c r="B875" s="87">
        <v>330</v>
      </c>
      <c r="C875" s="98" t="s">
        <v>818</v>
      </c>
      <c r="D875" s="93">
        <v>44926</v>
      </c>
      <c r="E875" s="99">
        <v>15000</v>
      </c>
      <c r="F875" s="100"/>
      <c r="G875" s="101">
        <v>50</v>
      </c>
      <c r="H875" s="102">
        <v>2</v>
      </c>
      <c r="I875" s="99">
        <v>300</v>
      </c>
      <c r="J875" s="99">
        <v>0</v>
      </c>
      <c r="K875" s="99">
        <v>325</v>
      </c>
      <c r="L875" s="103">
        <v>14675</v>
      </c>
    </row>
    <row r="876" spans="1:12" x14ac:dyDescent="0.45">
      <c r="A876" s="98" t="s">
        <v>796</v>
      </c>
      <c r="B876" s="87">
        <v>311</v>
      </c>
      <c r="C876" s="98" t="s">
        <v>819</v>
      </c>
      <c r="D876" s="93">
        <v>44926</v>
      </c>
      <c r="E876" s="99">
        <v>439.04</v>
      </c>
      <c r="F876" s="100"/>
      <c r="G876" s="101">
        <v>25</v>
      </c>
      <c r="H876" s="102">
        <v>2</v>
      </c>
      <c r="I876" s="99">
        <v>17.561600000000002</v>
      </c>
      <c r="J876" s="99">
        <v>0</v>
      </c>
      <c r="K876" s="99">
        <v>19.025066666666419</v>
      </c>
      <c r="L876" s="103">
        <v>420.0149333333336</v>
      </c>
    </row>
    <row r="877" spans="1:12" x14ac:dyDescent="0.45">
      <c r="A877" s="98" t="s">
        <v>796</v>
      </c>
      <c r="B877" s="87">
        <v>343</v>
      </c>
      <c r="C877" s="98" t="s">
        <v>820</v>
      </c>
      <c r="D877" s="93">
        <v>44953</v>
      </c>
      <c r="E877" s="99">
        <v>17959.96</v>
      </c>
      <c r="F877" s="100"/>
      <c r="G877" s="101">
        <v>20</v>
      </c>
      <c r="H877" s="102">
        <v>2</v>
      </c>
      <c r="I877" s="99">
        <v>897.99799999999993</v>
      </c>
      <c r="J877" s="99">
        <v>0</v>
      </c>
      <c r="K877" s="99">
        <v>897.99800000000687</v>
      </c>
      <c r="L877" s="103">
        <v>17061.961999999992</v>
      </c>
    </row>
    <row r="878" spans="1:12" x14ac:dyDescent="0.45">
      <c r="A878" s="98" t="s">
        <v>796</v>
      </c>
      <c r="B878" s="87">
        <v>333</v>
      </c>
      <c r="C878" s="98" t="s">
        <v>821</v>
      </c>
      <c r="D878" s="93">
        <v>45078</v>
      </c>
      <c r="E878" s="99">
        <v>258.7</v>
      </c>
      <c r="F878" s="100"/>
      <c r="G878" s="101">
        <v>50</v>
      </c>
      <c r="H878" s="102">
        <v>2</v>
      </c>
      <c r="I878" s="99">
        <v>5.1739999999999995</v>
      </c>
      <c r="J878" s="99">
        <v>0</v>
      </c>
      <c r="K878" s="99">
        <v>3.0181666666667581</v>
      </c>
      <c r="L878" s="103">
        <v>255.68183333333323</v>
      </c>
    </row>
    <row r="879" spans="1:12" x14ac:dyDescent="0.45">
      <c r="A879" s="98" t="s">
        <v>796</v>
      </c>
      <c r="B879" s="87">
        <v>333</v>
      </c>
      <c r="C879" s="98" t="s">
        <v>822</v>
      </c>
      <c r="D879" s="93">
        <v>45138</v>
      </c>
      <c r="E879" s="99">
        <v>3930.42</v>
      </c>
      <c r="F879" s="100"/>
      <c r="G879" s="101">
        <v>50</v>
      </c>
      <c r="H879" s="102">
        <v>2</v>
      </c>
      <c r="I879" s="99">
        <v>78.608400000000003</v>
      </c>
      <c r="J879" s="99">
        <v>0</v>
      </c>
      <c r="K879" s="99">
        <v>39.304199999998673</v>
      </c>
      <c r="L879" s="103">
        <v>3891.1158000000014</v>
      </c>
    </row>
    <row r="880" spans="1:12" x14ac:dyDescent="0.45">
      <c r="A880" s="98" t="s">
        <v>796</v>
      </c>
      <c r="B880" s="87">
        <v>334</v>
      </c>
      <c r="C880" s="98" t="s">
        <v>823</v>
      </c>
      <c r="D880" s="93">
        <v>45199</v>
      </c>
      <c r="E880" s="99">
        <v>935.38</v>
      </c>
      <c r="F880" s="100"/>
      <c r="G880" s="101">
        <v>25</v>
      </c>
      <c r="H880" s="102">
        <v>2</v>
      </c>
      <c r="I880" s="99">
        <v>37.415199999999999</v>
      </c>
      <c r="J880" s="99">
        <v>0</v>
      </c>
      <c r="K880" s="99">
        <v>12.471733333333304</v>
      </c>
      <c r="L880" s="103">
        <v>922.90826666666669</v>
      </c>
    </row>
    <row r="881" spans="1:12" x14ac:dyDescent="0.45">
      <c r="A881" s="98" t="s">
        <v>796</v>
      </c>
      <c r="B881" s="87">
        <v>334</v>
      </c>
      <c r="C881" s="98" t="s">
        <v>824</v>
      </c>
      <c r="D881" s="93">
        <v>45230</v>
      </c>
      <c r="E881" s="99">
        <v>388.04</v>
      </c>
      <c r="F881" s="100"/>
      <c r="G881" s="101">
        <v>25</v>
      </c>
      <c r="H881" s="102">
        <v>1</v>
      </c>
      <c r="I881" s="99">
        <v>15.521600000000001</v>
      </c>
      <c r="J881" s="99">
        <v>0</v>
      </c>
      <c r="K881" s="99">
        <v>3.8804000000000656</v>
      </c>
      <c r="L881" s="103">
        <v>384.15959999999995</v>
      </c>
    </row>
    <row r="882" spans="1:12" x14ac:dyDescent="0.45">
      <c r="A882" s="98" t="s">
        <v>796</v>
      </c>
      <c r="B882" s="87">
        <v>334</v>
      </c>
      <c r="C882" s="98" t="s">
        <v>825</v>
      </c>
      <c r="D882" s="93">
        <v>45230</v>
      </c>
      <c r="E882" s="99">
        <v>587.37</v>
      </c>
      <c r="F882" s="100"/>
      <c r="G882" s="101">
        <v>25</v>
      </c>
      <c r="H882" s="102">
        <v>1</v>
      </c>
      <c r="I882" s="99">
        <v>23.494800000000001</v>
      </c>
      <c r="J882" s="99">
        <v>0</v>
      </c>
      <c r="K882" s="99">
        <v>5.8736999999999853</v>
      </c>
      <c r="L882" s="103">
        <v>581.49630000000002</v>
      </c>
    </row>
    <row r="883" spans="1:12" x14ac:dyDescent="0.45">
      <c r="A883" s="98" t="s">
        <v>796</v>
      </c>
      <c r="B883" s="87">
        <v>311</v>
      </c>
      <c r="C883" s="98" t="s">
        <v>826</v>
      </c>
      <c r="D883" s="93">
        <v>45199</v>
      </c>
      <c r="E883" s="99">
        <v>3519.78</v>
      </c>
      <c r="F883" s="100"/>
      <c r="G883" s="101">
        <v>25</v>
      </c>
      <c r="H883" s="102">
        <v>2</v>
      </c>
      <c r="I883" s="99">
        <v>140.7912</v>
      </c>
      <c r="J883" s="99">
        <v>0</v>
      </c>
      <c r="K883" s="99">
        <v>46.930399999999281</v>
      </c>
      <c r="L883" s="103">
        <v>3472.8496000000009</v>
      </c>
    </row>
    <row r="884" spans="1:12" x14ac:dyDescent="0.45">
      <c r="A884" s="98" t="s">
        <v>796</v>
      </c>
      <c r="B884" s="87">
        <v>333</v>
      </c>
      <c r="C884" s="98" t="s">
        <v>827</v>
      </c>
      <c r="D884" s="93">
        <v>45282</v>
      </c>
      <c r="E884" s="99">
        <v>4666.2700000000004</v>
      </c>
      <c r="F884" s="100"/>
      <c r="G884" s="101">
        <v>30</v>
      </c>
      <c r="H884" s="102">
        <v>1</v>
      </c>
      <c r="I884" s="99">
        <v>0</v>
      </c>
      <c r="J884" s="99">
        <v>0</v>
      </c>
      <c r="K884" s="99">
        <v>4679.2318611111114</v>
      </c>
      <c r="L884" s="103">
        <v>-12.96186111111092</v>
      </c>
    </row>
    <row r="885" spans="1:12" x14ac:dyDescent="0.45">
      <c r="A885" s="98" t="s">
        <v>796</v>
      </c>
      <c r="B885" s="87">
        <v>334</v>
      </c>
      <c r="C885" s="98" t="s">
        <v>828</v>
      </c>
      <c r="D885" s="93">
        <v>45291</v>
      </c>
      <c r="E885" s="99">
        <v>314.89999999999998</v>
      </c>
      <c r="F885" s="100"/>
      <c r="G885" s="101">
        <v>25</v>
      </c>
      <c r="H885" s="102">
        <v>1</v>
      </c>
      <c r="I885" s="99">
        <v>0</v>
      </c>
      <c r="J885" s="99">
        <v>0</v>
      </c>
      <c r="K885" s="99">
        <v>315.94966666666664</v>
      </c>
      <c r="L885" s="103">
        <v>-1.049666666666667</v>
      </c>
    </row>
    <row r="886" spans="1:12" x14ac:dyDescent="0.45">
      <c r="A886" s="98" t="s">
        <v>829</v>
      </c>
      <c r="B886" s="87">
        <v>333</v>
      </c>
      <c r="C886" s="98" t="s">
        <v>250</v>
      </c>
      <c r="D886" s="93">
        <v>37073</v>
      </c>
      <c r="E886" s="99">
        <v>20000</v>
      </c>
      <c r="F886" s="100"/>
      <c r="G886" s="101">
        <v>30</v>
      </c>
      <c r="H886" s="102">
        <v>24</v>
      </c>
      <c r="I886" s="99">
        <v>666.66666666666663</v>
      </c>
      <c r="J886" s="99">
        <v>0</v>
      </c>
      <c r="K886" s="99">
        <v>14948.61295232484</v>
      </c>
      <c r="L886" s="103">
        <v>5051.3870476751599</v>
      </c>
    </row>
    <row r="887" spans="1:12" x14ac:dyDescent="0.45">
      <c r="A887" s="98" t="s">
        <v>829</v>
      </c>
      <c r="B887" s="87">
        <v>304</v>
      </c>
      <c r="C887" s="98" t="s">
        <v>830</v>
      </c>
      <c r="D887" s="93">
        <v>37074</v>
      </c>
      <c r="E887" s="99">
        <v>15000</v>
      </c>
      <c r="F887" s="100"/>
      <c r="G887" s="101">
        <v>35</v>
      </c>
      <c r="H887" s="102">
        <v>24</v>
      </c>
      <c r="I887" s="99">
        <v>428.57142857142856</v>
      </c>
      <c r="J887" s="99">
        <v>0</v>
      </c>
      <c r="K887" s="99">
        <v>9609.8226122088199</v>
      </c>
      <c r="L887" s="103">
        <v>5390.1773877911801</v>
      </c>
    </row>
    <row r="888" spans="1:12" x14ac:dyDescent="0.45">
      <c r="A888" s="98" t="s">
        <v>829</v>
      </c>
      <c r="B888" s="87">
        <v>304</v>
      </c>
      <c r="C888" s="98" t="s">
        <v>831</v>
      </c>
      <c r="D888" s="93">
        <v>37075</v>
      </c>
      <c r="E888" s="99">
        <v>7350</v>
      </c>
      <c r="F888" s="100"/>
      <c r="G888" s="101">
        <v>35</v>
      </c>
      <c r="H888" s="102">
        <v>24</v>
      </c>
      <c r="I888" s="99">
        <v>210</v>
      </c>
      <c r="J888" s="99">
        <v>0</v>
      </c>
      <c r="K888" s="99">
        <v>4708.8130799823239</v>
      </c>
      <c r="L888" s="103">
        <v>2641.1869200176761</v>
      </c>
    </row>
    <row r="889" spans="1:12" x14ac:dyDescent="0.45">
      <c r="A889" s="98" t="s">
        <v>829</v>
      </c>
      <c r="B889" s="87">
        <v>303</v>
      </c>
      <c r="C889" s="98" t="s">
        <v>832</v>
      </c>
      <c r="D889" s="93">
        <v>37076</v>
      </c>
      <c r="E889" s="99">
        <v>30000</v>
      </c>
      <c r="F889" s="100"/>
      <c r="G889" s="101">
        <v>0</v>
      </c>
      <c r="H889" s="102">
        <v>0</v>
      </c>
      <c r="I889" s="99">
        <v>0</v>
      </c>
      <c r="J889" s="99">
        <v>0</v>
      </c>
      <c r="K889" s="99">
        <v>0</v>
      </c>
      <c r="L889" s="103">
        <v>30000</v>
      </c>
    </row>
    <row r="890" spans="1:12" x14ac:dyDescent="0.45">
      <c r="A890" s="98" t="s">
        <v>829</v>
      </c>
      <c r="B890" s="87">
        <v>311</v>
      </c>
      <c r="C890" s="98" t="s">
        <v>833</v>
      </c>
      <c r="D890" s="93">
        <v>37288</v>
      </c>
      <c r="E890" s="99">
        <v>578</v>
      </c>
      <c r="F890" s="100"/>
      <c r="G890" s="101">
        <v>20</v>
      </c>
      <c r="H890" s="102">
        <v>20</v>
      </c>
      <c r="I890" s="99">
        <v>0</v>
      </c>
      <c r="J890" s="99">
        <v>0</v>
      </c>
      <c r="K890" s="99">
        <v>578</v>
      </c>
      <c r="L890" s="103">
        <v>0</v>
      </c>
    </row>
    <row r="891" spans="1:12" x14ac:dyDescent="0.45">
      <c r="A891" s="98" t="s">
        <v>829</v>
      </c>
      <c r="B891" s="87">
        <v>311</v>
      </c>
      <c r="C891" s="98" t="s">
        <v>834</v>
      </c>
      <c r="D891" s="93">
        <v>37500</v>
      </c>
      <c r="E891" s="99">
        <v>1972</v>
      </c>
      <c r="F891" s="100"/>
      <c r="G891" s="101">
        <v>20</v>
      </c>
      <c r="H891" s="102">
        <v>20</v>
      </c>
      <c r="I891" s="99">
        <v>0</v>
      </c>
      <c r="J891" s="99">
        <v>0</v>
      </c>
      <c r="K891" s="99">
        <v>1972</v>
      </c>
      <c r="L891" s="103">
        <v>0</v>
      </c>
    </row>
    <row r="892" spans="1:12" x14ac:dyDescent="0.45">
      <c r="A892" s="98" t="s">
        <v>829</v>
      </c>
      <c r="B892" s="87">
        <v>311</v>
      </c>
      <c r="C892" s="98" t="s">
        <v>835</v>
      </c>
      <c r="D892" s="93">
        <v>37500</v>
      </c>
      <c r="E892" s="99">
        <v>10000</v>
      </c>
      <c r="F892" s="100"/>
      <c r="G892" s="101">
        <v>20</v>
      </c>
      <c r="H892" s="102">
        <v>20</v>
      </c>
      <c r="I892" s="99">
        <v>0</v>
      </c>
      <c r="J892" s="99">
        <v>0</v>
      </c>
      <c r="K892" s="99">
        <v>10000</v>
      </c>
      <c r="L892" s="103">
        <v>0</v>
      </c>
    </row>
    <row r="893" spans="1:12" x14ac:dyDescent="0.45">
      <c r="A893" s="98" t="s">
        <v>829</v>
      </c>
      <c r="B893" s="87">
        <v>311</v>
      </c>
      <c r="C893" s="98" t="s">
        <v>836</v>
      </c>
      <c r="D893" s="93">
        <v>37316</v>
      </c>
      <c r="E893" s="99">
        <v>10000</v>
      </c>
      <c r="F893" s="100"/>
      <c r="G893" s="101">
        <v>20</v>
      </c>
      <c r="H893" s="102">
        <v>20</v>
      </c>
      <c r="I893" s="99">
        <v>0</v>
      </c>
      <c r="J893" s="99">
        <v>0</v>
      </c>
      <c r="K893" s="99">
        <v>10000</v>
      </c>
      <c r="L893" s="103">
        <v>0</v>
      </c>
    </row>
    <row r="894" spans="1:12" x14ac:dyDescent="0.45">
      <c r="A894" s="98" t="s">
        <v>829</v>
      </c>
      <c r="B894" s="87">
        <v>311</v>
      </c>
      <c r="C894" s="98" t="s">
        <v>837</v>
      </c>
      <c r="D894" s="93">
        <v>37956</v>
      </c>
      <c r="E894" s="99">
        <v>20000</v>
      </c>
      <c r="F894" s="100"/>
      <c r="G894" s="101">
        <v>20</v>
      </c>
      <c r="H894" s="102">
        <v>20</v>
      </c>
      <c r="I894" s="99">
        <v>0</v>
      </c>
      <c r="J894" s="99">
        <v>0</v>
      </c>
      <c r="K894" s="99">
        <v>20000</v>
      </c>
      <c r="L894" s="103">
        <v>0</v>
      </c>
    </row>
    <row r="895" spans="1:12" x14ac:dyDescent="0.45">
      <c r="A895" s="98" t="s">
        <v>829</v>
      </c>
      <c r="B895" s="87">
        <v>311</v>
      </c>
      <c r="C895" s="98" t="s">
        <v>836</v>
      </c>
      <c r="D895" s="93">
        <v>38139</v>
      </c>
      <c r="E895" s="99">
        <v>5000</v>
      </c>
      <c r="F895" s="100"/>
      <c r="G895" s="101">
        <v>20</v>
      </c>
      <c r="H895" s="102">
        <v>20</v>
      </c>
      <c r="I895" s="99">
        <v>0</v>
      </c>
      <c r="J895" s="99">
        <v>0</v>
      </c>
      <c r="K895" s="99">
        <v>4876.5631904551474</v>
      </c>
      <c r="L895" s="103">
        <v>123.43680954485262</v>
      </c>
    </row>
    <row r="896" spans="1:12" x14ac:dyDescent="0.45">
      <c r="A896" s="98" t="s">
        <v>829</v>
      </c>
      <c r="B896" s="87">
        <v>311</v>
      </c>
      <c r="C896" s="98" t="s">
        <v>241</v>
      </c>
      <c r="D896" s="93">
        <v>38565</v>
      </c>
      <c r="E896" s="99">
        <v>6273</v>
      </c>
      <c r="F896" s="100"/>
      <c r="G896" s="101">
        <v>20</v>
      </c>
      <c r="H896" s="102">
        <v>20</v>
      </c>
      <c r="I896" s="99">
        <v>313.64999999999998</v>
      </c>
      <c r="J896" s="99">
        <v>0</v>
      </c>
      <c r="K896" s="99">
        <v>5752.2111787450285</v>
      </c>
      <c r="L896" s="103">
        <v>520.78882125497148</v>
      </c>
    </row>
    <row r="897" spans="1:12" x14ac:dyDescent="0.45">
      <c r="A897" s="98" t="s">
        <v>829</v>
      </c>
      <c r="B897" s="87">
        <v>311</v>
      </c>
      <c r="C897" s="98" t="s">
        <v>836</v>
      </c>
      <c r="D897" s="93">
        <v>38565</v>
      </c>
      <c r="E897" s="99">
        <v>5500</v>
      </c>
      <c r="F897" s="100"/>
      <c r="G897" s="101">
        <v>20</v>
      </c>
      <c r="H897" s="102">
        <v>20</v>
      </c>
      <c r="I897" s="99">
        <v>275</v>
      </c>
      <c r="J897" s="99">
        <v>0</v>
      </c>
      <c r="K897" s="99">
        <v>5043.3861761673288</v>
      </c>
      <c r="L897" s="103">
        <v>456.61382383267119</v>
      </c>
    </row>
    <row r="898" spans="1:12" x14ac:dyDescent="0.45">
      <c r="A898" s="98" t="s">
        <v>829</v>
      </c>
      <c r="B898" s="87">
        <v>311</v>
      </c>
      <c r="C898" s="98" t="s">
        <v>281</v>
      </c>
      <c r="D898" s="93">
        <v>38565</v>
      </c>
      <c r="E898" s="99">
        <v>4500</v>
      </c>
      <c r="F898" s="100"/>
      <c r="G898" s="101">
        <v>10</v>
      </c>
      <c r="H898" s="102">
        <v>10</v>
      </c>
      <c r="I898" s="99">
        <v>0</v>
      </c>
      <c r="J898" s="99">
        <v>0</v>
      </c>
      <c r="K898" s="99">
        <v>4500</v>
      </c>
      <c r="L898" s="103">
        <v>0</v>
      </c>
    </row>
    <row r="899" spans="1:12" x14ac:dyDescent="0.45">
      <c r="A899" s="98" t="s">
        <v>829</v>
      </c>
      <c r="B899" s="87">
        <v>311</v>
      </c>
      <c r="C899" s="98" t="s">
        <v>838</v>
      </c>
      <c r="D899" s="93">
        <v>38565</v>
      </c>
      <c r="E899" s="99">
        <v>10000</v>
      </c>
      <c r="F899" s="100"/>
      <c r="G899" s="101">
        <v>20</v>
      </c>
      <c r="H899" s="102">
        <v>20</v>
      </c>
      <c r="I899" s="99">
        <v>500</v>
      </c>
      <c r="J899" s="99">
        <v>0</v>
      </c>
      <c r="K899" s="99">
        <v>9169.7930475769626</v>
      </c>
      <c r="L899" s="103">
        <v>830.20695242303736</v>
      </c>
    </row>
    <row r="900" spans="1:12" x14ac:dyDescent="0.45">
      <c r="A900" s="98" t="s">
        <v>829</v>
      </c>
      <c r="B900" s="87">
        <v>311</v>
      </c>
      <c r="C900" s="98" t="s">
        <v>839</v>
      </c>
      <c r="D900" s="93">
        <v>38749</v>
      </c>
      <c r="E900" s="99">
        <v>15000</v>
      </c>
      <c r="F900" s="100"/>
      <c r="G900" s="101">
        <v>10</v>
      </c>
      <c r="H900" s="102">
        <v>10</v>
      </c>
      <c r="I900" s="99">
        <v>0</v>
      </c>
      <c r="J900" s="99">
        <v>0</v>
      </c>
      <c r="K900" s="99">
        <v>15000</v>
      </c>
      <c r="L900" s="103">
        <v>0</v>
      </c>
    </row>
    <row r="901" spans="1:12" x14ac:dyDescent="0.45">
      <c r="A901" s="98" t="s">
        <v>829</v>
      </c>
      <c r="B901" s="87">
        <v>342</v>
      </c>
      <c r="C901" s="98" t="s">
        <v>840</v>
      </c>
      <c r="D901" s="93">
        <v>38808</v>
      </c>
      <c r="E901" s="99">
        <v>2658</v>
      </c>
      <c r="F901" s="100"/>
      <c r="G901" s="101">
        <v>10</v>
      </c>
      <c r="H901" s="102">
        <v>10</v>
      </c>
      <c r="I901" s="99">
        <v>0</v>
      </c>
      <c r="J901" s="99">
        <v>0</v>
      </c>
      <c r="K901" s="99">
        <v>2658</v>
      </c>
      <c r="L901" s="103">
        <v>0</v>
      </c>
    </row>
    <row r="902" spans="1:12" x14ac:dyDescent="0.45">
      <c r="A902" s="98" t="s">
        <v>829</v>
      </c>
      <c r="B902" s="87">
        <v>311</v>
      </c>
      <c r="C902" s="98" t="s">
        <v>841</v>
      </c>
      <c r="D902" s="93">
        <v>39114</v>
      </c>
      <c r="E902" s="99">
        <v>3500</v>
      </c>
      <c r="F902" s="100"/>
      <c r="G902" s="101">
        <v>10</v>
      </c>
      <c r="H902" s="102">
        <v>10</v>
      </c>
      <c r="I902" s="99">
        <v>0</v>
      </c>
      <c r="J902" s="99">
        <v>0</v>
      </c>
      <c r="K902" s="99">
        <v>3500</v>
      </c>
      <c r="L902" s="103">
        <v>0</v>
      </c>
    </row>
    <row r="903" spans="1:12" x14ac:dyDescent="0.45">
      <c r="A903" s="98" t="s">
        <v>829</v>
      </c>
      <c r="B903" s="87">
        <v>311</v>
      </c>
      <c r="C903" s="98" t="s">
        <v>842</v>
      </c>
      <c r="D903" s="93">
        <v>39264</v>
      </c>
      <c r="E903" s="99">
        <v>4131</v>
      </c>
      <c r="F903" s="100"/>
      <c r="G903" s="101">
        <v>7</v>
      </c>
      <c r="H903" s="102">
        <v>7</v>
      </c>
      <c r="I903" s="99">
        <v>0</v>
      </c>
      <c r="J903" s="99">
        <v>0</v>
      </c>
      <c r="K903" s="99">
        <v>4131</v>
      </c>
      <c r="L903" s="103">
        <v>0</v>
      </c>
    </row>
    <row r="904" spans="1:12" x14ac:dyDescent="0.45">
      <c r="A904" s="98" t="s">
        <v>829</v>
      </c>
      <c r="B904" s="87">
        <v>304</v>
      </c>
      <c r="C904" s="98" t="s">
        <v>843</v>
      </c>
      <c r="D904" s="93">
        <v>39142</v>
      </c>
      <c r="E904" s="99">
        <v>1000</v>
      </c>
      <c r="F904" s="100"/>
      <c r="G904" s="101">
        <v>7</v>
      </c>
      <c r="H904" s="102">
        <v>7</v>
      </c>
      <c r="I904" s="99">
        <v>0</v>
      </c>
      <c r="J904" s="99">
        <v>0</v>
      </c>
      <c r="K904" s="99">
        <v>1000</v>
      </c>
      <c r="L904" s="103">
        <v>0</v>
      </c>
    </row>
    <row r="905" spans="1:12" x14ac:dyDescent="0.45">
      <c r="A905" s="98" t="s">
        <v>829</v>
      </c>
      <c r="B905" s="87">
        <v>311</v>
      </c>
      <c r="C905" s="98" t="s">
        <v>838</v>
      </c>
      <c r="D905" s="93">
        <v>40148</v>
      </c>
      <c r="E905" s="99">
        <v>553</v>
      </c>
      <c r="F905" s="100"/>
      <c r="G905" s="101">
        <v>20</v>
      </c>
      <c r="H905" s="102">
        <v>15</v>
      </c>
      <c r="I905" s="99">
        <v>27.65</v>
      </c>
      <c r="J905" s="99">
        <v>0</v>
      </c>
      <c r="K905" s="99">
        <v>387.27288886433951</v>
      </c>
      <c r="L905" s="103">
        <v>165.72711113566049</v>
      </c>
    </row>
    <row r="906" spans="1:12" x14ac:dyDescent="0.45">
      <c r="A906" s="98" t="s">
        <v>829</v>
      </c>
      <c r="B906" s="87">
        <v>331</v>
      </c>
      <c r="C906" s="98" t="s">
        <v>844</v>
      </c>
      <c r="D906" s="93">
        <v>40179</v>
      </c>
      <c r="E906" s="99">
        <v>60000</v>
      </c>
      <c r="F906" s="100"/>
      <c r="G906" s="101">
        <v>35</v>
      </c>
      <c r="H906" s="102">
        <v>15</v>
      </c>
      <c r="I906" s="99">
        <v>1714.2857142857142</v>
      </c>
      <c r="J906" s="99">
        <v>0</v>
      </c>
      <c r="K906" s="99">
        <v>23867.861877406765</v>
      </c>
      <c r="L906" s="103">
        <v>36132.138122593235</v>
      </c>
    </row>
    <row r="907" spans="1:12" x14ac:dyDescent="0.45">
      <c r="A907" s="98" t="s">
        <v>829</v>
      </c>
      <c r="B907" s="87">
        <v>311</v>
      </c>
      <c r="C907" s="98" t="s">
        <v>845</v>
      </c>
      <c r="D907" s="93">
        <v>40179</v>
      </c>
      <c r="E907" s="99">
        <v>20000</v>
      </c>
      <c r="F907" s="100"/>
      <c r="G907" s="101">
        <v>35</v>
      </c>
      <c r="H907" s="102">
        <v>15</v>
      </c>
      <c r="I907" s="99">
        <v>571.42857142857144</v>
      </c>
      <c r="J907" s="99">
        <v>0</v>
      </c>
      <c r="K907" s="99">
        <v>7955.9539591355788</v>
      </c>
      <c r="L907" s="103">
        <v>12044.046040864421</v>
      </c>
    </row>
    <row r="908" spans="1:12" x14ac:dyDescent="0.45">
      <c r="A908" s="98" t="s">
        <v>829</v>
      </c>
      <c r="B908" s="87">
        <v>334</v>
      </c>
      <c r="C908" s="98" t="s">
        <v>846</v>
      </c>
      <c r="D908" s="93">
        <v>40179</v>
      </c>
      <c r="E908" s="99">
        <v>934</v>
      </c>
      <c r="F908" s="100"/>
      <c r="G908" s="101">
        <v>7</v>
      </c>
      <c r="H908" s="102">
        <v>7</v>
      </c>
      <c r="I908" s="99">
        <v>0</v>
      </c>
      <c r="J908" s="99">
        <v>0</v>
      </c>
      <c r="K908" s="99">
        <v>934</v>
      </c>
      <c r="L908" s="103">
        <v>0</v>
      </c>
    </row>
    <row r="909" spans="1:12" x14ac:dyDescent="0.45">
      <c r="A909" s="98" t="s">
        <v>829</v>
      </c>
      <c r="B909" s="87">
        <v>311</v>
      </c>
      <c r="C909" s="98" t="s">
        <v>847</v>
      </c>
      <c r="D909" s="93">
        <v>43647</v>
      </c>
      <c r="E909" s="99">
        <v>4104.72</v>
      </c>
      <c r="F909" s="100"/>
      <c r="G909" s="101">
        <v>10</v>
      </c>
      <c r="H909" s="102">
        <v>6</v>
      </c>
      <c r="I909" s="99">
        <v>410.47200000000004</v>
      </c>
      <c r="J909" s="99">
        <v>0</v>
      </c>
      <c r="K909" s="99">
        <v>2225.9565836500233</v>
      </c>
      <c r="L909" s="103">
        <v>1878.763416349977</v>
      </c>
    </row>
    <row r="910" spans="1:12" x14ac:dyDescent="0.45">
      <c r="A910" s="98" t="s">
        <v>829</v>
      </c>
      <c r="B910" s="87">
        <v>334</v>
      </c>
      <c r="C910" s="98" t="s">
        <v>848</v>
      </c>
      <c r="D910" s="93">
        <v>41091</v>
      </c>
      <c r="E910" s="99">
        <v>1299</v>
      </c>
      <c r="F910" s="100"/>
      <c r="G910" s="101">
        <v>20</v>
      </c>
      <c r="H910" s="102">
        <v>13</v>
      </c>
      <c r="I910" s="99">
        <v>64.95</v>
      </c>
      <c r="J910" s="99">
        <v>0</v>
      </c>
      <c r="K910" s="99">
        <v>741.91861688024778</v>
      </c>
      <c r="L910" s="103">
        <v>557.08138311975222</v>
      </c>
    </row>
    <row r="911" spans="1:12" x14ac:dyDescent="0.45">
      <c r="A911" s="98" t="s">
        <v>829</v>
      </c>
      <c r="B911" s="87">
        <v>307</v>
      </c>
      <c r="C911" s="98" t="s">
        <v>849</v>
      </c>
      <c r="D911" s="93">
        <v>27760</v>
      </c>
      <c r="E911" s="99">
        <v>10000</v>
      </c>
      <c r="F911" s="100"/>
      <c r="G911" s="101">
        <v>25</v>
      </c>
      <c r="H911" s="102">
        <v>25</v>
      </c>
      <c r="I911" s="99">
        <v>0</v>
      </c>
      <c r="J911" s="99">
        <v>0</v>
      </c>
      <c r="K911" s="99">
        <v>10000</v>
      </c>
      <c r="L911" s="103">
        <v>0</v>
      </c>
    </row>
    <row r="912" spans="1:12" x14ac:dyDescent="0.45">
      <c r="A912" s="98" t="s">
        <v>829</v>
      </c>
      <c r="B912" s="87">
        <v>311</v>
      </c>
      <c r="C912" s="98" t="s">
        <v>850</v>
      </c>
      <c r="D912" s="93">
        <v>40179</v>
      </c>
      <c r="E912" s="99">
        <v>5000</v>
      </c>
      <c r="F912" s="100"/>
      <c r="G912" s="101">
        <v>10</v>
      </c>
      <c r="H912" s="102">
        <v>10</v>
      </c>
      <c r="I912" s="99">
        <v>0</v>
      </c>
      <c r="J912" s="99">
        <v>0</v>
      </c>
      <c r="K912" s="99">
        <v>5000</v>
      </c>
      <c r="L912" s="103">
        <v>0</v>
      </c>
    </row>
    <row r="913" spans="1:12" x14ac:dyDescent="0.45">
      <c r="A913" s="98" t="s">
        <v>829</v>
      </c>
      <c r="B913" s="87">
        <v>304</v>
      </c>
      <c r="C913" s="98" t="s">
        <v>851</v>
      </c>
      <c r="D913" s="93">
        <v>35431</v>
      </c>
      <c r="E913" s="99">
        <v>5000</v>
      </c>
      <c r="F913" s="100"/>
      <c r="G913" s="101">
        <v>35</v>
      </c>
      <c r="H913" s="102">
        <v>28</v>
      </c>
      <c r="I913" s="99">
        <v>142.85714285714286</v>
      </c>
      <c r="J913" s="99">
        <v>0</v>
      </c>
      <c r="K913" s="99">
        <v>3846.1313469267516</v>
      </c>
      <c r="L913" s="103">
        <v>1153.8686530732484</v>
      </c>
    </row>
    <row r="914" spans="1:12" x14ac:dyDescent="0.45">
      <c r="A914" s="98" t="s">
        <v>829</v>
      </c>
      <c r="B914" s="87">
        <v>330</v>
      </c>
      <c r="C914" s="98" t="s">
        <v>852</v>
      </c>
      <c r="D914" s="93">
        <v>27760</v>
      </c>
      <c r="E914" s="99">
        <v>20000</v>
      </c>
      <c r="F914" s="100"/>
      <c r="G914" s="101">
        <v>25</v>
      </c>
      <c r="H914" s="102">
        <v>25</v>
      </c>
      <c r="I914" s="99">
        <v>0</v>
      </c>
      <c r="J914" s="99">
        <v>0</v>
      </c>
      <c r="K914" s="99">
        <v>20000</v>
      </c>
      <c r="L914" s="103">
        <v>0</v>
      </c>
    </row>
    <row r="915" spans="1:12" x14ac:dyDescent="0.45">
      <c r="A915" s="98" t="s">
        <v>829</v>
      </c>
      <c r="B915" s="87">
        <v>331</v>
      </c>
      <c r="C915" s="98" t="s">
        <v>853</v>
      </c>
      <c r="D915" s="93">
        <v>27760</v>
      </c>
      <c r="E915" s="99">
        <v>5000</v>
      </c>
      <c r="F915" s="100"/>
      <c r="G915" s="101">
        <v>35</v>
      </c>
      <c r="H915" s="102">
        <v>35</v>
      </c>
      <c r="I915" s="99">
        <v>0</v>
      </c>
      <c r="J915" s="99">
        <v>0</v>
      </c>
      <c r="K915" s="99">
        <v>5000</v>
      </c>
      <c r="L915" s="103">
        <v>0</v>
      </c>
    </row>
    <row r="916" spans="1:12" x14ac:dyDescent="0.45">
      <c r="A916" s="98" t="s">
        <v>829</v>
      </c>
      <c r="B916" s="87">
        <v>333</v>
      </c>
      <c r="C916" s="98" t="s">
        <v>854</v>
      </c>
      <c r="D916" s="93">
        <v>35431</v>
      </c>
      <c r="E916" s="99">
        <v>10000</v>
      </c>
      <c r="F916" s="100"/>
      <c r="G916" s="101">
        <v>30</v>
      </c>
      <c r="H916" s="102">
        <v>28</v>
      </c>
      <c r="I916" s="99">
        <v>333.33333333333331</v>
      </c>
      <c r="J916" s="99">
        <v>0</v>
      </c>
      <c r="K916" s="99">
        <v>8974.3064761624191</v>
      </c>
      <c r="L916" s="103">
        <v>1025.6935238375809</v>
      </c>
    </row>
    <row r="917" spans="1:12" x14ac:dyDescent="0.45">
      <c r="A917" s="98" t="s">
        <v>829</v>
      </c>
      <c r="B917" s="87">
        <v>333</v>
      </c>
      <c r="C917" s="98" t="s">
        <v>855</v>
      </c>
      <c r="D917" s="93">
        <v>43647</v>
      </c>
      <c r="E917" s="99">
        <v>8883.9</v>
      </c>
      <c r="F917" s="100"/>
      <c r="G917" s="101">
        <v>30</v>
      </c>
      <c r="H917" s="102">
        <v>6</v>
      </c>
      <c r="I917" s="99">
        <v>296.13</v>
      </c>
      <c r="J917" s="99">
        <v>0</v>
      </c>
      <c r="K917" s="99">
        <v>1605.8891303579285</v>
      </c>
      <c r="L917" s="103">
        <v>7278.0108696420712</v>
      </c>
    </row>
    <row r="918" spans="1:12" x14ac:dyDescent="0.45">
      <c r="A918" s="98" t="s">
        <v>829</v>
      </c>
      <c r="B918" s="87">
        <v>331</v>
      </c>
      <c r="C918" s="98" t="s">
        <v>853</v>
      </c>
      <c r="D918" s="93">
        <v>27760</v>
      </c>
      <c r="E918" s="99">
        <v>5000</v>
      </c>
      <c r="F918" s="100"/>
      <c r="G918" s="101">
        <v>35</v>
      </c>
      <c r="H918" s="102">
        <v>35</v>
      </c>
      <c r="I918" s="99">
        <v>0</v>
      </c>
      <c r="J918" s="99">
        <v>0</v>
      </c>
      <c r="K918" s="99">
        <v>5000</v>
      </c>
      <c r="L918" s="103">
        <v>0</v>
      </c>
    </row>
    <row r="919" spans="1:12" x14ac:dyDescent="0.45">
      <c r="A919" s="98" t="s">
        <v>829</v>
      </c>
      <c r="B919" s="87">
        <v>307</v>
      </c>
      <c r="C919" s="98" t="s">
        <v>856</v>
      </c>
      <c r="D919" s="93">
        <v>25750</v>
      </c>
      <c r="E919" s="99">
        <v>10000</v>
      </c>
      <c r="F919" s="100"/>
      <c r="G919" s="101">
        <v>25</v>
      </c>
      <c r="H919" s="102">
        <v>25</v>
      </c>
      <c r="I919" s="99">
        <v>0</v>
      </c>
      <c r="J919" s="99">
        <v>0</v>
      </c>
      <c r="K919" s="99">
        <v>10000</v>
      </c>
      <c r="L919" s="103">
        <v>0</v>
      </c>
    </row>
    <row r="920" spans="1:12" x14ac:dyDescent="0.45">
      <c r="A920" s="98" t="s">
        <v>829</v>
      </c>
      <c r="B920" s="87">
        <v>311</v>
      </c>
      <c r="C920" s="98" t="s">
        <v>857</v>
      </c>
      <c r="D920" s="93">
        <v>37803</v>
      </c>
      <c r="E920" s="99">
        <v>5000</v>
      </c>
      <c r="F920" s="100"/>
      <c r="G920" s="101">
        <v>10</v>
      </c>
      <c r="H920" s="102">
        <v>10</v>
      </c>
      <c r="I920" s="99">
        <v>0</v>
      </c>
      <c r="J920" s="99">
        <v>0</v>
      </c>
      <c r="K920" s="99">
        <v>5000</v>
      </c>
      <c r="L920" s="103">
        <v>0</v>
      </c>
    </row>
    <row r="921" spans="1:12" x14ac:dyDescent="0.45">
      <c r="A921" s="98" t="s">
        <v>829</v>
      </c>
      <c r="B921" s="87">
        <v>304</v>
      </c>
      <c r="C921" s="98" t="s">
        <v>858</v>
      </c>
      <c r="D921" s="93">
        <v>35612</v>
      </c>
      <c r="E921" s="99">
        <v>5000</v>
      </c>
      <c r="F921" s="100"/>
      <c r="G921" s="101">
        <v>35</v>
      </c>
      <c r="H921" s="102">
        <v>28</v>
      </c>
      <c r="I921" s="99">
        <v>142.85714285714286</v>
      </c>
      <c r="J921" s="99">
        <v>0</v>
      </c>
      <c r="K921" s="99">
        <v>3774.70277549818</v>
      </c>
      <c r="L921" s="103">
        <v>1225.29722450182</v>
      </c>
    </row>
    <row r="922" spans="1:12" x14ac:dyDescent="0.45">
      <c r="A922" s="98" t="s">
        <v>829</v>
      </c>
      <c r="B922" s="87">
        <v>311</v>
      </c>
      <c r="C922" s="98" t="s">
        <v>859</v>
      </c>
      <c r="D922" s="93">
        <v>37803</v>
      </c>
      <c r="E922" s="99">
        <v>6000</v>
      </c>
      <c r="F922" s="100"/>
      <c r="G922" s="101">
        <v>25</v>
      </c>
      <c r="H922" s="102">
        <v>22</v>
      </c>
      <c r="I922" s="99">
        <v>240</v>
      </c>
      <c r="J922" s="99">
        <v>0</v>
      </c>
      <c r="K922" s="99">
        <v>4901.500662836942</v>
      </c>
      <c r="L922" s="103">
        <v>1098.499337163058</v>
      </c>
    </row>
    <row r="923" spans="1:12" x14ac:dyDescent="0.45">
      <c r="A923" s="98" t="s">
        <v>829</v>
      </c>
      <c r="B923" s="87">
        <v>331</v>
      </c>
      <c r="C923" s="98" t="s">
        <v>860</v>
      </c>
      <c r="D923" s="93">
        <v>25750</v>
      </c>
      <c r="E923" s="99">
        <v>5000</v>
      </c>
      <c r="F923" s="100"/>
      <c r="G923" s="101">
        <v>35</v>
      </c>
      <c r="H923" s="102">
        <v>35</v>
      </c>
      <c r="I923" s="99">
        <v>0</v>
      </c>
      <c r="J923" s="99">
        <v>0</v>
      </c>
      <c r="K923" s="99">
        <v>5000</v>
      </c>
      <c r="L923" s="103">
        <v>0</v>
      </c>
    </row>
    <row r="924" spans="1:12" x14ac:dyDescent="0.45">
      <c r="A924" s="98" t="s">
        <v>829</v>
      </c>
      <c r="B924" s="87">
        <v>311</v>
      </c>
      <c r="C924" s="98" t="s">
        <v>861</v>
      </c>
      <c r="D924" s="93">
        <v>43647</v>
      </c>
      <c r="E924" s="99">
        <v>3523</v>
      </c>
      <c r="F924" s="100"/>
      <c r="G924" s="101">
        <v>10</v>
      </c>
      <c r="H924" s="102">
        <v>6</v>
      </c>
      <c r="I924" s="99">
        <v>352.3</v>
      </c>
      <c r="J924" s="99">
        <v>0</v>
      </c>
      <c r="K924" s="99">
        <v>1910.494514656061</v>
      </c>
      <c r="L924" s="103">
        <v>1612.505485343939</v>
      </c>
    </row>
    <row r="925" spans="1:12" x14ac:dyDescent="0.45">
      <c r="A925" s="98" t="s">
        <v>829</v>
      </c>
      <c r="B925" s="87">
        <v>331</v>
      </c>
      <c r="C925" s="98" t="s">
        <v>862</v>
      </c>
      <c r="D925" s="93">
        <v>27942</v>
      </c>
      <c r="E925" s="99">
        <v>5000</v>
      </c>
      <c r="F925" s="100"/>
      <c r="G925" s="101">
        <v>35</v>
      </c>
      <c r="H925" s="102">
        <v>35</v>
      </c>
      <c r="I925" s="99">
        <v>0</v>
      </c>
      <c r="J925" s="99">
        <v>0</v>
      </c>
      <c r="K925" s="99">
        <v>5000</v>
      </c>
      <c r="L925" s="103">
        <v>0</v>
      </c>
    </row>
    <row r="926" spans="1:12" x14ac:dyDescent="0.45">
      <c r="A926" s="98" t="s">
        <v>829</v>
      </c>
      <c r="B926" s="87">
        <v>303</v>
      </c>
      <c r="C926" s="98" t="s">
        <v>863</v>
      </c>
      <c r="D926" s="93">
        <v>27760</v>
      </c>
      <c r="E926" s="99">
        <v>40000</v>
      </c>
      <c r="F926" s="100"/>
      <c r="G926" s="101">
        <v>0</v>
      </c>
      <c r="H926" s="102">
        <v>0</v>
      </c>
      <c r="I926" s="99">
        <v>0</v>
      </c>
      <c r="J926" s="99">
        <v>0</v>
      </c>
      <c r="K926" s="99">
        <v>0</v>
      </c>
      <c r="L926" s="103">
        <v>40000</v>
      </c>
    </row>
    <row r="927" spans="1:12" x14ac:dyDescent="0.45">
      <c r="A927" s="98" t="s">
        <v>829</v>
      </c>
      <c r="B927" s="87">
        <v>304</v>
      </c>
      <c r="C927" s="98" t="s">
        <v>864</v>
      </c>
      <c r="D927" s="93">
        <v>27760</v>
      </c>
      <c r="E927" s="99">
        <v>5000</v>
      </c>
      <c r="F927" s="100"/>
      <c r="G927" s="101">
        <v>35</v>
      </c>
      <c r="H927" s="102">
        <v>35</v>
      </c>
      <c r="I927" s="99">
        <v>0</v>
      </c>
      <c r="J927" s="99">
        <v>0</v>
      </c>
      <c r="K927" s="99">
        <v>5000</v>
      </c>
      <c r="L927" s="103">
        <v>0</v>
      </c>
    </row>
    <row r="928" spans="1:12" x14ac:dyDescent="0.45">
      <c r="A928" s="98" t="s">
        <v>829</v>
      </c>
      <c r="B928" s="87">
        <v>333</v>
      </c>
      <c r="C928" s="98" t="s">
        <v>865</v>
      </c>
      <c r="D928" s="93">
        <v>38353</v>
      </c>
      <c r="E928" s="99">
        <v>10000</v>
      </c>
      <c r="F928" s="100"/>
      <c r="G928" s="101">
        <v>20</v>
      </c>
      <c r="H928" s="102">
        <v>20</v>
      </c>
      <c r="I928" s="99">
        <v>500</v>
      </c>
      <c r="J928" s="99">
        <v>0</v>
      </c>
      <c r="K928" s="99">
        <v>9461.4597142436287</v>
      </c>
      <c r="L928" s="103">
        <v>538.5402857563713</v>
      </c>
    </row>
    <row r="929" spans="1:12" x14ac:dyDescent="0.45">
      <c r="A929" s="98" t="s">
        <v>829</v>
      </c>
      <c r="B929" s="87">
        <v>311</v>
      </c>
      <c r="C929" s="98" t="s">
        <v>866</v>
      </c>
      <c r="D929" s="93">
        <v>38353</v>
      </c>
      <c r="E929" s="99">
        <v>5000</v>
      </c>
      <c r="F929" s="100"/>
      <c r="G929" s="101">
        <v>10</v>
      </c>
      <c r="H929" s="102">
        <v>10</v>
      </c>
      <c r="I929" s="99">
        <v>0</v>
      </c>
      <c r="J929" s="99">
        <v>0</v>
      </c>
      <c r="K929" s="99">
        <v>5000</v>
      </c>
      <c r="L929" s="103">
        <v>0</v>
      </c>
    </row>
    <row r="930" spans="1:12" x14ac:dyDescent="0.45">
      <c r="A930" s="98" t="s">
        <v>829</v>
      </c>
      <c r="B930" s="87">
        <v>311</v>
      </c>
      <c r="C930" s="98" t="s">
        <v>867</v>
      </c>
      <c r="D930" s="93">
        <v>38353</v>
      </c>
      <c r="E930" s="99">
        <v>300</v>
      </c>
      <c r="F930" s="100"/>
      <c r="G930" s="101">
        <v>10</v>
      </c>
      <c r="H930" s="102">
        <v>10</v>
      </c>
      <c r="I930" s="99">
        <v>0</v>
      </c>
      <c r="J930" s="99">
        <v>0</v>
      </c>
      <c r="K930" s="99">
        <v>300</v>
      </c>
      <c r="L930" s="103">
        <v>0</v>
      </c>
    </row>
    <row r="931" spans="1:12" x14ac:dyDescent="0.45">
      <c r="A931" s="98" t="s">
        <v>829</v>
      </c>
      <c r="B931" s="87">
        <v>339</v>
      </c>
      <c r="C931" s="98" t="s">
        <v>835</v>
      </c>
      <c r="D931" s="93">
        <v>32874</v>
      </c>
      <c r="E931" s="99">
        <v>6500</v>
      </c>
      <c r="F931" s="100"/>
      <c r="G931" s="101">
        <v>35</v>
      </c>
      <c r="H931" s="102">
        <v>35</v>
      </c>
      <c r="I931" s="99">
        <v>185.71428571428572</v>
      </c>
      <c r="J931" s="99">
        <v>0</v>
      </c>
      <c r="K931" s="99">
        <v>6299.9707510047765</v>
      </c>
      <c r="L931" s="103">
        <v>200.0292489952235</v>
      </c>
    </row>
    <row r="932" spans="1:12" x14ac:dyDescent="0.45">
      <c r="A932" s="98" t="s">
        <v>829</v>
      </c>
      <c r="B932" s="87">
        <v>311</v>
      </c>
      <c r="C932" s="98" t="s">
        <v>868</v>
      </c>
      <c r="D932" s="93">
        <v>32874</v>
      </c>
      <c r="E932" s="99">
        <v>2500</v>
      </c>
      <c r="F932" s="100"/>
      <c r="G932" s="101">
        <v>35</v>
      </c>
      <c r="H932" s="102">
        <v>35</v>
      </c>
      <c r="I932" s="99">
        <v>71.428571428571431</v>
      </c>
      <c r="J932" s="99">
        <v>0</v>
      </c>
      <c r="K932" s="99">
        <v>2423.0656734633762</v>
      </c>
      <c r="L932" s="103">
        <v>76.934326536623757</v>
      </c>
    </row>
    <row r="933" spans="1:12" x14ac:dyDescent="0.45">
      <c r="A933" s="98" t="s">
        <v>829</v>
      </c>
      <c r="B933" s="87">
        <v>311</v>
      </c>
      <c r="C933" s="98" t="s">
        <v>869</v>
      </c>
      <c r="D933" s="93">
        <v>32874</v>
      </c>
      <c r="E933" s="99">
        <v>2500</v>
      </c>
      <c r="F933" s="100"/>
      <c r="G933" s="101">
        <v>35</v>
      </c>
      <c r="H933" s="102">
        <v>35</v>
      </c>
      <c r="I933" s="99">
        <v>71.428571428571431</v>
      </c>
      <c r="J933" s="99">
        <v>0</v>
      </c>
      <c r="K933" s="99">
        <v>2423.0656734633762</v>
      </c>
      <c r="L933" s="103">
        <v>76.934326536623757</v>
      </c>
    </row>
    <row r="934" spans="1:12" x14ac:dyDescent="0.45">
      <c r="A934" s="98" t="s">
        <v>829</v>
      </c>
      <c r="B934" s="87">
        <v>311</v>
      </c>
      <c r="C934" s="98" t="s">
        <v>870</v>
      </c>
      <c r="D934" s="93">
        <v>43497</v>
      </c>
      <c r="E934" s="99">
        <v>3014.09</v>
      </c>
      <c r="F934" s="100"/>
      <c r="G934" s="101">
        <v>10</v>
      </c>
      <c r="H934" s="102">
        <v>6</v>
      </c>
      <c r="I934" s="99">
        <v>301.40899999999999</v>
      </c>
      <c r="J934" s="99">
        <v>0</v>
      </c>
      <c r="K934" s="99">
        <v>1634.5167220209169</v>
      </c>
      <c r="L934" s="103">
        <v>1379.5732779790833</v>
      </c>
    </row>
    <row r="935" spans="1:12" x14ac:dyDescent="0.45">
      <c r="A935" s="98" t="s">
        <v>829</v>
      </c>
      <c r="B935" s="87">
        <v>311</v>
      </c>
      <c r="C935" s="98" t="s">
        <v>871</v>
      </c>
      <c r="D935" s="93">
        <v>43647</v>
      </c>
      <c r="E935" s="99">
        <v>3998.23</v>
      </c>
      <c r="F935" s="100"/>
      <c r="G935" s="101">
        <v>10</v>
      </c>
      <c r="H935" s="102">
        <v>6</v>
      </c>
      <c r="I935" s="99">
        <v>399.82299999999998</v>
      </c>
      <c r="J935" s="99">
        <v>0</v>
      </c>
      <c r="K935" s="99">
        <v>2168.2079146560609</v>
      </c>
      <c r="L935" s="103">
        <v>1830.0220853439391</v>
      </c>
    </row>
    <row r="936" spans="1:12" x14ac:dyDescent="0.45">
      <c r="A936" s="98" t="s">
        <v>829</v>
      </c>
      <c r="B936" s="87">
        <v>343</v>
      </c>
      <c r="C936" s="98" t="s">
        <v>872</v>
      </c>
      <c r="D936" s="93">
        <v>39083</v>
      </c>
      <c r="E936" s="99">
        <v>1000</v>
      </c>
      <c r="F936" s="100"/>
      <c r="G936" s="101">
        <v>20</v>
      </c>
      <c r="H936" s="102">
        <v>18</v>
      </c>
      <c r="I936" s="99">
        <v>50</v>
      </c>
      <c r="J936" s="99">
        <v>0</v>
      </c>
      <c r="K936" s="99">
        <v>846.14597142436276</v>
      </c>
      <c r="L936" s="103">
        <v>153.85402857563724</v>
      </c>
    </row>
    <row r="937" spans="1:12" x14ac:dyDescent="0.45">
      <c r="A937" s="98" t="s">
        <v>829</v>
      </c>
      <c r="B937" s="87">
        <v>320</v>
      </c>
      <c r="C937" s="98" t="s">
        <v>873</v>
      </c>
      <c r="D937" s="93">
        <v>42005</v>
      </c>
      <c r="E937" s="99">
        <v>500</v>
      </c>
      <c r="F937" s="100"/>
      <c r="G937" s="101">
        <v>20</v>
      </c>
      <c r="H937" s="102">
        <v>10</v>
      </c>
      <c r="I937" s="99">
        <v>25</v>
      </c>
      <c r="J937" s="99">
        <v>0</v>
      </c>
      <c r="K937" s="99">
        <v>223.07298571218115</v>
      </c>
      <c r="L937" s="103">
        <v>276.92701428781885</v>
      </c>
    </row>
    <row r="938" spans="1:12" x14ac:dyDescent="0.45">
      <c r="A938" s="98" t="s">
        <v>829</v>
      </c>
      <c r="B938" s="87">
        <v>311</v>
      </c>
      <c r="C938" s="98" t="s">
        <v>838</v>
      </c>
      <c r="D938" s="93">
        <v>29221</v>
      </c>
      <c r="E938" s="99">
        <v>5000</v>
      </c>
      <c r="F938" s="100"/>
      <c r="G938" s="101">
        <v>35</v>
      </c>
      <c r="H938" s="102">
        <v>35</v>
      </c>
      <c r="I938" s="99">
        <v>0</v>
      </c>
      <c r="J938" s="99">
        <v>0</v>
      </c>
      <c r="K938" s="99">
        <v>5000</v>
      </c>
      <c r="L938" s="103">
        <v>0</v>
      </c>
    </row>
    <row r="939" spans="1:12" x14ac:dyDescent="0.45">
      <c r="A939" s="104" t="s">
        <v>829</v>
      </c>
      <c r="B939" s="87">
        <v>343</v>
      </c>
      <c r="C939" s="98" t="s">
        <v>840</v>
      </c>
      <c r="D939" s="93">
        <v>40179</v>
      </c>
      <c r="E939" s="99">
        <v>500</v>
      </c>
      <c r="F939" s="100"/>
      <c r="G939" s="101">
        <v>5</v>
      </c>
      <c r="H939" s="102">
        <v>5</v>
      </c>
      <c r="I939" s="99">
        <v>0</v>
      </c>
      <c r="J939" s="99">
        <v>0</v>
      </c>
      <c r="K939" s="99">
        <v>500</v>
      </c>
      <c r="L939" s="103">
        <v>0</v>
      </c>
    </row>
    <row r="940" spans="1:12" x14ac:dyDescent="0.45">
      <c r="A940" s="98" t="s">
        <v>829</v>
      </c>
      <c r="B940" s="87">
        <v>331</v>
      </c>
      <c r="C940" s="98" t="s">
        <v>874</v>
      </c>
      <c r="D940" s="93">
        <v>27395</v>
      </c>
      <c r="E940" s="99">
        <v>20000</v>
      </c>
      <c r="F940" s="100"/>
      <c r="G940" s="101">
        <v>35</v>
      </c>
      <c r="H940" s="102">
        <v>35</v>
      </c>
      <c r="I940" s="99">
        <v>0</v>
      </c>
      <c r="J940" s="99">
        <v>0</v>
      </c>
      <c r="K940" s="99">
        <v>20000</v>
      </c>
      <c r="L940" s="103">
        <v>0</v>
      </c>
    </row>
    <row r="941" spans="1:12" x14ac:dyDescent="0.45">
      <c r="A941" s="98" t="s">
        <v>829</v>
      </c>
      <c r="B941" s="87">
        <v>331</v>
      </c>
      <c r="C941" s="98" t="s">
        <v>875</v>
      </c>
      <c r="D941" s="93">
        <v>27395</v>
      </c>
      <c r="E941" s="99">
        <v>15000</v>
      </c>
      <c r="F941" s="100"/>
      <c r="G941" s="101">
        <v>35</v>
      </c>
      <c r="H941" s="102">
        <v>35</v>
      </c>
      <c r="I941" s="99">
        <v>0</v>
      </c>
      <c r="J941" s="99">
        <v>0</v>
      </c>
      <c r="K941" s="99">
        <v>15000</v>
      </c>
      <c r="L941" s="103">
        <v>0</v>
      </c>
    </row>
    <row r="942" spans="1:12" x14ac:dyDescent="0.45">
      <c r="A942" s="98" t="s">
        <v>829</v>
      </c>
      <c r="B942" s="87">
        <v>334</v>
      </c>
      <c r="C942" s="98" t="s">
        <v>876</v>
      </c>
      <c r="D942" s="93">
        <v>39448</v>
      </c>
      <c r="E942" s="99">
        <v>250</v>
      </c>
      <c r="F942" s="100"/>
      <c r="G942" s="101">
        <v>20</v>
      </c>
      <c r="H942" s="102">
        <v>17</v>
      </c>
      <c r="I942" s="99">
        <v>12.5</v>
      </c>
      <c r="J942" s="99">
        <v>0</v>
      </c>
      <c r="K942" s="99">
        <v>199.03649285609072</v>
      </c>
      <c r="L942" s="103">
        <v>50.963507143909283</v>
      </c>
    </row>
    <row r="943" spans="1:12" x14ac:dyDescent="0.45">
      <c r="A943" s="98" t="s">
        <v>829</v>
      </c>
      <c r="B943" s="87">
        <v>334</v>
      </c>
      <c r="C943" s="98" t="s">
        <v>877</v>
      </c>
      <c r="D943" s="93">
        <v>39448</v>
      </c>
      <c r="E943" s="99">
        <v>250</v>
      </c>
      <c r="F943" s="100"/>
      <c r="G943" s="101">
        <v>20</v>
      </c>
      <c r="H943" s="102">
        <v>17</v>
      </c>
      <c r="I943" s="99">
        <v>12.5</v>
      </c>
      <c r="J943" s="99">
        <v>0</v>
      </c>
      <c r="K943" s="99">
        <v>199.03649285609072</v>
      </c>
      <c r="L943" s="103">
        <v>50.963507143909283</v>
      </c>
    </row>
    <row r="944" spans="1:12" x14ac:dyDescent="0.45">
      <c r="A944" s="98" t="s">
        <v>829</v>
      </c>
      <c r="B944" s="87">
        <v>307</v>
      </c>
      <c r="C944" s="98" t="s">
        <v>878</v>
      </c>
      <c r="D944" s="93">
        <v>25569</v>
      </c>
      <c r="E944" s="99">
        <v>10000</v>
      </c>
      <c r="F944" s="100"/>
      <c r="G944" s="101">
        <v>25</v>
      </c>
      <c r="H944" s="102">
        <v>25</v>
      </c>
      <c r="I944" s="99">
        <v>0</v>
      </c>
      <c r="J944" s="99">
        <v>0</v>
      </c>
      <c r="K944" s="99">
        <v>10000</v>
      </c>
      <c r="L944" s="103">
        <v>0</v>
      </c>
    </row>
    <row r="945" spans="1:12" x14ac:dyDescent="0.45">
      <c r="A945" s="98" t="s">
        <v>829</v>
      </c>
      <c r="B945" s="87">
        <v>311</v>
      </c>
      <c r="C945" s="98" t="s">
        <v>857</v>
      </c>
      <c r="D945" s="93">
        <v>37622</v>
      </c>
      <c r="E945" s="99">
        <v>3500</v>
      </c>
      <c r="F945" s="100"/>
      <c r="G945" s="101">
        <v>20</v>
      </c>
      <c r="H945" s="102">
        <v>20</v>
      </c>
      <c r="I945" s="99">
        <v>0</v>
      </c>
      <c r="J945" s="99">
        <v>0</v>
      </c>
      <c r="K945" s="99">
        <v>3500</v>
      </c>
      <c r="L945" s="103">
        <v>0</v>
      </c>
    </row>
    <row r="946" spans="1:12" x14ac:dyDescent="0.45">
      <c r="A946" s="98" t="s">
        <v>829</v>
      </c>
      <c r="B946" s="87">
        <v>304</v>
      </c>
      <c r="C946" s="98" t="s">
        <v>879</v>
      </c>
      <c r="D946" s="93">
        <v>35431</v>
      </c>
      <c r="E946" s="99">
        <v>2500</v>
      </c>
      <c r="F946" s="100"/>
      <c r="G946" s="101">
        <v>35</v>
      </c>
      <c r="H946" s="102">
        <v>28</v>
      </c>
      <c r="I946" s="99">
        <v>71.428571428571431</v>
      </c>
      <c r="J946" s="99">
        <v>0</v>
      </c>
      <c r="K946" s="99">
        <v>1923.0656734633758</v>
      </c>
      <c r="L946" s="103">
        <v>576.93432653662421</v>
      </c>
    </row>
    <row r="947" spans="1:12" x14ac:dyDescent="0.45">
      <c r="A947" s="98" t="s">
        <v>829</v>
      </c>
      <c r="B947" s="87">
        <v>311</v>
      </c>
      <c r="C947" s="98" t="s">
        <v>859</v>
      </c>
      <c r="D947" s="93">
        <v>37622</v>
      </c>
      <c r="E947" s="99">
        <v>2500</v>
      </c>
      <c r="F947" s="100"/>
      <c r="G947" s="101">
        <v>20</v>
      </c>
      <c r="H947" s="102">
        <v>20</v>
      </c>
      <c r="I947" s="99">
        <v>0</v>
      </c>
      <c r="J947" s="99">
        <v>0</v>
      </c>
      <c r="K947" s="99">
        <v>2500</v>
      </c>
      <c r="L947" s="103">
        <v>0</v>
      </c>
    </row>
    <row r="948" spans="1:12" x14ac:dyDescent="0.45">
      <c r="A948" s="98" t="s">
        <v>829</v>
      </c>
      <c r="B948" s="87">
        <v>331</v>
      </c>
      <c r="C948" s="98" t="s">
        <v>880</v>
      </c>
      <c r="D948" s="93">
        <v>25569</v>
      </c>
      <c r="E948" s="99">
        <v>1000</v>
      </c>
      <c r="F948" s="100"/>
      <c r="G948" s="101">
        <v>35</v>
      </c>
      <c r="H948" s="102">
        <v>35</v>
      </c>
      <c r="I948" s="99">
        <v>0</v>
      </c>
      <c r="J948" s="99">
        <v>0</v>
      </c>
      <c r="K948" s="99">
        <v>1000</v>
      </c>
      <c r="L948" s="103">
        <v>0</v>
      </c>
    </row>
    <row r="949" spans="1:12" x14ac:dyDescent="0.45">
      <c r="A949" s="98" t="s">
        <v>829</v>
      </c>
      <c r="B949" s="87">
        <v>311</v>
      </c>
      <c r="C949" s="98" t="s">
        <v>881</v>
      </c>
      <c r="D949" s="93">
        <v>25569</v>
      </c>
      <c r="E949" s="99">
        <v>200</v>
      </c>
      <c r="F949" s="100"/>
      <c r="G949" s="101">
        <v>35</v>
      </c>
      <c r="H949" s="102">
        <v>35</v>
      </c>
      <c r="I949" s="99">
        <v>0</v>
      </c>
      <c r="J949" s="99">
        <v>0</v>
      </c>
      <c r="K949" s="99">
        <v>200</v>
      </c>
      <c r="L949" s="103">
        <v>0</v>
      </c>
    </row>
    <row r="950" spans="1:12" x14ac:dyDescent="0.45">
      <c r="A950" s="98" t="s">
        <v>829</v>
      </c>
      <c r="B950" s="87">
        <v>311</v>
      </c>
      <c r="C950" s="98" t="s">
        <v>882</v>
      </c>
      <c r="D950" s="93">
        <v>43466</v>
      </c>
      <c r="E950" s="99">
        <v>3929.49</v>
      </c>
      <c r="F950" s="100"/>
      <c r="G950" s="101">
        <v>10</v>
      </c>
      <c r="H950" s="102">
        <v>6</v>
      </c>
      <c r="I950" s="99">
        <v>392.94899999999996</v>
      </c>
      <c r="J950" s="99">
        <v>0</v>
      </c>
      <c r="K950" s="99">
        <v>2130.9307665046404</v>
      </c>
      <c r="L950" s="103">
        <v>1798.5592334953594</v>
      </c>
    </row>
    <row r="951" spans="1:12" x14ac:dyDescent="0.45">
      <c r="A951" s="98" t="s">
        <v>829</v>
      </c>
      <c r="B951" s="87">
        <v>331</v>
      </c>
      <c r="C951" s="98" t="s">
        <v>272</v>
      </c>
      <c r="D951" s="93">
        <v>22682</v>
      </c>
      <c r="E951" s="99">
        <v>45874</v>
      </c>
      <c r="F951" s="100"/>
      <c r="G951" s="101">
        <v>50</v>
      </c>
      <c r="H951" s="102">
        <v>50</v>
      </c>
      <c r="I951" s="99">
        <v>0</v>
      </c>
      <c r="J951" s="99">
        <v>0</v>
      </c>
      <c r="K951" s="99">
        <v>45874</v>
      </c>
      <c r="L951" s="103">
        <v>0</v>
      </c>
    </row>
    <row r="952" spans="1:12" x14ac:dyDescent="0.45">
      <c r="A952" s="98" t="s">
        <v>829</v>
      </c>
      <c r="B952" s="87">
        <v>311</v>
      </c>
      <c r="C952" s="98" t="s">
        <v>883</v>
      </c>
      <c r="D952" s="93">
        <v>31530</v>
      </c>
      <c r="E952" s="99">
        <v>4860</v>
      </c>
      <c r="F952" s="100"/>
      <c r="G952" s="101">
        <v>20</v>
      </c>
      <c r="H952" s="102">
        <v>20</v>
      </c>
      <c r="I952" s="99">
        <v>0</v>
      </c>
      <c r="J952" s="99">
        <v>0</v>
      </c>
      <c r="K952" s="99">
        <v>4860</v>
      </c>
      <c r="L952" s="103">
        <v>0</v>
      </c>
    </row>
    <row r="953" spans="1:12" x14ac:dyDescent="0.45">
      <c r="A953" s="98" t="s">
        <v>829</v>
      </c>
      <c r="B953" s="87">
        <v>320</v>
      </c>
      <c r="C953" s="98" t="s">
        <v>884</v>
      </c>
      <c r="D953" s="93">
        <v>32737</v>
      </c>
      <c r="E953" s="99">
        <v>1450</v>
      </c>
      <c r="F953" s="100"/>
      <c r="G953" s="101">
        <v>10</v>
      </c>
      <c r="H953" s="102">
        <v>10</v>
      </c>
      <c r="I953" s="99">
        <v>0</v>
      </c>
      <c r="J953" s="99">
        <v>0</v>
      </c>
      <c r="K953" s="99">
        <v>1450</v>
      </c>
      <c r="L953" s="103">
        <v>0</v>
      </c>
    </row>
    <row r="954" spans="1:12" x14ac:dyDescent="0.45">
      <c r="A954" s="98" t="s">
        <v>829</v>
      </c>
      <c r="B954" s="87">
        <v>348</v>
      </c>
      <c r="C954" s="98" t="s">
        <v>885</v>
      </c>
      <c r="D954" s="93">
        <v>37591</v>
      </c>
      <c r="E954" s="99">
        <v>13703</v>
      </c>
      <c r="F954" s="100"/>
      <c r="G954" s="101">
        <v>6</v>
      </c>
      <c r="H954" s="102">
        <v>6</v>
      </c>
      <c r="I954" s="99">
        <v>0</v>
      </c>
      <c r="J954" s="99">
        <v>0</v>
      </c>
      <c r="K954" s="99">
        <v>13703</v>
      </c>
      <c r="L954" s="103">
        <v>0</v>
      </c>
    </row>
    <row r="955" spans="1:12" x14ac:dyDescent="0.45">
      <c r="A955" s="98" t="s">
        <v>829</v>
      </c>
      <c r="B955" s="87">
        <v>311</v>
      </c>
      <c r="C955" s="98" t="s">
        <v>886</v>
      </c>
      <c r="D955" s="93">
        <v>37865</v>
      </c>
      <c r="E955" s="99">
        <v>5017</v>
      </c>
      <c r="F955" s="100"/>
      <c r="G955" s="101">
        <v>20</v>
      </c>
      <c r="H955" s="102">
        <v>20</v>
      </c>
      <c r="I955" s="99">
        <v>0</v>
      </c>
      <c r="J955" s="99">
        <v>0</v>
      </c>
      <c r="K955" s="99">
        <v>5017</v>
      </c>
      <c r="L955" s="103">
        <v>0</v>
      </c>
    </row>
    <row r="956" spans="1:12" x14ac:dyDescent="0.45">
      <c r="A956" s="98" t="s">
        <v>829</v>
      </c>
      <c r="B956" s="87">
        <v>331</v>
      </c>
      <c r="C956" s="98" t="s">
        <v>887</v>
      </c>
      <c r="D956" s="93">
        <v>34028</v>
      </c>
      <c r="E956" s="99">
        <v>107374</v>
      </c>
      <c r="F956" s="100"/>
      <c r="G956" s="101">
        <v>50</v>
      </c>
      <c r="H956" s="102">
        <v>32</v>
      </c>
      <c r="I956" s="99">
        <v>2147.48</v>
      </c>
      <c r="J956" s="99">
        <v>0</v>
      </c>
      <c r="K956" s="99">
        <v>66227.394347621128</v>
      </c>
      <c r="L956" s="103">
        <v>41146.605652378872</v>
      </c>
    </row>
    <row r="957" spans="1:12" x14ac:dyDescent="0.45">
      <c r="A957" s="98" t="s">
        <v>829</v>
      </c>
      <c r="B957" s="87">
        <v>311</v>
      </c>
      <c r="C957" s="98" t="s">
        <v>888</v>
      </c>
      <c r="D957" s="93">
        <v>34028</v>
      </c>
      <c r="E957" s="99">
        <v>27864</v>
      </c>
      <c r="F957" s="100"/>
      <c r="G957" s="101">
        <v>20</v>
      </c>
      <c r="H957" s="102">
        <v>20</v>
      </c>
      <c r="I957" s="99">
        <v>0</v>
      </c>
      <c r="J957" s="99">
        <v>0</v>
      </c>
      <c r="K957" s="99">
        <v>27864</v>
      </c>
      <c r="L957" s="103">
        <v>0</v>
      </c>
    </row>
    <row r="958" spans="1:12" x14ac:dyDescent="0.45">
      <c r="A958" s="98" t="s">
        <v>829</v>
      </c>
      <c r="B958" s="87">
        <v>304</v>
      </c>
      <c r="C958" s="98" t="s">
        <v>241</v>
      </c>
      <c r="D958" s="93">
        <v>34028</v>
      </c>
      <c r="E958" s="99">
        <v>3471</v>
      </c>
      <c r="F958" s="100"/>
      <c r="G958" s="101">
        <v>35</v>
      </c>
      <c r="H958" s="102">
        <v>32</v>
      </c>
      <c r="I958" s="99">
        <v>99.171428571428578</v>
      </c>
      <c r="J958" s="99">
        <v>0</v>
      </c>
      <c r="K958" s="99">
        <v>3058.4058096079793</v>
      </c>
      <c r="L958" s="103">
        <v>412.59419039202066</v>
      </c>
    </row>
    <row r="959" spans="1:12" x14ac:dyDescent="0.45">
      <c r="A959" s="98" t="s">
        <v>829</v>
      </c>
      <c r="B959" s="87">
        <v>348</v>
      </c>
      <c r="C959" s="98" t="s">
        <v>423</v>
      </c>
      <c r="D959" s="93">
        <v>33970</v>
      </c>
      <c r="E959" s="99">
        <v>11123</v>
      </c>
      <c r="F959" s="100"/>
      <c r="G959" s="101">
        <v>6</v>
      </c>
      <c r="H959" s="102">
        <v>6</v>
      </c>
      <c r="I959" s="99">
        <v>0</v>
      </c>
      <c r="J959" s="99">
        <v>0</v>
      </c>
      <c r="K959" s="99">
        <v>11123</v>
      </c>
      <c r="L959" s="103">
        <v>0</v>
      </c>
    </row>
    <row r="960" spans="1:12" x14ac:dyDescent="0.45">
      <c r="A960" s="98" t="s">
        <v>829</v>
      </c>
      <c r="B960" s="87">
        <v>304</v>
      </c>
      <c r="C960" s="98" t="s">
        <v>889</v>
      </c>
      <c r="D960" s="93">
        <v>34335</v>
      </c>
      <c r="E960" s="99">
        <v>951</v>
      </c>
      <c r="F960" s="100"/>
      <c r="G960" s="101">
        <v>35</v>
      </c>
      <c r="H960" s="102">
        <v>31</v>
      </c>
      <c r="I960" s="99">
        <v>27.171428571428571</v>
      </c>
      <c r="J960" s="99">
        <v>0</v>
      </c>
      <c r="K960" s="99">
        <v>813.04846789975363</v>
      </c>
      <c r="L960" s="103">
        <v>137.95153210024637</v>
      </c>
    </row>
    <row r="961" spans="1:12" x14ac:dyDescent="0.45">
      <c r="A961" s="98" t="s">
        <v>829</v>
      </c>
      <c r="B961" s="87">
        <v>307</v>
      </c>
      <c r="C961" s="98" t="s">
        <v>890</v>
      </c>
      <c r="D961" s="93">
        <v>42185</v>
      </c>
      <c r="E961" s="99">
        <v>4849</v>
      </c>
      <c r="F961" s="100"/>
      <c r="G961" s="101">
        <v>25</v>
      </c>
      <c r="H961" s="102">
        <v>10</v>
      </c>
      <c r="I961" s="99">
        <v>193.96</v>
      </c>
      <c r="J961" s="99">
        <v>0</v>
      </c>
      <c r="K961" s="99">
        <v>1649.8727856827236</v>
      </c>
      <c r="L961" s="103">
        <v>3199.1272143172764</v>
      </c>
    </row>
    <row r="962" spans="1:12" x14ac:dyDescent="0.45">
      <c r="A962" s="98" t="s">
        <v>829</v>
      </c>
      <c r="B962" s="87">
        <v>307</v>
      </c>
      <c r="C962" s="98" t="s">
        <v>891</v>
      </c>
      <c r="D962" s="93">
        <v>36160</v>
      </c>
      <c r="E962" s="99">
        <v>37956</v>
      </c>
      <c r="F962" s="100"/>
      <c r="G962" s="101">
        <v>25</v>
      </c>
      <c r="H962" s="102">
        <v>25</v>
      </c>
      <c r="I962" s="99">
        <v>0</v>
      </c>
      <c r="J962" s="99">
        <v>0</v>
      </c>
      <c r="K962" s="99">
        <v>37956</v>
      </c>
      <c r="L962" s="103">
        <v>0</v>
      </c>
    </row>
    <row r="963" spans="1:12" x14ac:dyDescent="0.45">
      <c r="A963" s="98" t="s">
        <v>829</v>
      </c>
      <c r="B963" s="87">
        <v>304</v>
      </c>
      <c r="C963" s="98" t="s">
        <v>892</v>
      </c>
      <c r="D963" s="93">
        <v>42185</v>
      </c>
      <c r="E963" s="99">
        <v>4405</v>
      </c>
      <c r="F963" s="100"/>
      <c r="G963" s="101">
        <v>35</v>
      </c>
      <c r="H963" s="102">
        <v>10</v>
      </c>
      <c r="I963" s="99">
        <v>125.85714285714286</v>
      </c>
      <c r="J963" s="99">
        <v>0</v>
      </c>
      <c r="K963" s="99">
        <v>1070.5726690234228</v>
      </c>
      <c r="L963" s="103">
        <v>3334.4273309765772</v>
      </c>
    </row>
    <row r="964" spans="1:12" x14ac:dyDescent="0.45">
      <c r="A964" s="98" t="s">
        <v>829</v>
      </c>
      <c r="B964" s="87">
        <v>307</v>
      </c>
      <c r="C964" s="98" t="s">
        <v>893</v>
      </c>
      <c r="D964" s="93">
        <v>36411</v>
      </c>
      <c r="E964" s="99">
        <v>2157</v>
      </c>
      <c r="F964" s="100"/>
      <c r="G964" s="101">
        <v>25</v>
      </c>
      <c r="H964" s="102">
        <v>25</v>
      </c>
      <c r="I964" s="99">
        <v>0</v>
      </c>
      <c r="J964" s="99">
        <v>0</v>
      </c>
      <c r="K964" s="99">
        <v>2092.8294882898804</v>
      </c>
      <c r="L964" s="103">
        <v>64.170511710119627</v>
      </c>
    </row>
    <row r="965" spans="1:12" x14ac:dyDescent="0.45">
      <c r="A965" s="98" t="s">
        <v>829</v>
      </c>
      <c r="B965" s="87">
        <v>307</v>
      </c>
      <c r="C965" s="98" t="s">
        <v>893</v>
      </c>
      <c r="D965" s="93">
        <v>37226</v>
      </c>
      <c r="E965" s="99">
        <v>4695</v>
      </c>
      <c r="F965" s="100"/>
      <c r="G965" s="101">
        <v>25</v>
      </c>
      <c r="H965" s="102">
        <v>23</v>
      </c>
      <c r="I965" s="99">
        <v>187.8</v>
      </c>
      <c r="J965" s="99">
        <v>0</v>
      </c>
      <c r="K965" s="99">
        <v>4132.7742686699066</v>
      </c>
      <c r="L965" s="103">
        <v>562.22573133009337</v>
      </c>
    </row>
    <row r="966" spans="1:12" x14ac:dyDescent="0.45">
      <c r="A966" s="98" t="s">
        <v>829</v>
      </c>
      <c r="B966" s="87">
        <v>307</v>
      </c>
      <c r="C966" s="98" t="s">
        <v>893</v>
      </c>
      <c r="D966" s="93">
        <v>37591</v>
      </c>
      <c r="E966" s="99">
        <v>17320</v>
      </c>
      <c r="F966" s="100"/>
      <c r="G966" s="101">
        <v>25</v>
      </c>
      <c r="H966" s="102">
        <v>22</v>
      </c>
      <c r="I966" s="99">
        <v>692.8</v>
      </c>
      <c r="J966" s="99">
        <v>0</v>
      </c>
      <c r="K966" s="99">
        <v>14553.131913389303</v>
      </c>
      <c r="L966" s="103">
        <v>2766.868086610697</v>
      </c>
    </row>
    <row r="967" spans="1:12" x14ac:dyDescent="0.45">
      <c r="A967" s="98" t="s">
        <v>829</v>
      </c>
      <c r="B967" s="87">
        <v>307</v>
      </c>
      <c r="C967" s="98" t="s">
        <v>894</v>
      </c>
      <c r="D967" s="93">
        <v>37803</v>
      </c>
      <c r="E967" s="99">
        <v>1657</v>
      </c>
      <c r="F967" s="100"/>
      <c r="G967" s="101">
        <v>25</v>
      </c>
      <c r="H967" s="102">
        <v>22</v>
      </c>
      <c r="I967" s="99">
        <v>66.28</v>
      </c>
      <c r="J967" s="99">
        <v>0</v>
      </c>
      <c r="K967" s="99">
        <v>1353.6310997201354</v>
      </c>
      <c r="L967" s="103">
        <v>303.36890027986465</v>
      </c>
    </row>
    <row r="968" spans="1:12" x14ac:dyDescent="0.45">
      <c r="A968" s="98" t="s">
        <v>829</v>
      </c>
      <c r="B968" s="87">
        <v>304</v>
      </c>
      <c r="C968" s="98" t="s">
        <v>895</v>
      </c>
      <c r="D968" s="93">
        <v>37956</v>
      </c>
      <c r="E968" s="99">
        <v>13902</v>
      </c>
      <c r="F968" s="100"/>
      <c r="G968" s="101">
        <v>35</v>
      </c>
      <c r="H968" s="102">
        <v>21</v>
      </c>
      <c r="I968" s="99">
        <v>397.2</v>
      </c>
      <c r="J968" s="99">
        <v>0</v>
      </c>
      <c r="K968" s="99">
        <v>7946.4835969951446</v>
      </c>
      <c r="L968" s="103">
        <v>5955.5164030048554</v>
      </c>
    </row>
    <row r="969" spans="1:12" x14ac:dyDescent="0.45">
      <c r="A969" s="98" t="s">
        <v>829</v>
      </c>
      <c r="B969" s="87">
        <v>311</v>
      </c>
      <c r="C969" s="98" t="s">
        <v>836</v>
      </c>
      <c r="D969" s="93">
        <v>39264</v>
      </c>
      <c r="E969" s="99">
        <v>2029</v>
      </c>
      <c r="F969" s="100"/>
      <c r="G969" s="101">
        <v>20</v>
      </c>
      <c r="H969" s="102">
        <v>18</v>
      </c>
      <c r="I969" s="99">
        <v>101.45</v>
      </c>
      <c r="J969" s="99">
        <v>0</v>
      </c>
      <c r="K969" s="99">
        <v>1666.1051760200321</v>
      </c>
      <c r="L969" s="103">
        <v>362.8948239799679</v>
      </c>
    </row>
    <row r="970" spans="1:12" x14ac:dyDescent="0.45">
      <c r="A970" s="98" t="s">
        <v>829</v>
      </c>
      <c r="B970" s="87">
        <v>311</v>
      </c>
      <c r="C970" s="98" t="s">
        <v>896</v>
      </c>
      <c r="D970" s="93">
        <v>39601</v>
      </c>
      <c r="E970" s="99">
        <v>8595</v>
      </c>
      <c r="F970" s="100"/>
      <c r="G970" s="101">
        <v>20</v>
      </c>
      <c r="H970" s="102">
        <v>17</v>
      </c>
      <c r="I970" s="99">
        <v>429.75</v>
      </c>
      <c r="J970" s="99">
        <v>0</v>
      </c>
      <c r="K970" s="99">
        <v>6663.8121243923997</v>
      </c>
      <c r="L970" s="103">
        <v>1931.1878756076003</v>
      </c>
    </row>
    <row r="971" spans="1:12" x14ac:dyDescent="0.45">
      <c r="A971" s="98" t="s">
        <v>829</v>
      </c>
      <c r="B971" s="87">
        <v>334</v>
      </c>
      <c r="C971" s="98" t="s">
        <v>897</v>
      </c>
      <c r="D971" s="93">
        <v>39660</v>
      </c>
      <c r="E971" s="99">
        <v>7208</v>
      </c>
      <c r="F971" s="100"/>
      <c r="G971" s="101">
        <v>20</v>
      </c>
      <c r="H971" s="102">
        <v>17</v>
      </c>
      <c r="I971" s="99">
        <v>360.4</v>
      </c>
      <c r="J971" s="99">
        <v>0</v>
      </c>
      <c r="K971" s="99">
        <v>5558.4201620268068</v>
      </c>
      <c r="L971" s="103">
        <v>1649.5798379731932</v>
      </c>
    </row>
    <row r="972" spans="1:12" x14ac:dyDescent="0.45">
      <c r="A972" s="98" t="s">
        <v>829</v>
      </c>
      <c r="B972" s="87">
        <v>320</v>
      </c>
      <c r="C972" s="98" t="s">
        <v>898</v>
      </c>
      <c r="D972" s="93">
        <v>43525</v>
      </c>
      <c r="E972" s="99">
        <v>274213.45</v>
      </c>
      <c r="F972" s="100"/>
      <c r="G972" s="101">
        <v>10</v>
      </c>
      <c r="H972" s="102">
        <v>6</v>
      </c>
      <c r="I972" s="99">
        <v>27421.345000000001</v>
      </c>
      <c r="J972" s="99">
        <v>0</v>
      </c>
      <c r="K972" s="99">
        <v>148703.74455575206</v>
      </c>
      <c r="L972" s="103">
        <v>125509.70544424796</v>
      </c>
    </row>
    <row r="973" spans="1:12" x14ac:dyDescent="0.45">
      <c r="A973" s="98" t="s">
        <v>829</v>
      </c>
      <c r="B973" s="87">
        <v>331</v>
      </c>
      <c r="C973" s="98" t="s">
        <v>899</v>
      </c>
      <c r="D973" s="93">
        <v>43497</v>
      </c>
      <c r="E973" s="99">
        <v>7000</v>
      </c>
      <c r="F973" s="100"/>
      <c r="G973" s="101">
        <v>50</v>
      </c>
      <c r="H973" s="102">
        <v>6</v>
      </c>
      <c r="I973" s="99">
        <v>140</v>
      </c>
      <c r="J973" s="99">
        <v>0</v>
      </c>
      <c r="K973" s="99">
        <v>759.20871998822076</v>
      </c>
      <c r="L973" s="103">
        <v>6240.7912800117792</v>
      </c>
    </row>
    <row r="974" spans="1:12" x14ac:dyDescent="0.45">
      <c r="A974" s="98" t="s">
        <v>829</v>
      </c>
      <c r="B974" s="87">
        <v>339</v>
      </c>
      <c r="C974" s="98" t="s">
        <v>900</v>
      </c>
      <c r="D974" s="93">
        <v>43626</v>
      </c>
      <c r="E974" s="99">
        <v>1258</v>
      </c>
      <c r="F974" s="100"/>
      <c r="G974" s="101">
        <v>10</v>
      </c>
      <c r="H974" s="102">
        <v>6</v>
      </c>
      <c r="I974" s="99">
        <v>125.8</v>
      </c>
      <c r="J974" s="99">
        <v>0</v>
      </c>
      <c r="K974" s="99">
        <v>682.20326410369728</v>
      </c>
      <c r="L974" s="103">
        <v>575.79673589630272</v>
      </c>
    </row>
    <row r="975" spans="1:12" x14ac:dyDescent="0.45">
      <c r="A975" s="98" t="s">
        <v>829</v>
      </c>
      <c r="B975" s="87">
        <v>339</v>
      </c>
      <c r="C975" s="98" t="s">
        <v>901</v>
      </c>
      <c r="D975" s="93">
        <v>43630</v>
      </c>
      <c r="E975" s="99">
        <v>730</v>
      </c>
      <c r="F975" s="100"/>
      <c r="G975" s="101">
        <v>5</v>
      </c>
      <c r="H975" s="102">
        <v>5</v>
      </c>
      <c r="I975" s="99">
        <v>0</v>
      </c>
      <c r="J975" s="99">
        <v>0</v>
      </c>
      <c r="K975" s="99">
        <v>730</v>
      </c>
      <c r="L975" s="103">
        <v>0</v>
      </c>
    </row>
    <row r="976" spans="1:12" x14ac:dyDescent="0.45">
      <c r="A976" s="98" t="s">
        <v>902</v>
      </c>
      <c r="B976" s="87">
        <v>346</v>
      </c>
      <c r="C976" s="98" t="s">
        <v>903</v>
      </c>
      <c r="D976" s="93">
        <v>45169</v>
      </c>
      <c r="E976" s="99">
        <v>4893.17</v>
      </c>
      <c r="F976" s="100"/>
      <c r="G976" s="101">
        <v>10</v>
      </c>
      <c r="H976" s="102">
        <v>2</v>
      </c>
      <c r="I976" s="99">
        <v>489.31700000000001</v>
      </c>
      <c r="J976" s="99">
        <v>0</v>
      </c>
      <c r="K976" s="99">
        <v>203.88208333333296</v>
      </c>
      <c r="L976" s="103">
        <v>4689.2879166666671</v>
      </c>
    </row>
    <row r="977" spans="1:12" x14ac:dyDescent="0.45">
      <c r="A977" s="98" t="s">
        <v>902</v>
      </c>
      <c r="B977" s="87">
        <v>346</v>
      </c>
      <c r="C977" s="98" t="s">
        <v>904</v>
      </c>
      <c r="D977" s="93">
        <v>45169</v>
      </c>
      <c r="E977" s="99">
        <v>7630.58</v>
      </c>
      <c r="F977" s="100"/>
      <c r="G977" s="101">
        <v>10</v>
      </c>
      <c r="H977" s="102">
        <v>2</v>
      </c>
      <c r="I977" s="99">
        <v>763.05799999999999</v>
      </c>
      <c r="J977" s="99">
        <v>0</v>
      </c>
      <c r="K977" s="99">
        <v>317.94083333333219</v>
      </c>
      <c r="L977" s="103">
        <v>7312.6391666666677</v>
      </c>
    </row>
    <row r="978" spans="1:12" x14ac:dyDescent="0.45">
      <c r="A978" s="98" t="s">
        <v>902</v>
      </c>
      <c r="B978" s="87">
        <v>348</v>
      </c>
      <c r="C978" s="98" t="s">
        <v>905</v>
      </c>
      <c r="D978" s="93">
        <v>45000</v>
      </c>
      <c r="E978" s="99">
        <v>5478.08</v>
      </c>
      <c r="F978" s="100"/>
      <c r="G978" s="101">
        <v>10</v>
      </c>
      <c r="H978" s="102">
        <v>2</v>
      </c>
      <c r="I978" s="99">
        <v>547.80799999999999</v>
      </c>
      <c r="J978" s="99">
        <v>0</v>
      </c>
      <c r="K978" s="99">
        <v>456.50666666666439</v>
      </c>
      <c r="L978" s="103">
        <v>5021.5733333333355</v>
      </c>
    </row>
    <row r="979" spans="1:12" x14ac:dyDescent="0.45">
      <c r="A979" s="98" t="s">
        <v>902</v>
      </c>
      <c r="B979" s="87">
        <v>348</v>
      </c>
      <c r="C979" s="98" t="s">
        <v>144</v>
      </c>
      <c r="D979" s="93">
        <v>45223</v>
      </c>
      <c r="E979" s="99">
        <v>1126.73</v>
      </c>
      <c r="F979" s="100"/>
      <c r="G979" s="101">
        <v>10</v>
      </c>
      <c r="H979" s="102">
        <v>1</v>
      </c>
      <c r="I979" s="99">
        <v>112.673</v>
      </c>
      <c r="J979" s="99">
        <v>0</v>
      </c>
      <c r="K979" s="99">
        <v>28.168249999999944</v>
      </c>
      <c r="L979" s="103">
        <v>1098.5617500000001</v>
      </c>
    </row>
    <row r="980" spans="1:12" x14ac:dyDescent="0.45">
      <c r="A980" s="98" t="s">
        <v>902</v>
      </c>
      <c r="B980" s="87">
        <v>311</v>
      </c>
      <c r="C980" s="98" t="s">
        <v>906</v>
      </c>
      <c r="D980" s="93">
        <v>45170</v>
      </c>
      <c r="E980" s="99">
        <v>2178.19</v>
      </c>
      <c r="F980" s="100"/>
      <c r="G980" s="101">
        <v>25</v>
      </c>
      <c r="H980" s="102">
        <v>2</v>
      </c>
      <c r="I980" s="99">
        <v>87.127600000000001</v>
      </c>
      <c r="J980" s="99">
        <v>0</v>
      </c>
      <c r="K980" s="99">
        <v>29.042533333333267</v>
      </c>
      <c r="L980" s="103">
        <v>2149.1474666666668</v>
      </c>
    </row>
    <row r="981" spans="1:12" x14ac:dyDescent="0.45">
      <c r="A981" s="98" t="s">
        <v>907</v>
      </c>
      <c r="B981" s="87">
        <v>303</v>
      </c>
      <c r="C981" s="98" t="s">
        <v>908</v>
      </c>
      <c r="D981" s="93">
        <v>23193</v>
      </c>
      <c r="E981" s="99">
        <v>40000</v>
      </c>
      <c r="F981" s="100"/>
      <c r="G981" s="101">
        <v>0</v>
      </c>
      <c r="H981" s="102">
        <v>0</v>
      </c>
      <c r="I981" s="99">
        <v>0</v>
      </c>
      <c r="J981" s="99">
        <v>0</v>
      </c>
      <c r="K981" s="99">
        <v>0</v>
      </c>
      <c r="L981" s="103">
        <v>40000</v>
      </c>
    </row>
    <row r="982" spans="1:12" x14ac:dyDescent="0.45">
      <c r="A982" s="98" t="s">
        <v>907</v>
      </c>
      <c r="B982" s="87">
        <v>303</v>
      </c>
      <c r="C982" s="98" t="s">
        <v>909</v>
      </c>
      <c r="D982" s="93">
        <v>23193</v>
      </c>
      <c r="E982" s="99">
        <v>23000</v>
      </c>
      <c r="F982" s="100"/>
      <c r="G982" s="101">
        <v>0</v>
      </c>
      <c r="H982" s="102">
        <v>0</v>
      </c>
      <c r="I982" s="99">
        <v>0</v>
      </c>
      <c r="J982" s="99">
        <v>0</v>
      </c>
      <c r="K982" s="99">
        <v>0</v>
      </c>
      <c r="L982" s="103">
        <v>23000</v>
      </c>
    </row>
    <row r="983" spans="1:12" x14ac:dyDescent="0.45">
      <c r="A983" s="98" t="s">
        <v>907</v>
      </c>
      <c r="B983" s="87">
        <v>331</v>
      </c>
      <c r="C983" s="98" t="s">
        <v>910</v>
      </c>
      <c r="D983" s="93">
        <v>29037</v>
      </c>
      <c r="E983" s="99">
        <v>1600</v>
      </c>
      <c r="F983" s="100"/>
      <c r="G983" s="101">
        <v>50</v>
      </c>
      <c r="H983" s="102">
        <v>46</v>
      </c>
      <c r="I983" s="99">
        <v>32</v>
      </c>
      <c r="J983" s="99">
        <v>0</v>
      </c>
      <c r="K983" s="99">
        <v>1424</v>
      </c>
      <c r="L983" s="103">
        <v>176</v>
      </c>
    </row>
    <row r="984" spans="1:12" x14ac:dyDescent="0.45">
      <c r="A984" s="98" t="s">
        <v>907</v>
      </c>
      <c r="B984" s="87">
        <v>331</v>
      </c>
      <c r="C984" s="98" t="s">
        <v>911</v>
      </c>
      <c r="D984" s="93">
        <v>29037</v>
      </c>
      <c r="E984" s="99">
        <v>17644</v>
      </c>
      <c r="F984" s="100"/>
      <c r="G984" s="101">
        <v>50</v>
      </c>
      <c r="H984" s="102">
        <v>46</v>
      </c>
      <c r="I984" s="99">
        <v>352.88</v>
      </c>
      <c r="J984" s="99">
        <v>0</v>
      </c>
      <c r="K984" s="99">
        <v>15703.16</v>
      </c>
      <c r="L984" s="103">
        <v>1940.8400000000001</v>
      </c>
    </row>
    <row r="985" spans="1:12" x14ac:dyDescent="0.45">
      <c r="A985" s="98" t="s">
        <v>907</v>
      </c>
      <c r="B985" s="87">
        <v>335</v>
      </c>
      <c r="C985" s="98" t="s">
        <v>912</v>
      </c>
      <c r="D985" s="93">
        <v>29037</v>
      </c>
      <c r="E985" s="99">
        <v>1800</v>
      </c>
      <c r="F985" s="100"/>
      <c r="G985" s="101">
        <v>10</v>
      </c>
      <c r="H985" s="102">
        <v>10</v>
      </c>
      <c r="I985" s="99">
        <v>0</v>
      </c>
      <c r="J985" s="99">
        <v>0</v>
      </c>
      <c r="K985" s="99">
        <v>1800</v>
      </c>
      <c r="L985" s="103">
        <v>0</v>
      </c>
    </row>
    <row r="986" spans="1:12" x14ac:dyDescent="0.45">
      <c r="A986" s="98" t="s">
        <v>907</v>
      </c>
      <c r="B986" s="87">
        <v>331</v>
      </c>
      <c r="C986" s="98" t="s">
        <v>913</v>
      </c>
      <c r="D986" s="93">
        <v>33055</v>
      </c>
      <c r="E986" s="99">
        <v>10300</v>
      </c>
      <c r="F986" s="100"/>
      <c r="G986" s="101">
        <v>50</v>
      </c>
      <c r="H986" s="102">
        <v>35</v>
      </c>
      <c r="I986" s="99">
        <v>206</v>
      </c>
      <c r="J986" s="99">
        <v>0</v>
      </c>
      <c r="K986" s="99">
        <v>6900.9999999999982</v>
      </c>
      <c r="L986" s="103">
        <v>3399.0000000000018</v>
      </c>
    </row>
    <row r="987" spans="1:12" x14ac:dyDescent="0.45">
      <c r="A987" s="98" t="s">
        <v>907</v>
      </c>
      <c r="B987" s="87">
        <v>330</v>
      </c>
      <c r="C987" s="98" t="s">
        <v>914</v>
      </c>
      <c r="D987" s="93">
        <v>33055</v>
      </c>
      <c r="E987" s="99">
        <v>2363</v>
      </c>
      <c r="F987" s="100"/>
      <c r="G987" s="101">
        <v>25</v>
      </c>
      <c r="H987" s="102">
        <v>25</v>
      </c>
      <c r="I987" s="99">
        <v>0</v>
      </c>
      <c r="J987" s="99">
        <v>0</v>
      </c>
      <c r="K987" s="99">
        <v>2363</v>
      </c>
      <c r="L987" s="103">
        <v>0</v>
      </c>
    </row>
    <row r="988" spans="1:12" x14ac:dyDescent="0.45">
      <c r="A988" s="98" t="s">
        <v>907</v>
      </c>
      <c r="B988" s="87">
        <v>334</v>
      </c>
      <c r="C988" s="98" t="s">
        <v>915</v>
      </c>
      <c r="D988" s="93">
        <v>36708</v>
      </c>
      <c r="E988" s="99">
        <v>500</v>
      </c>
      <c r="F988" s="100"/>
      <c r="G988" s="101">
        <v>20</v>
      </c>
      <c r="H988" s="102">
        <v>20</v>
      </c>
      <c r="I988" s="99">
        <v>0</v>
      </c>
      <c r="J988" s="99">
        <v>0</v>
      </c>
      <c r="K988" s="99">
        <v>500</v>
      </c>
      <c r="L988" s="103">
        <v>0</v>
      </c>
    </row>
    <row r="989" spans="1:12" x14ac:dyDescent="0.45">
      <c r="A989" s="98" t="s">
        <v>907</v>
      </c>
      <c r="B989" s="87">
        <v>304</v>
      </c>
      <c r="C989" s="98" t="s">
        <v>271</v>
      </c>
      <c r="D989" s="93">
        <v>36708</v>
      </c>
      <c r="E989" s="99">
        <v>2700</v>
      </c>
      <c r="F989" s="100"/>
      <c r="G989" s="101">
        <v>10</v>
      </c>
      <c r="H989" s="102">
        <v>10</v>
      </c>
      <c r="I989" s="99">
        <v>0</v>
      </c>
      <c r="J989" s="99">
        <v>0</v>
      </c>
      <c r="K989" s="99">
        <v>2700</v>
      </c>
      <c r="L989" s="103">
        <v>0</v>
      </c>
    </row>
    <row r="990" spans="1:12" x14ac:dyDescent="0.45">
      <c r="A990" s="98" t="s">
        <v>907</v>
      </c>
      <c r="B990" s="87">
        <v>331</v>
      </c>
      <c r="C990" s="98" t="s">
        <v>916</v>
      </c>
      <c r="D990" s="93">
        <v>36708</v>
      </c>
      <c r="E990" s="99">
        <v>5537</v>
      </c>
      <c r="F990" s="100"/>
      <c r="G990" s="101">
        <v>50</v>
      </c>
      <c r="H990" s="102">
        <v>25</v>
      </c>
      <c r="I990" s="99">
        <v>110.74</v>
      </c>
      <c r="J990" s="99">
        <v>0</v>
      </c>
      <c r="K990" s="99">
        <v>2602.3900000000012</v>
      </c>
      <c r="L990" s="103">
        <v>2934.6099999999988</v>
      </c>
    </row>
    <row r="991" spans="1:12" x14ac:dyDescent="0.45">
      <c r="A991" s="98" t="s">
        <v>907</v>
      </c>
      <c r="B991" s="87">
        <v>330</v>
      </c>
      <c r="C991" s="98" t="s">
        <v>917</v>
      </c>
      <c r="D991" s="93">
        <v>36708</v>
      </c>
      <c r="E991" s="99">
        <v>75000</v>
      </c>
      <c r="F991" s="100"/>
      <c r="G991" s="101">
        <v>50</v>
      </c>
      <c r="H991" s="102">
        <v>25</v>
      </c>
      <c r="I991" s="99">
        <v>1500</v>
      </c>
      <c r="J991" s="99">
        <v>0</v>
      </c>
      <c r="K991" s="99">
        <v>35250</v>
      </c>
      <c r="L991" s="103">
        <v>39750</v>
      </c>
    </row>
    <row r="992" spans="1:12" x14ac:dyDescent="0.45">
      <c r="A992" s="98" t="s">
        <v>907</v>
      </c>
      <c r="B992" s="87">
        <v>348</v>
      </c>
      <c r="C992" s="98" t="s">
        <v>918</v>
      </c>
      <c r="D992" s="93">
        <v>36708</v>
      </c>
      <c r="E992" s="99">
        <v>16000</v>
      </c>
      <c r="F992" s="100"/>
      <c r="G992" s="101">
        <v>6</v>
      </c>
      <c r="H992" s="102">
        <v>6</v>
      </c>
      <c r="I992" s="99">
        <v>0</v>
      </c>
      <c r="J992" s="99">
        <v>0</v>
      </c>
      <c r="K992" s="99">
        <v>16000</v>
      </c>
      <c r="L992" s="103">
        <v>0</v>
      </c>
    </row>
    <row r="993" spans="1:12" x14ac:dyDescent="0.45">
      <c r="A993" s="98" t="s">
        <v>907</v>
      </c>
      <c r="B993" s="87">
        <v>348</v>
      </c>
      <c r="C993" s="98" t="s">
        <v>919</v>
      </c>
      <c r="D993" s="93">
        <v>37803</v>
      </c>
      <c r="E993" s="99">
        <v>3000</v>
      </c>
      <c r="F993" s="100"/>
      <c r="G993" s="101">
        <v>6</v>
      </c>
      <c r="H993" s="102">
        <v>6</v>
      </c>
      <c r="I993" s="99">
        <v>0</v>
      </c>
      <c r="J993" s="99">
        <v>0</v>
      </c>
      <c r="K993" s="99">
        <v>3000</v>
      </c>
      <c r="L993" s="103">
        <v>0</v>
      </c>
    </row>
    <row r="994" spans="1:12" x14ac:dyDescent="0.45">
      <c r="A994" s="98" t="s">
        <v>907</v>
      </c>
      <c r="B994" s="87">
        <v>311</v>
      </c>
      <c r="C994" s="98" t="s">
        <v>920</v>
      </c>
      <c r="D994" s="93">
        <v>38534</v>
      </c>
      <c r="E994" s="99">
        <v>2247</v>
      </c>
      <c r="F994" s="100"/>
      <c r="G994" s="101">
        <v>20</v>
      </c>
      <c r="H994" s="102">
        <v>20</v>
      </c>
      <c r="I994" s="99">
        <v>112.35</v>
      </c>
      <c r="J994" s="99">
        <v>0</v>
      </c>
      <c r="K994" s="99">
        <v>2078.4749999999999</v>
      </c>
      <c r="L994" s="103">
        <v>168.52500000000009</v>
      </c>
    </row>
    <row r="995" spans="1:12" x14ac:dyDescent="0.45">
      <c r="A995" s="98" t="s">
        <v>907</v>
      </c>
      <c r="B995" s="87">
        <v>311</v>
      </c>
      <c r="C995" s="98" t="s">
        <v>921</v>
      </c>
      <c r="D995" s="93">
        <v>38534</v>
      </c>
      <c r="E995" s="99">
        <v>1000</v>
      </c>
      <c r="F995" s="100"/>
      <c r="G995" s="101">
        <v>20</v>
      </c>
      <c r="H995" s="102">
        <v>20</v>
      </c>
      <c r="I995" s="99">
        <v>50</v>
      </c>
      <c r="J995" s="99">
        <v>0</v>
      </c>
      <c r="K995" s="99">
        <v>925</v>
      </c>
      <c r="L995" s="103">
        <v>75</v>
      </c>
    </row>
    <row r="996" spans="1:12" x14ac:dyDescent="0.45">
      <c r="A996" s="98" t="s">
        <v>907</v>
      </c>
      <c r="B996" s="87">
        <v>342</v>
      </c>
      <c r="C996" s="98" t="s">
        <v>922</v>
      </c>
      <c r="D996" s="93">
        <v>38534</v>
      </c>
      <c r="E996" s="99">
        <v>2000</v>
      </c>
      <c r="F996" s="100"/>
      <c r="G996" s="101">
        <v>10</v>
      </c>
      <c r="H996" s="102">
        <v>10</v>
      </c>
      <c r="I996" s="99">
        <v>0</v>
      </c>
      <c r="J996" s="99">
        <v>0</v>
      </c>
      <c r="K996" s="99">
        <v>2000</v>
      </c>
      <c r="L996" s="103">
        <v>0</v>
      </c>
    </row>
    <row r="997" spans="1:12" x14ac:dyDescent="0.45">
      <c r="A997" s="98" t="s">
        <v>907</v>
      </c>
      <c r="B997" s="87">
        <v>334</v>
      </c>
      <c r="C997" s="98" t="s">
        <v>923</v>
      </c>
      <c r="D997" s="93">
        <v>38534</v>
      </c>
      <c r="E997" s="99">
        <v>9246</v>
      </c>
      <c r="F997" s="100"/>
      <c r="G997" s="101">
        <v>20</v>
      </c>
      <c r="H997" s="102">
        <v>20</v>
      </c>
      <c r="I997" s="99">
        <v>462.3</v>
      </c>
      <c r="J997" s="99">
        <v>0</v>
      </c>
      <c r="K997" s="99">
        <v>8552.5499999999993</v>
      </c>
      <c r="L997" s="103">
        <v>693.45000000000073</v>
      </c>
    </row>
    <row r="998" spans="1:12" x14ac:dyDescent="0.45">
      <c r="A998" s="98" t="s">
        <v>907</v>
      </c>
      <c r="B998" s="87">
        <v>334</v>
      </c>
      <c r="C998" s="98" t="s">
        <v>923</v>
      </c>
      <c r="D998" s="93">
        <v>38899</v>
      </c>
      <c r="E998" s="99">
        <v>980</v>
      </c>
      <c r="F998" s="100"/>
      <c r="G998" s="101">
        <v>20</v>
      </c>
      <c r="H998" s="102">
        <v>19</v>
      </c>
      <c r="I998" s="99">
        <v>49</v>
      </c>
      <c r="J998" s="99">
        <v>0</v>
      </c>
      <c r="K998" s="99">
        <v>857.5</v>
      </c>
      <c r="L998" s="103">
        <v>122.5</v>
      </c>
    </row>
    <row r="999" spans="1:12" x14ac:dyDescent="0.45">
      <c r="A999" s="98" t="s">
        <v>907</v>
      </c>
      <c r="B999" s="87">
        <v>304</v>
      </c>
      <c r="C999" s="98" t="s">
        <v>924</v>
      </c>
      <c r="D999" s="93">
        <v>38899</v>
      </c>
      <c r="E999" s="99">
        <v>5000</v>
      </c>
      <c r="F999" s="100"/>
      <c r="G999" s="101">
        <v>35</v>
      </c>
      <c r="H999" s="102">
        <v>19</v>
      </c>
      <c r="I999" s="99">
        <v>142.85714285714286</v>
      </c>
      <c r="J999" s="99">
        <v>0</v>
      </c>
      <c r="K999" s="99">
        <v>2500</v>
      </c>
      <c r="L999" s="103">
        <v>2500</v>
      </c>
    </row>
    <row r="1000" spans="1:12" x14ac:dyDescent="0.45">
      <c r="A1000" s="98" t="s">
        <v>907</v>
      </c>
      <c r="B1000" s="87">
        <v>311</v>
      </c>
      <c r="C1000" s="98" t="s">
        <v>925</v>
      </c>
      <c r="D1000" s="93">
        <v>38899</v>
      </c>
      <c r="E1000" s="99">
        <v>3424</v>
      </c>
      <c r="F1000" s="100"/>
      <c r="G1000" s="101">
        <v>20</v>
      </c>
      <c r="H1000" s="102">
        <v>19</v>
      </c>
      <c r="I1000" s="99">
        <v>171.2</v>
      </c>
      <c r="J1000" s="99">
        <v>0</v>
      </c>
      <c r="K1000" s="99">
        <v>2995.9999999999991</v>
      </c>
      <c r="L1000" s="103">
        <v>428.00000000000091</v>
      </c>
    </row>
    <row r="1001" spans="1:12" x14ac:dyDescent="0.45">
      <c r="A1001" s="98" t="s">
        <v>907</v>
      </c>
      <c r="B1001" s="87">
        <v>330</v>
      </c>
      <c r="C1001" s="98" t="s">
        <v>926</v>
      </c>
      <c r="D1001" s="93">
        <v>38899</v>
      </c>
      <c r="E1001" s="99">
        <v>5457</v>
      </c>
      <c r="F1001" s="100"/>
      <c r="G1001" s="101">
        <v>25</v>
      </c>
      <c r="H1001" s="102">
        <v>19</v>
      </c>
      <c r="I1001" s="99">
        <v>218.28</v>
      </c>
      <c r="J1001" s="99">
        <v>0</v>
      </c>
      <c r="K1001" s="99">
        <v>3819.9000000000005</v>
      </c>
      <c r="L1001" s="103">
        <v>1637.0999999999995</v>
      </c>
    </row>
    <row r="1002" spans="1:12" x14ac:dyDescent="0.45">
      <c r="A1002" s="98" t="s">
        <v>907</v>
      </c>
      <c r="B1002" s="87">
        <v>347</v>
      </c>
      <c r="C1002" s="98" t="s">
        <v>271</v>
      </c>
      <c r="D1002" s="93">
        <v>38899</v>
      </c>
      <c r="E1002" s="99">
        <v>2187</v>
      </c>
      <c r="F1002" s="100"/>
      <c r="G1002" s="101">
        <v>10</v>
      </c>
      <c r="H1002" s="102">
        <v>10</v>
      </c>
      <c r="I1002" s="99">
        <v>0</v>
      </c>
      <c r="J1002" s="99">
        <v>0</v>
      </c>
      <c r="K1002" s="99">
        <v>2187</v>
      </c>
      <c r="L1002" s="103">
        <v>0</v>
      </c>
    </row>
    <row r="1003" spans="1:12" x14ac:dyDescent="0.45">
      <c r="A1003" s="98" t="s">
        <v>907</v>
      </c>
      <c r="B1003" s="87">
        <v>304</v>
      </c>
      <c r="C1003" s="98" t="s">
        <v>927</v>
      </c>
      <c r="D1003" s="93">
        <v>38899</v>
      </c>
      <c r="E1003" s="99">
        <v>7000</v>
      </c>
      <c r="F1003" s="100"/>
      <c r="G1003" s="101">
        <v>35</v>
      </c>
      <c r="H1003" s="102">
        <v>19</v>
      </c>
      <c r="I1003" s="99">
        <v>200</v>
      </c>
      <c r="J1003" s="99">
        <v>0</v>
      </c>
      <c r="K1003" s="99">
        <v>3499.9999999999982</v>
      </c>
      <c r="L1003" s="103">
        <v>3500.0000000000018</v>
      </c>
    </row>
    <row r="1004" spans="1:12" x14ac:dyDescent="0.45">
      <c r="A1004" s="98" t="s">
        <v>907</v>
      </c>
      <c r="B1004" s="87">
        <v>334</v>
      </c>
      <c r="C1004" s="98" t="s">
        <v>928</v>
      </c>
      <c r="D1004" s="93">
        <v>38899</v>
      </c>
      <c r="E1004" s="99">
        <v>100</v>
      </c>
      <c r="F1004" s="100"/>
      <c r="G1004" s="101">
        <v>20</v>
      </c>
      <c r="H1004" s="102">
        <v>19</v>
      </c>
      <c r="I1004" s="99">
        <v>5</v>
      </c>
      <c r="J1004" s="99">
        <v>0</v>
      </c>
      <c r="K1004" s="99">
        <v>87.499999999999986</v>
      </c>
      <c r="L1004" s="103">
        <v>12.500000000000014</v>
      </c>
    </row>
    <row r="1005" spans="1:12" x14ac:dyDescent="0.45">
      <c r="A1005" s="98" t="s">
        <v>907</v>
      </c>
      <c r="B1005" s="87">
        <v>330</v>
      </c>
      <c r="C1005" s="98" t="s">
        <v>929</v>
      </c>
      <c r="D1005" s="93">
        <v>38899</v>
      </c>
      <c r="E1005" s="99">
        <v>10000</v>
      </c>
      <c r="F1005" s="100"/>
      <c r="G1005" s="101">
        <v>50</v>
      </c>
      <c r="H1005" s="102">
        <v>19</v>
      </c>
      <c r="I1005" s="99">
        <v>200</v>
      </c>
      <c r="J1005" s="99">
        <v>0</v>
      </c>
      <c r="K1005" s="99">
        <v>3500.0000000000027</v>
      </c>
      <c r="L1005" s="103">
        <v>6499.9999999999973</v>
      </c>
    </row>
    <row r="1006" spans="1:12" x14ac:dyDescent="0.45">
      <c r="A1006" s="98" t="s">
        <v>907</v>
      </c>
      <c r="B1006" s="87">
        <v>320</v>
      </c>
      <c r="C1006" s="98" t="s">
        <v>930</v>
      </c>
      <c r="D1006" s="93">
        <v>39630</v>
      </c>
      <c r="E1006" s="99">
        <v>400</v>
      </c>
      <c r="F1006" s="100"/>
      <c r="G1006" s="101">
        <v>20</v>
      </c>
      <c r="H1006" s="102">
        <v>17</v>
      </c>
      <c r="I1006" s="99">
        <v>20</v>
      </c>
      <c r="J1006" s="99">
        <v>0</v>
      </c>
      <c r="K1006" s="99">
        <v>310.00000000000006</v>
      </c>
      <c r="L1006" s="103">
        <v>89.999999999999943</v>
      </c>
    </row>
    <row r="1007" spans="1:12" x14ac:dyDescent="0.45">
      <c r="A1007" s="98" t="s">
        <v>907</v>
      </c>
      <c r="B1007" s="87">
        <v>311</v>
      </c>
      <c r="C1007" s="98" t="s">
        <v>931</v>
      </c>
      <c r="D1007" s="93">
        <v>39630</v>
      </c>
      <c r="E1007" s="99">
        <v>3507</v>
      </c>
      <c r="F1007" s="100"/>
      <c r="G1007" s="101">
        <v>20</v>
      </c>
      <c r="H1007" s="102">
        <v>17</v>
      </c>
      <c r="I1007" s="99">
        <v>175.35</v>
      </c>
      <c r="J1007" s="99">
        <v>0</v>
      </c>
      <c r="K1007" s="99">
        <v>2717.9249999999993</v>
      </c>
      <c r="L1007" s="103">
        <v>789.07500000000073</v>
      </c>
    </row>
    <row r="1008" spans="1:12" x14ac:dyDescent="0.45">
      <c r="A1008" s="98" t="s">
        <v>907</v>
      </c>
      <c r="B1008" s="87">
        <v>334</v>
      </c>
      <c r="C1008" s="98" t="s">
        <v>923</v>
      </c>
      <c r="D1008" s="93">
        <v>39630</v>
      </c>
      <c r="E1008" s="99">
        <v>3190</v>
      </c>
      <c r="F1008" s="100"/>
      <c r="G1008" s="101">
        <v>20</v>
      </c>
      <c r="H1008" s="102">
        <v>17</v>
      </c>
      <c r="I1008" s="99">
        <v>159.5</v>
      </c>
      <c r="J1008" s="99">
        <v>0</v>
      </c>
      <c r="K1008" s="99">
        <v>2472.25</v>
      </c>
      <c r="L1008" s="103">
        <v>717.75</v>
      </c>
    </row>
    <row r="1009" spans="1:12" x14ac:dyDescent="0.45">
      <c r="A1009" s="98" t="s">
        <v>907</v>
      </c>
      <c r="B1009" s="87">
        <v>334</v>
      </c>
      <c r="C1009" s="98" t="s">
        <v>923</v>
      </c>
      <c r="D1009" s="93">
        <v>39995</v>
      </c>
      <c r="E1009" s="99">
        <v>1575</v>
      </c>
      <c r="F1009" s="100"/>
      <c r="G1009" s="101">
        <v>20</v>
      </c>
      <c r="H1009" s="102">
        <v>16</v>
      </c>
      <c r="I1009" s="99">
        <v>78.75</v>
      </c>
      <c r="J1009" s="99">
        <v>0</v>
      </c>
      <c r="K1009" s="99">
        <v>1141.875</v>
      </c>
      <c r="L1009" s="103">
        <v>433.125</v>
      </c>
    </row>
    <row r="1010" spans="1:12" x14ac:dyDescent="0.45">
      <c r="A1010" s="98" t="s">
        <v>907</v>
      </c>
      <c r="B1010" s="87">
        <v>320</v>
      </c>
      <c r="C1010" s="98" t="s">
        <v>930</v>
      </c>
      <c r="D1010" s="93">
        <v>40360</v>
      </c>
      <c r="E1010" s="99">
        <v>400</v>
      </c>
      <c r="F1010" s="100"/>
      <c r="G1010" s="101">
        <v>20</v>
      </c>
      <c r="H1010" s="102">
        <v>15</v>
      </c>
      <c r="I1010" s="99">
        <v>20</v>
      </c>
      <c r="J1010" s="99">
        <v>0</v>
      </c>
      <c r="K1010" s="99">
        <v>269.99999999999989</v>
      </c>
      <c r="L1010" s="103">
        <v>130.00000000000011</v>
      </c>
    </row>
    <row r="1011" spans="1:12" x14ac:dyDescent="0.45">
      <c r="A1011" s="98" t="s">
        <v>907</v>
      </c>
      <c r="B1011" s="87">
        <v>320</v>
      </c>
      <c r="C1011" s="98" t="s">
        <v>932</v>
      </c>
      <c r="D1011" s="93">
        <v>40360</v>
      </c>
      <c r="E1011" s="99">
        <v>450</v>
      </c>
      <c r="F1011" s="100"/>
      <c r="G1011" s="101">
        <v>20</v>
      </c>
      <c r="H1011" s="102">
        <v>15</v>
      </c>
      <c r="I1011" s="99">
        <v>22.5</v>
      </c>
      <c r="J1011" s="99">
        <v>0</v>
      </c>
      <c r="K1011" s="99">
        <v>303.75</v>
      </c>
      <c r="L1011" s="103">
        <v>146.25</v>
      </c>
    </row>
    <row r="1012" spans="1:12" x14ac:dyDescent="0.45">
      <c r="A1012" s="98" t="s">
        <v>907</v>
      </c>
      <c r="B1012" s="87">
        <v>334</v>
      </c>
      <c r="C1012" s="98" t="s">
        <v>923</v>
      </c>
      <c r="D1012" s="93">
        <v>40360</v>
      </c>
      <c r="E1012" s="99">
        <v>370</v>
      </c>
      <c r="F1012" s="100"/>
      <c r="G1012" s="101">
        <v>20</v>
      </c>
      <c r="H1012" s="102">
        <v>15</v>
      </c>
      <c r="I1012" s="99">
        <v>18.5</v>
      </c>
      <c r="J1012" s="99">
        <v>0</v>
      </c>
      <c r="K1012" s="99">
        <v>249.75</v>
      </c>
      <c r="L1012" s="103">
        <v>120.25</v>
      </c>
    </row>
    <row r="1013" spans="1:12" x14ac:dyDescent="0.45">
      <c r="A1013" s="98" t="s">
        <v>907</v>
      </c>
      <c r="B1013" s="87">
        <v>334</v>
      </c>
      <c r="C1013" s="98" t="s">
        <v>928</v>
      </c>
      <c r="D1013" s="93">
        <v>40360</v>
      </c>
      <c r="E1013" s="99">
        <v>12900</v>
      </c>
      <c r="F1013" s="100"/>
      <c r="G1013" s="101">
        <v>20</v>
      </c>
      <c r="H1013" s="102">
        <v>15</v>
      </c>
      <c r="I1013" s="99">
        <v>645</v>
      </c>
      <c r="J1013" s="99">
        <v>0</v>
      </c>
      <c r="K1013" s="99">
        <v>8707.5</v>
      </c>
      <c r="L1013" s="103">
        <v>4192.5</v>
      </c>
    </row>
    <row r="1014" spans="1:12" x14ac:dyDescent="0.45">
      <c r="A1014" s="98" t="s">
        <v>907</v>
      </c>
      <c r="B1014" s="87">
        <v>311</v>
      </c>
      <c r="C1014" s="98" t="s">
        <v>933</v>
      </c>
      <c r="D1014" s="93">
        <v>40725</v>
      </c>
      <c r="E1014" s="99">
        <v>500</v>
      </c>
      <c r="F1014" s="100"/>
      <c r="G1014" s="101">
        <v>20</v>
      </c>
      <c r="H1014" s="102">
        <v>14</v>
      </c>
      <c r="I1014" s="99">
        <v>25</v>
      </c>
      <c r="J1014" s="99">
        <v>0</v>
      </c>
      <c r="K1014" s="99">
        <v>312.50000000000011</v>
      </c>
      <c r="L1014" s="103">
        <v>187.49999999999989</v>
      </c>
    </row>
    <row r="1015" spans="1:12" x14ac:dyDescent="0.45">
      <c r="A1015" s="98" t="s">
        <v>907</v>
      </c>
      <c r="B1015" s="87">
        <v>334</v>
      </c>
      <c r="C1015" s="98" t="s">
        <v>923</v>
      </c>
      <c r="D1015" s="93">
        <v>40725</v>
      </c>
      <c r="E1015" s="99">
        <v>2910</v>
      </c>
      <c r="F1015" s="100"/>
      <c r="G1015" s="101">
        <v>20</v>
      </c>
      <c r="H1015" s="102">
        <v>14</v>
      </c>
      <c r="I1015" s="99">
        <v>145.5</v>
      </c>
      <c r="J1015" s="99">
        <v>0</v>
      </c>
      <c r="K1015" s="99">
        <v>1818.75</v>
      </c>
      <c r="L1015" s="103">
        <v>1091.25</v>
      </c>
    </row>
    <row r="1016" spans="1:12" x14ac:dyDescent="0.45">
      <c r="A1016" s="98" t="s">
        <v>907</v>
      </c>
      <c r="B1016" s="87">
        <v>311</v>
      </c>
      <c r="C1016" s="98" t="s">
        <v>932</v>
      </c>
      <c r="D1016" s="93">
        <v>41091</v>
      </c>
      <c r="E1016" s="99">
        <v>400</v>
      </c>
      <c r="F1016" s="100"/>
      <c r="G1016" s="101">
        <v>20</v>
      </c>
      <c r="H1016" s="102">
        <v>13</v>
      </c>
      <c r="I1016" s="99">
        <v>20</v>
      </c>
      <c r="J1016" s="99">
        <v>0</v>
      </c>
      <c r="K1016" s="99">
        <v>229.99999999999991</v>
      </c>
      <c r="L1016" s="103">
        <v>170.00000000000009</v>
      </c>
    </row>
    <row r="1017" spans="1:12" x14ac:dyDescent="0.45">
      <c r="A1017" s="98" t="s">
        <v>907</v>
      </c>
      <c r="B1017" s="87">
        <v>320</v>
      </c>
      <c r="C1017" s="98" t="s">
        <v>933</v>
      </c>
      <c r="D1017" s="93">
        <v>41091</v>
      </c>
      <c r="E1017" s="99">
        <v>400</v>
      </c>
      <c r="F1017" s="100"/>
      <c r="G1017" s="101">
        <v>20</v>
      </c>
      <c r="H1017" s="102">
        <v>13</v>
      </c>
      <c r="I1017" s="99">
        <v>20</v>
      </c>
      <c r="J1017" s="99">
        <v>0</v>
      </c>
      <c r="K1017" s="99">
        <v>229.99999999999991</v>
      </c>
      <c r="L1017" s="103">
        <v>170.00000000000009</v>
      </c>
    </row>
    <row r="1018" spans="1:12" x14ac:dyDescent="0.45">
      <c r="A1018" s="98" t="s">
        <v>907</v>
      </c>
      <c r="B1018" s="87">
        <v>320</v>
      </c>
      <c r="C1018" s="98" t="s">
        <v>934</v>
      </c>
      <c r="D1018" s="93">
        <v>41091</v>
      </c>
      <c r="E1018" s="99">
        <v>200</v>
      </c>
      <c r="F1018" s="100"/>
      <c r="G1018" s="101">
        <v>20</v>
      </c>
      <c r="H1018" s="102">
        <v>13</v>
      </c>
      <c r="I1018" s="99">
        <v>10</v>
      </c>
      <c r="J1018" s="99">
        <v>0</v>
      </c>
      <c r="K1018" s="99">
        <v>114.99999999999996</v>
      </c>
      <c r="L1018" s="103">
        <v>85.000000000000043</v>
      </c>
    </row>
    <row r="1019" spans="1:12" x14ac:dyDescent="0.45">
      <c r="A1019" s="98" t="s">
        <v>907</v>
      </c>
      <c r="B1019" s="87">
        <v>334</v>
      </c>
      <c r="C1019" s="98" t="s">
        <v>923</v>
      </c>
      <c r="D1019" s="93">
        <v>41091</v>
      </c>
      <c r="E1019" s="99">
        <v>4400</v>
      </c>
      <c r="F1019" s="100"/>
      <c r="G1019" s="101">
        <v>20</v>
      </c>
      <c r="H1019" s="102">
        <v>13</v>
      </c>
      <c r="I1019" s="99">
        <v>220</v>
      </c>
      <c r="J1019" s="99">
        <v>0</v>
      </c>
      <c r="K1019" s="99">
        <v>2529.9999999999995</v>
      </c>
      <c r="L1019" s="103">
        <v>1870.0000000000005</v>
      </c>
    </row>
    <row r="1020" spans="1:12" x14ac:dyDescent="0.45">
      <c r="A1020" s="98" t="s">
        <v>907</v>
      </c>
      <c r="B1020" s="87">
        <v>307</v>
      </c>
      <c r="C1020" s="98" t="s">
        <v>935</v>
      </c>
      <c r="D1020" s="93">
        <v>41091</v>
      </c>
      <c r="E1020" s="99">
        <v>5338</v>
      </c>
      <c r="F1020" s="100"/>
      <c r="G1020" s="101">
        <v>25</v>
      </c>
      <c r="H1020" s="102">
        <v>13</v>
      </c>
      <c r="I1020" s="99">
        <v>213.52</v>
      </c>
      <c r="J1020" s="99">
        <v>0</v>
      </c>
      <c r="K1020" s="99">
        <v>2455.4800000000023</v>
      </c>
      <c r="L1020" s="103">
        <v>2882.5199999999977</v>
      </c>
    </row>
    <row r="1021" spans="1:12" x14ac:dyDescent="0.45">
      <c r="A1021" s="98" t="s">
        <v>907</v>
      </c>
      <c r="B1021" s="87">
        <v>304</v>
      </c>
      <c r="C1021" s="98" t="s">
        <v>924</v>
      </c>
      <c r="D1021" s="93">
        <v>41091</v>
      </c>
      <c r="E1021" s="99">
        <v>5000</v>
      </c>
      <c r="F1021" s="100"/>
      <c r="G1021" s="101">
        <v>35</v>
      </c>
      <c r="H1021" s="102">
        <v>13</v>
      </c>
      <c r="I1021" s="99">
        <v>142.85714285714286</v>
      </c>
      <c r="J1021" s="99">
        <v>0</v>
      </c>
      <c r="K1021" s="99">
        <v>1642.8571428571431</v>
      </c>
      <c r="L1021" s="103">
        <v>3357.1428571428569</v>
      </c>
    </row>
    <row r="1022" spans="1:12" x14ac:dyDescent="0.45">
      <c r="A1022" s="98" t="s">
        <v>907</v>
      </c>
      <c r="B1022" s="87">
        <v>311</v>
      </c>
      <c r="C1022" s="98" t="s">
        <v>936</v>
      </c>
      <c r="D1022" s="93">
        <v>41091</v>
      </c>
      <c r="E1022" s="99">
        <v>1115</v>
      </c>
      <c r="F1022" s="100"/>
      <c r="G1022" s="101">
        <v>20</v>
      </c>
      <c r="H1022" s="102">
        <v>13</v>
      </c>
      <c r="I1022" s="99">
        <v>55.75</v>
      </c>
      <c r="J1022" s="99">
        <v>0</v>
      </c>
      <c r="K1022" s="99">
        <v>641.125</v>
      </c>
      <c r="L1022" s="103">
        <v>473.875</v>
      </c>
    </row>
    <row r="1023" spans="1:12" x14ac:dyDescent="0.45">
      <c r="A1023" s="98" t="s">
        <v>907</v>
      </c>
      <c r="B1023" s="87">
        <v>330</v>
      </c>
      <c r="C1023" s="98" t="s">
        <v>926</v>
      </c>
      <c r="D1023" s="93">
        <v>41091</v>
      </c>
      <c r="E1023" s="99">
        <v>3308</v>
      </c>
      <c r="F1023" s="100"/>
      <c r="G1023" s="101">
        <v>25</v>
      </c>
      <c r="H1023" s="102">
        <v>13</v>
      </c>
      <c r="I1023" s="99">
        <v>132.32</v>
      </c>
      <c r="J1023" s="99">
        <v>0</v>
      </c>
      <c r="K1023" s="99">
        <v>1521.6799999999998</v>
      </c>
      <c r="L1023" s="103">
        <v>1786.3200000000002</v>
      </c>
    </row>
    <row r="1024" spans="1:12" x14ac:dyDescent="0.45">
      <c r="A1024" s="98" t="s">
        <v>907</v>
      </c>
      <c r="B1024" s="87">
        <v>342</v>
      </c>
      <c r="C1024" s="98" t="s">
        <v>271</v>
      </c>
      <c r="D1024" s="93">
        <v>41091</v>
      </c>
      <c r="E1024" s="99">
        <v>2200</v>
      </c>
      <c r="F1024" s="100"/>
      <c r="G1024" s="101">
        <v>10</v>
      </c>
      <c r="H1024" s="102">
        <v>10</v>
      </c>
      <c r="I1024" s="99">
        <v>0</v>
      </c>
      <c r="J1024" s="99">
        <v>0</v>
      </c>
      <c r="K1024" s="99">
        <v>2200</v>
      </c>
      <c r="L1024" s="103">
        <v>0</v>
      </c>
    </row>
    <row r="1025" spans="1:12" x14ac:dyDescent="0.45">
      <c r="A1025" s="98" t="s">
        <v>907</v>
      </c>
      <c r="B1025" s="87">
        <v>334</v>
      </c>
      <c r="C1025" s="98" t="s">
        <v>928</v>
      </c>
      <c r="D1025" s="93">
        <v>41091</v>
      </c>
      <c r="E1025" s="99">
        <v>200</v>
      </c>
      <c r="F1025" s="100"/>
      <c r="G1025" s="101">
        <v>20</v>
      </c>
      <c r="H1025" s="102">
        <v>13</v>
      </c>
      <c r="I1025" s="99">
        <v>10</v>
      </c>
      <c r="J1025" s="99">
        <v>0</v>
      </c>
      <c r="K1025" s="99">
        <v>114.99999999999996</v>
      </c>
      <c r="L1025" s="103">
        <v>85.000000000000043</v>
      </c>
    </row>
    <row r="1026" spans="1:12" x14ac:dyDescent="0.45">
      <c r="A1026" s="98" t="s">
        <v>907</v>
      </c>
      <c r="B1026" s="87">
        <v>331</v>
      </c>
      <c r="C1026" s="98" t="s">
        <v>937</v>
      </c>
      <c r="D1026" s="93">
        <v>41091</v>
      </c>
      <c r="E1026" s="99">
        <v>1565</v>
      </c>
      <c r="F1026" s="100"/>
      <c r="G1026" s="101">
        <v>50</v>
      </c>
      <c r="H1026" s="102">
        <v>13</v>
      </c>
      <c r="I1026" s="99">
        <v>31.3</v>
      </c>
      <c r="J1026" s="99">
        <v>0</v>
      </c>
      <c r="K1026" s="99">
        <v>359.95000000000027</v>
      </c>
      <c r="L1026" s="103">
        <v>1205.0499999999997</v>
      </c>
    </row>
    <row r="1027" spans="1:12" x14ac:dyDescent="0.45">
      <c r="A1027" s="98" t="s">
        <v>907</v>
      </c>
      <c r="B1027" s="87">
        <v>348</v>
      </c>
      <c r="C1027" s="98" t="s">
        <v>919</v>
      </c>
      <c r="D1027" s="93">
        <v>41091</v>
      </c>
      <c r="E1027" s="99">
        <v>7000</v>
      </c>
      <c r="F1027" s="100"/>
      <c r="G1027" s="101">
        <v>6</v>
      </c>
      <c r="H1027" s="102">
        <v>6</v>
      </c>
      <c r="I1027" s="99">
        <v>0</v>
      </c>
      <c r="J1027" s="99">
        <v>0</v>
      </c>
      <c r="K1027" s="99">
        <v>7000</v>
      </c>
      <c r="L1027" s="103">
        <v>0</v>
      </c>
    </row>
    <row r="1028" spans="1:12" x14ac:dyDescent="0.45">
      <c r="A1028" s="98" t="s">
        <v>907</v>
      </c>
      <c r="B1028" s="87">
        <v>334</v>
      </c>
      <c r="C1028" s="98" t="s">
        <v>938</v>
      </c>
      <c r="D1028" s="93">
        <v>41456</v>
      </c>
      <c r="E1028" s="99">
        <v>1220</v>
      </c>
      <c r="F1028" s="100"/>
      <c r="G1028" s="101">
        <v>20</v>
      </c>
      <c r="H1028" s="102">
        <v>12</v>
      </c>
      <c r="I1028" s="99">
        <v>61</v>
      </c>
      <c r="J1028" s="99">
        <v>0</v>
      </c>
      <c r="K1028" s="99">
        <v>640.50000000000045</v>
      </c>
      <c r="L1028" s="103">
        <v>579.49999999999955</v>
      </c>
    </row>
    <row r="1029" spans="1:12" x14ac:dyDescent="0.45">
      <c r="A1029" s="98" t="s">
        <v>907</v>
      </c>
      <c r="B1029" s="87">
        <v>334</v>
      </c>
      <c r="C1029" s="98" t="s">
        <v>923</v>
      </c>
      <c r="D1029" s="93">
        <v>41456</v>
      </c>
      <c r="E1029" s="99">
        <v>4635</v>
      </c>
      <c r="F1029" s="100"/>
      <c r="G1029" s="101">
        <v>20</v>
      </c>
      <c r="H1029" s="102">
        <v>12</v>
      </c>
      <c r="I1029" s="99">
        <v>231.75</v>
      </c>
      <c r="J1029" s="99">
        <v>0</v>
      </c>
      <c r="K1029" s="99">
        <v>2433.375</v>
      </c>
      <c r="L1029" s="103">
        <v>2201.625</v>
      </c>
    </row>
    <row r="1030" spans="1:12" x14ac:dyDescent="0.45">
      <c r="A1030" s="98" t="s">
        <v>907</v>
      </c>
      <c r="B1030" s="87">
        <v>311</v>
      </c>
      <c r="C1030" s="98" t="s">
        <v>939</v>
      </c>
      <c r="D1030" s="93">
        <v>41456</v>
      </c>
      <c r="E1030" s="99">
        <v>2851</v>
      </c>
      <c r="F1030" s="100"/>
      <c r="G1030" s="101">
        <v>20</v>
      </c>
      <c r="H1030" s="102">
        <v>12</v>
      </c>
      <c r="I1030" s="99">
        <v>142.55000000000001</v>
      </c>
      <c r="J1030" s="99">
        <v>0</v>
      </c>
      <c r="K1030" s="99">
        <v>1496.7749999999996</v>
      </c>
      <c r="L1030" s="103">
        <v>1354.2250000000004</v>
      </c>
    </row>
    <row r="1031" spans="1:12" x14ac:dyDescent="0.45">
      <c r="A1031" s="98" t="s">
        <v>907</v>
      </c>
      <c r="B1031" s="87">
        <v>334</v>
      </c>
      <c r="C1031" s="98" t="s">
        <v>923</v>
      </c>
      <c r="D1031" s="93">
        <v>41821</v>
      </c>
      <c r="E1031" s="99">
        <v>6210</v>
      </c>
      <c r="F1031" s="100"/>
      <c r="G1031" s="101">
        <v>20</v>
      </c>
      <c r="H1031" s="102">
        <v>11</v>
      </c>
      <c r="I1031" s="99">
        <v>310.5</v>
      </c>
      <c r="J1031" s="99">
        <v>0</v>
      </c>
      <c r="K1031" s="99">
        <v>2949.75</v>
      </c>
      <c r="L1031" s="103">
        <v>3260.25</v>
      </c>
    </row>
    <row r="1032" spans="1:12" x14ac:dyDescent="0.45">
      <c r="A1032" s="98" t="s">
        <v>907</v>
      </c>
      <c r="B1032" s="87">
        <v>334</v>
      </c>
      <c r="C1032" s="98" t="s">
        <v>923</v>
      </c>
      <c r="D1032" s="93">
        <v>42186</v>
      </c>
      <c r="E1032" s="99">
        <v>2550</v>
      </c>
      <c r="F1032" s="100"/>
      <c r="G1032" s="101">
        <v>20</v>
      </c>
      <c r="H1032" s="102">
        <v>10</v>
      </c>
      <c r="I1032" s="99">
        <v>127.5</v>
      </c>
      <c r="J1032" s="99">
        <v>0</v>
      </c>
      <c r="K1032" s="99">
        <v>1083.75</v>
      </c>
      <c r="L1032" s="103">
        <v>1466.25</v>
      </c>
    </row>
    <row r="1033" spans="1:12" x14ac:dyDescent="0.45">
      <c r="A1033" s="98" t="s">
        <v>907</v>
      </c>
      <c r="B1033" s="87">
        <v>334</v>
      </c>
      <c r="C1033" s="98" t="s">
        <v>923</v>
      </c>
      <c r="D1033" s="93">
        <v>42186</v>
      </c>
      <c r="E1033" s="99">
        <v>1800</v>
      </c>
      <c r="F1033" s="100"/>
      <c r="G1033" s="101">
        <v>20</v>
      </c>
      <c r="H1033" s="102">
        <v>10</v>
      </c>
      <c r="I1033" s="99">
        <v>90</v>
      </c>
      <c r="J1033" s="99">
        <v>0</v>
      </c>
      <c r="K1033" s="99">
        <v>765</v>
      </c>
      <c r="L1033" s="103">
        <v>1035</v>
      </c>
    </row>
    <row r="1034" spans="1:12" x14ac:dyDescent="0.45">
      <c r="A1034" s="98" t="s">
        <v>907</v>
      </c>
      <c r="B1034" s="87">
        <v>311</v>
      </c>
      <c r="C1034" s="98" t="s">
        <v>940</v>
      </c>
      <c r="D1034" s="93">
        <v>42552</v>
      </c>
      <c r="E1034" s="99">
        <v>4440</v>
      </c>
      <c r="F1034" s="100"/>
      <c r="G1034" s="101">
        <v>20</v>
      </c>
      <c r="H1034" s="102">
        <v>9</v>
      </c>
      <c r="I1034" s="99">
        <v>222</v>
      </c>
      <c r="J1034" s="99">
        <v>0</v>
      </c>
      <c r="K1034" s="99">
        <v>1665</v>
      </c>
      <c r="L1034" s="103">
        <v>2775</v>
      </c>
    </row>
    <row r="1035" spans="1:12" x14ac:dyDescent="0.45">
      <c r="A1035" s="98" t="s">
        <v>907</v>
      </c>
      <c r="B1035" s="87">
        <v>342</v>
      </c>
      <c r="C1035" s="98" t="s">
        <v>941</v>
      </c>
      <c r="D1035" s="93">
        <v>42552</v>
      </c>
      <c r="E1035" s="99">
        <v>725</v>
      </c>
      <c r="F1035" s="100"/>
      <c r="G1035" s="101">
        <v>10</v>
      </c>
      <c r="H1035" s="102">
        <v>9</v>
      </c>
      <c r="I1035" s="99">
        <v>72.5</v>
      </c>
      <c r="J1035" s="99">
        <v>0</v>
      </c>
      <c r="K1035" s="99">
        <v>543.74999999999989</v>
      </c>
      <c r="L1035" s="103">
        <v>181.25000000000011</v>
      </c>
    </row>
    <row r="1036" spans="1:12" x14ac:dyDescent="0.45">
      <c r="A1036" s="98" t="s">
        <v>907</v>
      </c>
      <c r="B1036" s="87">
        <v>334</v>
      </c>
      <c r="C1036" s="98" t="s">
        <v>923</v>
      </c>
      <c r="D1036" s="93">
        <v>42552</v>
      </c>
      <c r="E1036" s="99">
        <v>4200</v>
      </c>
      <c r="F1036" s="100"/>
      <c r="G1036" s="101">
        <v>20</v>
      </c>
      <c r="H1036" s="102">
        <v>9</v>
      </c>
      <c r="I1036" s="99">
        <v>210</v>
      </c>
      <c r="J1036" s="99">
        <v>0</v>
      </c>
      <c r="K1036" s="99">
        <v>1575</v>
      </c>
      <c r="L1036" s="103">
        <v>2625</v>
      </c>
    </row>
    <row r="1037" spans="1:12" x14ac:dyDescent="0.45">
      <c r="A1037" s="98" t="s">
        <v>907</v>
      </c>
      <c r="B1037" s="87">
        <v>311</v>
      </c>
      <c r="C1037" s="98" t="s">
        <v>942</v>
      </c>
      <c r="D1037" s="93">
        <v>42917</v>
      </c>
      <c r="E1037" s="99">
        <v>6864</v>
      </c>
      <c r="F1037" s="100"/>
      <c r="G1037" s="101">
        <v>20</v>
      </c>
      <c r="H1037" s="102">
        <v>8</v>
      </c>
      <c r="I1037" s="99">
        <v>343.2</v>
      </c>
      <c r="J1037" s="99">
        <v>0</v>
      </c>
      <c r="K1037" s="99">
        <v>2230.8000000000038</v>
      </c>
      <c r="L1037" s="103">
        <v>4633.1999999999962</v>
      </c>
    </row>
    <row r="1038" spans="1:12" x14ac:dyDescent="0.45">
      <c r="A1038" s="98" t="s">
        <v>907</v>
      </c>
      <c r="B1038" s="87">
        <v>311</v>
      </c>
      <c r="C1038" s="98" t="s">
        <v>920</v>
      </c>
      <c r="D1038" s="93">
        <v>42917</v>
      </c>
      <c r="E1038" s="99">
        <v>3203</v>
      </c>
      <c r="F1038" s="100"/>
      <c r="G1038" s="101">
        <v>20</v>
      </c>
      <c r="H1038" s="102">
        <v>8</v>
      </c>
      <c r="I1038" s="99">
        <v>160.15</v>
      </c>
      <c r="J1038" s="99">
        <v>0</v>
      </c>
      <c r="K1038" s="99">
        <v>1040.9749999999999</v>
      </c>
      <c r="L1038" s="103">
        <v>2162.0250000000001</v>
      </c>
    </row>
    <row r="1039" spans="1:12" x14ac:dyDescent="0.45">
      <c r="A1039" s="98" t="s">
        <v>907</v>
      </c>
      <c r="B1039" s="87">
        <v>334</v>
      </c>
      <c r="C1039" s="98" t="s">
        <v>923</v>
      </c>
      <c r="D1039" s="93">
        <v>42917</v>
      </c>
      <c r="E1039" s="99">
        <v>3193</v>
      </c>
      <c r="F1039" s="100"/>
      <c r="G1039" s="101">
        <v>20</v>
      </c>
      <c r="H1039" s="102">
        <v>8</v>
      </c>
      <c r="I1039" s="99">
        <v>159.65</v>
      </c>
      <c r="J1039" s="99">
        <v>0</v>
      </c>
      <c r="K1039" s="99">
        <v>1037.7250000000013</v>
      </c>
      <c r="L1039" s="103">
        <v>2155.2749999999987</v>
      </c>
    </row>
    <row r="1040" spans="1:12" x14ac:dyDescent="0.45">
      <c r="A1040" s="98" t="s">
        <v>907</v>
      </c>
      <c r="B1040" s="87">
        <v>334</v>
      </c>
      <c r="C1040" s="98" t="s">
        <v>923</v>
      </c>
      <c r="D1040" s="93">
        <v>43282</v>
      </c>
      <c r="E1040" s="99">
        <v>1900</v>
      </c>
      <c r="F1040" s="100"/>
      <c r="G1040" s="101">
        <v>20</v>
      </c>
      <c r="H1040" s="102">
        <v>7</v>
      </c>
      <c r="I1040" s="99">
        <v>95</v>
      </c>
      <c r="J1040" s="99">
        <v>0</v>
      </c>
      <c r="K1040" s="99">
        <v>522.50000000000068</v>
      </c>
      <c r="L1040" s="103">
        <v>1377.4999999999993</v>
      </c>
    </row>
    <row r="1041" spans="1:12" x14ac:dyDescent="0.45">
      <c r="A1041" s="98" t="s">
        <v>907</v>
      </c>
      <c r="B1041" s="87">
        <v>348</v>
      </c>
      <c r="C1041" s="98" t="s">
        <v>918</v>
      </c>
      <c r="D1041" s="93">
        <v>43876</v>
      </c>
      <c r="E1041" s="99">
        <v>16240</v>
      </c>
      <c r="F1041" s="100"/>
      <c r="G1041" s="101">
        <v>6</v>
      </c>
      <c r="H1041" s="102">
        <v>5</v>
      </c>
      <c r="I1041" s="99">
        <v>2706.6666666666665</v>
      </c>
      <c r="J1041" s="99">
        <v>0</v>
      </c>
      <c r="K1041" s="99">
        <v>10495.851851851854</v>
      </c>
      <c r="L1041" s="103">
        <v>5744.148148148146</v>
      </c>
    </row>
    <row r="1042" spans="1:12" x14ac:dyDescent="0.45">
      <c r="A1042" s="105" t="s">
        <v>943</v>
      </c>
      <c r="B1042" s="87">
        <v>334</v>
      </c>
      <c r="C1042" s="98" t="s">
        <v>944</v>
      </c>
      <c r="D1042" s="93">
        <v>44129</v>
      </c>
      <c r="E1042" s="99">
        <v>203.3</v>
      </c>
      <c r="F1042" s="100"/>
      <c r="G1042" s="101">
        <v>25</v>
      </c>
      <c r="H1042" s="102">
        <v>4</v>
      </c>
      <c r="I1042" s="99">
        <v>8.1319999999999997</v>
      </c>
      <c r="J1042" s="99">
        <v>0</v>
      </c>
      <c r="K1042" s="99">
        <v>26.428999999999462</v>
      </c>
      <c r="L1042" s="103">
        <v>176.87100000000055</v>
      </c>
    </row>
    <row r="1043" spans="1:12" x14ac:dyDescent="0.45">
      <c r="A1043" s="98" t="s">
        <v>945</v>
      </c>
      <c r="B1043" s="87">
        <v>340</v>
      </c>
      <c r="C1043" s="98" t="s">
        <v>946</v>
      </c>
      <c r="D1043" s="93">
        <v>43466</v>
      </c>
      <c r="E1043" s="99">
        <v>2585</v>
      </c>
      <c r="F1043" s="100"/>
      <c r="G1043" s="101">
        <v>5</v>
      </c>
      <c r="H1043" s="102">
        <v>5</v>
      </c>
      <c r="I1043" s="99">
        <v>0</v>
      </c>
      <c r="J1043" s="99">
        <v>0</v>
      </c>
      <c r="K1043" s="99">
        <v>2585.0000000000005</v>
      </c>
      <c r="L1043" s="103">
        <v>0</v>
      </c>
    </row>
    <row r="1044" spans="1:12" x14ac:dyDescent="0.45">
      <c r="A1044" s="98" t="s">
        <v>945</v>
      </c>
      <c r="B1044" s="87">
        <v>304</v>
      </c>
      <c r="C1044" s="98" t="s">
        <v>947</v>
      </c>
      <c r="D1044" s="93">
        <v>43594</v>
      </c>
      <c r="E1044" s="99">
        <v>9581.91</v>
      </c>
      <c r="F1044" s="100"/>
      <c r="G1044" s="101">
        <v>35</v>
      </c>
      <c r="H1044" s="102">
        <v>6</v>
      </c>
      <c r="I1044" s="99">
        <v>273.76885714285714</v>
      </c>
      <c r="J1044" s="99">
        <v>0</v>
      </c>
      <c r="K1044" s="99">
        <v>1277.5879999999743</v>
      </c>
      <c r="L1044" s="103">
        <v>8304.3220000000256</v>
      </c>
    </row>
    <row r="1045" spans="1:12" x14ac:dyDescent="0.45">
      <c r="A1045" s="98" t="s">
        <v>945</v>
      </c>
      <c r="B1045" s="87">
        <v>344</v>
      </c>
      <c r="C1045" s="98" t="s">
        <v>948</v>
      </c>
      <c r="D1045" s="93">
        <v>43603</v>
      </c>
      <c r="E1045" s="99">
        <v>2934.85</v>
      </c>
      <c r="F1045" s="100"/>
      <c r="G1045" s="101">
        <v>15</v>
      </c>
      <c r="H1045" s="102">
        <v>6</v>
      </c>
      <c r="I1045" s="99">
        <v>195.65666666666667</v>
      </c>
      <c r="J1045" s="99">
        <v>0</v>
      </c>
      <c r="K1045" s="99">
        <v>913.0644444444406</v>
      </c>
      <c r="L1045" s="103">
        <v>2021.7855555555593</v>
      </c>
    </row>
    <row r="1046" spans="1:12" x14ac:dyDescent="0.45">
      <c r="A1046" s="98" t="s">
        <v>945</v>
      </c>
      <c r="B1046" s="87">
        <v>341</v>
      </c>
      <c r="C1046" s="98" t="s">
        <v>949</v>
      </c>
      <c r="D1046" s="93">
        <v>43616</v>
      </c>
      <c r="E1046" s="99">
        <v>35000</v>
      </c>
      <c r="F1046" s="100"/>
      <c r="G1046" s="101">
        <v>7</v>
      </c>
      <c r="H1046" s="102">
        <v>6</v>
      </c>
      <c r="I1046" s="99">
        <v>5000</v>
      </c>
      <c r="J1046" s="99">
        <v>0</v>
      </c>
      <c r="K1046" s="99">
        <v>23333.333333333361</v>
      </c>
      <c r="L1046" s="103">
        <v>11666.666666666639</v>
      </c>
    </row>
    <row r="1047" spans="1:12" x14ac:dyDescent="0.45">
      <c r="A1047" s="98" t="s">
        <v>945</v>
      </c>
      <c r="B1047" s="87">
        <v>341</v>
      </c>
      <c r="C1047" s="98" t="s">
        <v>950</v>
      </c>
      <c r="D1047" s="93">
        <v>43621</v>
      </c>
      <c r="E1047" s="99">
        <v>2111.83</v>
      </c>
      <c r="F1047" s="100"/>
      <c r="G1047" s="101">
        <v>7</v>
      </c>
      <c r="H1047" s="102">
        <v>6</v>
      </c>
      <c r="I1047" s="99">
        <v>301.69</v>
      </c>
      <c r="J1047" s="99">
        <v>0</v>
      </c>
      <c r="K1047" s="99">
        <v>1382.7458333333357</v>
      </c>
      <c r="L1047" s="103">
        <v>729.08416666666426</v>
      </c>
    </row>
    <row r="1048" spans="1:12" x14ac:dyDescent="0.45">
      <c r="A1048" s="98" t="s">
        <v>945</v>
      </c>
      <c r="B1048" s="87">
        <v>320</v>
      </c>
      <c r="C1048" s="98" t="s">
        <v>951</v>
      </c>
      <c r="D1048" s="93">
        <v>44196</v>
      </c>
      <c r="E1048" s="99">
        <v>84836</v>
      </c>
      <c r="F1048" s="100"/>
      <c r="G1048" s="101">
        <v>10</v>
      </c>
      <c r="H1048" s="102">
        <v>4</v>
      </c>
      <c r="I1048" s="99">
        <v>8483.6</v>
      </c>
      <c r="J1048" s="99">
        <v>0</v>
      </c>
      <c r="K1048" s="99">
        <v>26157.766666666488</v>
      </c>
      <c r="L1048" s="103">
        <v>58678.233333333512</v>
      </c>
    </row>
    <row r="1049" spans="1:12" x14ac:dyDescent="0.45">
      <c r="A1049" s="98" t="s">
        <v>945</v>
      </c>
      <c r="B1049" s="87">
        <v>340</v>
      </c>
      <c r="C1049" s="98" t="s">
        <v>952</v>
      </c>
      <c r="D1049" s="93">
        <v>44196</v>
      </c>
      <c r="E1049" s="99">
        <v>6820</v>
      </c>
      <c r="F1049" s="100"/>
      <c r="G1049" s="101">
        <v>5</v>
      </c>
      <c r="H1049" s="102">
        <v>4</v>
      </c>
      <c r="I1049" s="99">
        <v>1364</v>
      </c>
      <c r="J1049" s="99">
        <v>0</v>
      </c>
      <c r="K1049" s="99">
        <v>4205.6666666666715</v>
      </c>
      <c r="L1049" s="103">
        <v>2614.3333333333285</v>
      </c>
    </row>
    <row r="1050" spans="1:12" x14ac:dyDescent="0.45">
      <c r="A1050" s="98" t="s">
        <v>945</v>
      </c>
      <c r="B1050" s="87">
        <v>340</v>
      </c>
      <c r="C1050" s="98" t="s">
        <v>953</v>
      </c>
      <c r="D1050" s="93">
        <v>44196</v>
      </c>
      <c r="E1050" s="99">
        <v>2864</v>
      </c>
      <c r="F1050" s="100"/>
      <c r="G1050" s="101">
        <v>5</v>
      </c>
      <c r="H1050" s="102">
        <v>4</v>
      </c>
      <c r="I1050" s="99">
        <v>572.79999999999995</v>
      </c>
      <c r="J1050" s="99">
        <v>0</v>
      </c>
      <c r="K1050" s="99">
        <v>1766.13333333333</v>
      </c>
      <c r="L1050" s="103">
        <v>1097.86666666667</v>
      </c>
    </row>
    <row r="1051" spans="1:12" x14ac:dyDescent="0.45">
      <c r="A1051" s="98" t="s">
        <v>945</v>
      </c>
      <c r="B1051" s="87">
        <v>320</v>
      </c>
      <c r="C1051" s="98" t="s">
        <v>954</v>
      </c>
      <c r="D1051" s="93">
        <v>44129</v>
      </c>
      <c r="E1051" s="99">
        <v>129.72999999999999</v>
      </c>
      <c r="F1051" s="100"/>
      <c r="G1051" s="101">
        <v>20</v>
      </c>
      <c r="H1051" s="102">
        <v>4</v>
      </c>
      <c r="I1051" s="99">
        <v>6.4864999999999995</v>
      </c>
      <c r="J1051" s="99">
        <v>0</v>
      </c>
      <c r="K1051" s="99">
        <v>21.081125000000071</v>
      </c>
      <c r="L1051" s="103">
        <v>108.64887499999992</v>
      </c>
    </row>
    <row r="1052" spans="1:12" x14ac:dyDescent="0.45">
      <c r="A1052" s="98" t="s">
        <v>945</v>
      </c>
      <c r="B1052" s="87">
        <v>320</v>
      </c>
      <c r="C1052" s="98" t="s">
        <v>955</v>
      </c>
      <c r="D1052" s="93">
        <v>44129</v>
      </c>
      <c r="E1052" s="99">
        <v>1037.76</v>
      </c>
      <c r="F1052" s="100"/>
      <c r="G1052" s="101">
        <v>20</v>
      </c>
      <c r="H1052" s="102">
        <v>4</v>
      </c>
      <c r="I1052" s="99">
        <v>51.887999999999998</v>
      </c>
      <c r="J1052" s="99">
        <v>0</v>
      </c>
      <c r="K1052" s="99">
        <v>168.6359999999986</v>
      </c>
      <c r="L1052" s="103">
        <v>869.12400000000139</v>
      </c>
    </row>
    <row r="1053" spans="1:12" x14ac:dyDescent="0.45">
      <c r="A1053" s="98" t="s">
        <v>945</v>
      </c>
      <c r="B1053" s="87">
        <v>320</v>
      </c>
      <c r="C1053" s="98" t="s">
        <v>956</v>
      </c>
      <c r="D1053" s="93">
        <v>44132</v>
      </c>
      <c r="E1053" s="99">
        <v>120</v>
      </c>
      <c r="F1053" s="100"/>
      <c r="G1053" s="101">
        <v>20</v>
      </c>
      <c r="H1053" s="102">
        <v>4</v>
      </c>
      <c r="I1053" s="99">
        <v>6</v>
      </c>
      <c r="J1053" s="99">
        <v>0</v>
      </c>
      <c r="K1053" s="99">
        <v>19.5</v>
      </c>
      <c r="L1053" s="103">
        <v>100.5</v>
      </c>
    </row>
    <row r="1054" spans="1:12" x14ac:dyDescent="0.45">
      <c r="A1054" s="98" t="s">
        <v>945</v>
      </c>
      <c r="B1054" s="87">
        <v>320</v>
      </c>
      <c r="C1054" s="98" t="s">
        <v>957</v>
      </c>
      <c r="D1054" s="93">
        <v>44147</v>
      </c>
      <c r="E1054" s="99">
        <v>144</v>
      </c>
      <c r="F1054" s="100"/>
      <c r="G1054" s="101">
        <v>20</v>
      </c>
      <c r="H1054" s="102">
        <v>4</v>
      </c>
      <c r="I1054" s="99">
        <v>7.2</v>
      </c>
      <c r="J1054" s="99">
        <v>0</v>
      </c>
      <c r="K1054" s="99">
        <v>22.799999999999784</v>
      </c>
      <c r="L1054" s="103">
        <v>121.20000000000022</v>
      </c>
    </row>
    <row r="1055" spans="1:12" x14ac:dyDescent="0.45">
      <c r="A1055" s="98" t="s">
        <v>945</v>
      </c>
      <c r="B1055" s="87">
        <v>341</v>
      </c>
      <c r="C1055" s="98" t="s">
        <v>958</v>
      </c>
      <c r="D1055" s="93">
        <v>44300</v>
      </c>
      <c r="E1055" s="99">
        <v>40287</v>
      </c>
      <c r="F1055" s="100"/>
      <c r="G1055" s="101">
        <v>7</v>
      </c>
      <c r="H1055" s="102">
        <v>4</v>
      </c>
      <c r="I1055" s="99">
        <v>5755.2857142857147</v>
      </c>
      <c r="J1055" s="99">
        <v>0</v>
      </c>
      <c r="K1055" s="99">
        <v>15827.035714285717</v>
      </c>
      <c r="L1055" s="103">
        <v>24459.964285714283</v>
      </c>
    </row>
    <row r="1056" spans="1:12" x14ac:dyDescent="0.45">
      <c r="A1056" s="98" t="s">
        <v>945</v>
      </c>
      <c r="B1056" s="87">
        <v>340</v>
      </c>
      <c r="C1056" s="98" t="s">
        <v>959</v>
      </c>
      <c r="D1056" s="93">
        <v>44535</v>
      </c>
      <c r="E1056" s="99">
        <v>2011.43</v>
      </c>
      <c r="F1056" s="100"/>
      <c r="G1056" s="101">
        <v>5</v>
      </c>
      <c r="H1056" s="102">
        <v>3</v>
      </c>
      <c r="I1056" s="99">
        <v>402.286</v>
      </c>
      <c r="J1056" s="99">
        <v>0</v>
      </c>
      <c r="K1056" s="99">
        <v>838.09583333333535</v>
      </c>
      <c r="L1056" s="103">
        <v>1173.3341666666647</v>
      </c>
    </row>
    <row r="1057" spans="1:12" x14ac:dyDescent="0.45">
      <c r="A1057" s="98" t="s">
        <v>945</v>
      </c>
      <c r="B1057" s="87">
        <v>340</v>
      </c>
      <c r="C1057" s="98" t="s">
        <v>960</v>
      </c>
      <c r="D1057" s="93">
        <v>44561</v>
      </c>
      <c r="E1057" s="99">
        <v>19432</v>
      </c>
      <c r="F1057" s="100"/>
      <c r="G1057" s="101">
        <v>5</v>
      </c>
      <c r="H1057" s="102">
        <v>3</v>
      </c>
      <c r="I1057" s="99">
        <v>3886.4</v>
      </c>
      <c r="J1057" s="99">
        <v>0</v>
      </c>
      <c r="K1057" s="99">
        <v>8096.6666666666533</v>
      </c>
      <c r="L1057" s="103">
        <v>11335.333333333347</v>
      </c>
    </row>
    <row r="1058" spans="1:12" x14ac:dyDescent="0.45">
      <c r="A1058" s="98" t="s">
        <v>945</v>
      </c>
      <c r="B1058" s="87">
        <v>340</v>
      </c>
      <c r="C1058" s="98" t="s">
        <v>961</v>
      </c>
      <c r="D1058" s="93">
        <v>44561</v>
      </c>
      <c r="E1058" s="99">
        <v>1451</v>
      </c>
      <c r="F1058" s="100"/>
      <c r="G1058" s="101">
        <v>10</v>
      </c>
      <c r="H1058" s="102">
        <v>3</v>
      </c>
      <c r="I1058" s="99">
        <v>145.1</v>
      </c>
      <c r="J1058" s="99">
        <v>0</v>
      </c>
      <c r="K1058" s="99">
        <v>302.29166666666742</v>
      </c>
      <c r="L1058" s="103">
        <v>1148.7083333333326</v>
      </c>
    </row>
    <row r="1059" spans="1:12" x14ac:dyDescent="0.45">
      <c r="A1059" s="98" t="s">
        <v>945</v>
      </c>
      <c r="B1059" s="87">
        <v>348</v>
      </c>
      <c r="C1059" s="98" t="s">
        <v>962</v>
      </c>
      <c r="D1059" s="93">
        <v>44561</v>
      </c>
      <c r="E1059" s="99">
        <v>0</v>
      </c>
      <c r="F1059" s="100"/>
      <c r="G1059" s="101">
        <v>3</v>
      </c>
      <c r="H1059" s="102">
        <v>3</v>
      </c>
      <c r="I1059" s="99">
        <v>0</v>
      </c>
      <c r="J1059" s="99">
        <v>0</v>
      </c>
      <c r="K1059" s="99">
        <v>0</v>
      </c>
      <c r="L1059" s="103">
        <v>0</v>
      </c>
    </row>
    <row r="1060" spans="1:12" x14ac:dyDescent="0.45">
      <c r="A1060" s="98" t="s">
        <v>945</v>
      </c>
      <c r="B1060" s="87">
        <v>348</v>
      </c>
      <c r="C1060" s="98" t="s">
        <v>952</v>
      </c>
      <c r="D1060" s="93">
        <v>44561</v>
      </c>
      <c r="E1060" s="99">
        <v>0</v>
      </c>
      <c r="F1060" s="100"/>
      <c r="G1060" s="101">
        <v>5</v>
      </c>
      <c r="H1060" s="102">
        <v>3</v>
      </c>
      <c r="I1060" s="99">
        <v>0</v>
      </c>
      <c r="J1060" s="99">
        <v>0</v>
      </c>
      <c r="K1060" s="99">
        <v>0</v>
      </c>
      <c r="L1060" s="103">
        <v>0</v>
      </c>
    </row>
    <row r="1061" spans="1:12" x14ac:dyDescent="0.45">
      <c r="A1061" s="98" t="s">
        <v>945</v>
      </c>
      <c r="B1061" s="87">
        <v>340</v>
      </c>
      <c r="C1061" s="98" t="s">
        <v>963</v>
      </c>
      <c r="D1061" s="93">
        <v>44651</v>
      </c>
      <c r="E1061" s="99">
        <v>567</v>
      </c>
      <c r="F1061" s="100"/>
      <c r="G1061" s="101">
        <v>20</v>
      </c>
      <c r="H1061" s="102">
        <v>3</v>
      </c>
      <c r="I1061" s="99">
        <v>28.35</v>
      </c>
      <c r="J1061" s="99">
        <v>0</v>
      </c>
      <c r="K1061" s="99">
        <v>51.974999999999</v>
      </c>
      <c r="L1061" s="103">
        <v>515.025000000001</v>
      </c>
    </row>
    <row r="1062" spans="1:12" x14ac:dyDescent="0.45">
      <c r="A1062" s="98" t="s">
        <v>945</v>
      </c>
      <c r="B1062" s="87">
        <v>347</v>
      </c>
      <c r="C1062" s="98" t="s">
        <v>964</v>
      </c>
      <c r="D1062" s="93">
        <v>44866</v>
      </c>
      <c r="E1062" s="99">
        <v>8827</v>
      </c>
      <c r="F1062" s="100"/>
      <c r="G1062" s="101">
        <v>10</v>
      </c>
      <c r="H1062" s="102">
        <v>2</v>
      </c>
      <c r="I1062" s="99">
        <v>882.7</v>
      </c>
      <c r="J1062" s="99">
        <v>0</v>
      </c>
      <c r="K1062" s="99">
        <v>1029.8166666666602</v>
      </c>
      <c r="L1062" s="103">
        <v>7797.1833333333398</v>
      </c>
    </row>
    <row r="1063" spans="1:12" x14ac:dyDescent="0.45">
      <c r="A1063" s="98" t="s">
        <v>945</v>
      </c>
      <c r="B1063" s="87">
        <v>340</v>
      </c>
      <c r="C1063" s="98" t="s">
        <v>965</v>
      </c>
      <c r="D1063" s="93">
        <v>44512</v>
      </c>
      <c r="E1063" s="99">
        <v>17150</v>
      </c>
      <c r="F1063" s="100"/>
      <c r="G1063" s="101">
        <v>20</v>
      </c>
      <c r="H1063" s="102">
        <v>3</v>
      </c>
      <c r="I1063" s="99">
        <v>857.5</v>
      </c>
      <c r="J1063" s="99">
        <v>0</v>
      </c>
      <c r="K1063" s="99">
        <v>1857.9166666666642</v>
      </c>
      <c r="L1063" s="103">
        <v>15292.083333333336</v>
      </c>
    </row>
    <row r="1064" spans="1:12" x14ac:dyDescent="0.45">
      <c r="A1064" s="98" t="s">
        <v>945</v>
      </c>
      <c r="B1064" s="87">
        <v>340</v>
      </c>
      <c r="C1064" s="98" t="s">
        <v>966</v>
      </c>
      <c r="D1064" s="93">
        <v>44985</v>
      </c>
      <c r="E1064" s="99">
        <v>14920</v>
      </c>
      <c r="F1064" s="100"/>
      <c r="G1064" s="101">
        <v>20</v>
      </c>
      <c r="H1064" s="102">
        <v>2</v>
      </c>
      <c r="I1064" s="99">
        <v>746</v>
      </c>
      <c r="J1064" s="99">
        <v>0</v>
      </c>
      <c r="K1064" s="99">
        <v>683.83333333332666</v>
      </c>
      <c r="L1064" s="103">
        <v>14236.166666666673</v>
      </c>
    </row>
    <row r="1065" spans="1:12" x14ac:dyDescent="0.45">
      <c r="A1065" s="98" t="s">
        <v>945</v>
      </c>
      <c r="B1065" s="87">
        <v>341</v>
      </c>
      <c r="C1065" s="98" t="s">
        <v>967</v>
      </c>
      <c r="D1065" s="93">
        <v>45085</v>
      </c>
      <c r="E1065" s="99">
        <v>66566.63</v>
      </c>
      <c r="F1065" s="100"/>
      <c r="G1065" s="101">
        <v>7</v>
      </c>
      <c r="H1065" s="102">
        <v>2</v>
      </c>
      <c r="I1065" s="99">
        <v>9509.5185714285726</v>
      </c>
      <c r="J1065" s="99">
        <v>0</v>
      </c>
      <c r="K1065" s="99">
        <v>5547.2191666666622</v>
      </c>
      <c r="L1065" s="103">
        <v>61019.410833333342</v>
      </c>
    </row>
    <row r="1066" spans="1:12" x14ac:dyDescent="0.45">
      <c r="A1066" s="98" t="s">
        <v>945</v>
      </c>
      <c r="B1066" s="87">
        <v>343</v>
      </c>
      <c r="C1066" s="98" t="s">
        <v>968</v>
      </c>
      <c r="D1066" s="93">
        <v>44908</v>
      </c>
      <c r="E1066" s="99">
        <v>326.68</v>
      </c>
      <c r="F1066" s="100"/>
      <c r="G1066" s="101">
        <v>15</v>
      </c>
      <c r="H1066" s="102">
        <v>2</v>
      </c>
      <c r="I1066" s="99">
        <v>21.778666666666666</v>
      </c>
      <c r="J1066" s="99">
        <v>0</v>
      </c>
      <c r="K1066" s="99">
        <v>23.593555555555724</v>
      </c>
      <c r="L1066" s="103">
        <v>303.08644444444428</v>
      </c>
    </row>
    <row r="1067" spans="1:12" x14ac:dyDescent="0.45">
      <c r="A1067" s="98" t="s">
        <v>945</v>
      </c>
      <c r="B1067" s="87">
        <v>343</v>
      </c>
      <c r="C1067" s="98" t="s">
        <v>969</v>
      </c>
      <c r="D1067" s="93">
        <v>44909</v>
      </c>
      <c r="E1067" s="99">
        <v>204.84</v>
      </c>
      <c r="F1067" s="100"/>
      <c r="G1067" s="101">
        <v>15</v>
      </c>
      <c r="H1067" s="102">
        <v>2</v>
      </c>
      <c r="I1067" s="99">
        <v>13.656000000000001</v>
      </c>
      <c r="J1067" s="99">
        <v>0</v>
      </c>
      <c r="K1067" s="99">
        <v>14.794000000000068</v>
      </c>
      <c r="L1067" s="103">
        <v>190.04599999999994</v>
      </c>
    </row>
    <row r="1068" spans="1:12" x14ac:dyDescent="0.45">
      <c r="A1068" s="98" t="s">
        <v>945</v>
      </c>
      <c r="B1068" s="87">
        <v>343</v>
      </c>
      <c r="C1068" s="98" t="s">
        <v>970</v>
      </c>
      <c r="D1068" s="93">
        <v>44613</v>
      </c>
      <c r="E1068" s="99">
        <v>3803.41</v>
      </c>
      <c r="F1068" s="100"/>
      <c r="G1068" s="101">
        <v>15</v>
      </c>
      <c r="H1068" s="102">
        <v>3</v>
      </c>
      <c r="I1068" s="99">
        <v>253.56066666666666</v>
      </c>
      <c r="J1068" s="99">
        <v>0</v>
      </c>
      <c r="K1068" s="99">
        <v>464.8612222222182</v>
      </c>
      <c r="L1068" s="103">
        <v>3338.5487777777817</v>
      </c>
    </row>
    <row r="1069" spans="1:12" x14ac:dyDescent="0.45">
      <c r="A1069" s="98" t="s">
        <v>945</v>
      </c>
      <c r="B1069" s="87">
        <v>340</v>
      </c>
      <c r="C1069" s="98" t="s">
        <v>971</v>
      </c>
      <c r="D1069" s="93">
        <v>44615</v>
      </c>
      <c r="E1069" s="99">
        <v>335.46</v>
      </c>
      <c r="F1069" s="100"/>
      <c r="G1069" s="101">
        <v>20</v>
      </c>
      <c r="H1069" s="102">
        <v>3</v>
      </c>
      <c r="I1069" s="99">
        <v>16.773</v>
      </c>
      <c r="J1069" s="99">
        <v>0</v>
      </c>
      <c r="K1069" s="99">
        <v>30.75049999999942</v>
      </c>
      <c r="L1069" s="103">
        <v>304.70950000000056</v>
      </c>
    </row>
    <row r="1070" spans="1:12" x14ac:dyDescent="0.45">
      <c r="A1070" s="98" t="s">
        <v>945</v>
      </c>
      <c r="B1070" s="87">
        <v>340</v>
      </c>
      <c r="C1070" s="98" t="s">
        <v>972</v>
      </c>
      <c r="D1070" s="93">
        <v>44619</v>
      </c>
      <c r="E1070" s="99">
        <v>254.14</v>
      </c>
      <c r="F1070" s="100"/>
      <c r="G1070" s="101">
        <v>5</v>
      </c>
      <c r="H1070" s="102">
        <v>3</v>
      </c>
      <c r="I1070" s="99">
        <v>50.827999999999996</v>
      </c>
      <c r="J1070" s="99">
        <v>0</v>
      </c>
      <c r="K1070" s="99">
        <v>93.184666666666828</v>
      </c>
      <c r="L1070" s="103">
        <v>160.95533333333316</v>
      </c>
    </row>
    <row r="1071" spans="1:12" x14ac:dyDescent="0.45">
      <c r="A1071" s="98" t="s">
        <v>945</v>
      </c>
      <c r="B1071" s="87">
        <v>348</v>
      </c>
      <c r="C1071" s="98" t="s">
        <v>973</v>
      </c>
      <c r="D1071" s="93">
        <v>44644</v>
      </c>
      <c r="E1071" s="99">
        <v>6878.67</v>
      </c>
      <c r="F1071" s="100"/>
      <c r="G1071" s="101">
        <v>6</v>
      </c>
      <c r="H1071" s="102">
        <v>3</v>
      </c>
      <c r="I1071" s="99">
        <v>1146.4449999999999</v>
      </c>
      <c r="J1071" s="99">
        <v>0</v>
      </c>
      <c r="K1071" s="99">
        <v>2101.8158333333395</v>
      </c>
      <c r="L1071" s="103">
        <v>4776.8541666666606</v>
      </c>
    </row>
    <row r="1072" spans="1:12" x14ac:dyDescent="0.45">
      <c r="A1072" s="98" t="s">
        <v>945</v>
      </c>
      <c r="B1072" s="87">
        <v>340</v>
      </c>
      <c r="C1072" s="98" t="s">
        <v>974</v>
      </c>
      <c r="D1072" s="93">
        <v>44651</v>
      </c>
      <c r="E1072" s="99">
        <v>7166</v>
      </c>
      <c r="F1072" s="100"/>
      <c r="G1072" s="101">
        <v>3</v>
      </c>
      <c r="H1072" s="102">
        <v>3</v>
      </c>
      <c r="I1072" s="99">
        <v>2388.6666666666665</v>
      </c>
      <c r="J1072" s="99">
        <v>0</v>
      </c>
      <c r="K1072" s="99">
        <v>4379.2222222222244</v>
      </c>
      <c r="L1072" s="103">
        <v>2786.7777777777756</v>
      </c>
    </row>
    <row r="1073" spans="1:12" x14ac:dyDescent="0.45">
      <c r="A1073" s="98" t="s">
        <v>945</v>
      </c>
      <c r="B1073" s="87">
        <v>348</v>
      </c>
      <c r="C1073" s="98" t="s">
        <v>975</v>
      </c>
      <c r="D1073" s="93">
        <v>44673</v>
      </c>
      <c r="E1073" s="99">
        <v>699.5</v>
      </c>
      <c r="F1073" s="100"/>
      <c r="G1073" s="101">
        <v>6</v>
      </c>
      <c r="H1073" s="102">
        <v>3</v>
      </c>
      <c r="I1073" s="99">
        <v>116.58333333333333</v>
      </c>
      <c r="J1073" s="99">
        <v>0</v>
      </c>
      <c r="K1073" s="99">
        <v>204.02083333333428</v>
      </c>
      <c r="L1073" s="103">
        <v>495.47916666666572</v>
      </c>
    </row>
    <row r="1074" spans="1:12" x14ac:dyDescent="0.45">
      <c r="A1074" s="98" t="s">
        <v>945</v>
      </c>
      <c r="B1074" s="87">
        <v>345</v>
      </c>
      <c r="C1074" s="98" t="s">
        <v>976</v>
      </c>
      <c r="D1074" s="93">
        <v>44708</v>
      </c>
      <c r="E1074" s="99">
        <v>584.76</v>
      </c>
      <c r="F1074" s="100"/>
      <c r="G1074" s="101">
        <v>10</v>
      </c>
      <c r="H1074" s="102">
        <v>3</v>
      </c>
      <c r="I1074" s="99">
        <v>58.475999999999999</v>
      </c>
      <c r="J1074" s="99">
        <v>0</v>
      </c>
      <c r="K1074" s="99">
        <v>97.460000000000605</v>
      </c>
      <c r="L1074" s="103">
        <v>487.29999999999939</v>
      </c>
    </row>
    <row r="1075" spans="1:12" x14ac:dyDescent="0.45">
      <c r="A1075" s="98" t="s">
        <v>945</v>
      </c>
      <c r="B1075" s="87">
        <v>340</v>
      </c>
      <c r="C1075" s="98" t="s">
        <v>977</v>
      </c>
      <c r="D1075" s="93">
        <v>44742</v>
      </c>
      <c r="E1075" s="99">
        <v>120</v>
      </c>
      <c r="F1075" s="100"/>
      <c r="G1075" s="101">
        <v>3</v>
      </c>
      <c r="H1075" s="102">
        <v>3</v>
      </c>
      <c r="I1075" s="99">
        <v>40</v>
      </c>
      <c r="J1075" s="99">
        <v>0</v>
      </c>
      <c r="K1075" s="99">
        <v>63.333333333333265</v>
      </c>
      <c r="L1075" s="103">
        <v>56.666666666666735</v>
      </c>
    </row>
    <row r="1076" spans="1:12" x14ac:dyDescent="0.45">
      <c r="A1076" s="98" t="s">
        <v>945</v>
      </c>
      <c r="B1076" s="87">
        <v>340</v>
      </c>
      <c r="C1076" s="98" t="s">
        <v>978</v>
      </c>
      <c r="D1076" s="93">
        <v>44742</v>
      </c>
      <c r="E1076" s="99">
        <v>3610</v>
      </c>
      <c r="F1076" s="100"/>
      <c r="G1076" s="101">
        <v>3</v>
      </c>
      <c r="H1076" s="102">
        <v>3</v>
      </c>
      <c r="I1076" s="99">
        <v>1203.3333333333333</v>
      </c>
      <c r="J1076" s="99">
        <v>0</v>
      </c>
      <c r="K1076" s="99">
        <v>1905.2777777777787</v>
      </c>
      <c r="L1076" s="103">
        <v>1704.7222222222213</v>
      </c>
    </row>
    <row r="1077" spans="1:12" x14ac:dyDescent="0.45">
      <c r="A1077" s="98" t="s">
        <v>945</v>
      </c>
      <c r="B1077" s="87">
        <v>340</v>
      </c>
      <c r="C1077" s="98" t="s">
        <v>979</v>
      </c>
      <c r="D1077" s="93">
        <v>44742</v>
      </c>
      <c r="E1077" s="99">
        <v>126</v>
      </c>
      <c r="F1077" s="100"/>
      <c r="G1077" s="101">
        <v>5</v>
      </c>
      <c r="H1077" s="102">
        <v>3</v>
      </c>
      <c r="I1077" s="99">
        <v>25.2</v>
      </c>
      <c r="J1077" s="99">
        <v>0</v>
      </c>
      <c r="K1077" s="99">
        <v>39.899999999999892</v>
      </c>
      <c r="L1077" s="103">
        <v>86.100000000000108</v>
      </c>
    </row>
    <row r="1078" spans="1:12" x14ac:dyDescent="0.45">
      <c r="A1078" s="98" t="s">
        <v>945</v>
      </c>
      <c r="B1078" s="87">
        <v>340</v>
      </c>
      <c r="C1078" s="98" t="s">
        <v>980</v>
      </c>
      <c r="D1078" s="93">
        <v>44742</v>
      </c>
      <c r="E1078" s="99">
        <v>27</v>
      </c>
      <c r="F1078" s="100"/>
      <c r="G1078" s="101">
        <v>3</v>
      </c>
      <c r="H1078" s="102">
        <v>3</v>
      </c>
      <c r="I1078" s="99">
        <v>9</v>
      </c>
      <c r="J1078" s="99">
        <v>0</v>
      </c>
      <c r="K1078" s="99">
        <v>14.25</v>
      </c>
      <c r="L1078" s="103">
        <v>12.75</v>
      </c>
    </row>
    <row r="1079" spans="1:12" x14ac:dyDescent="0.45">
      <c r="A1079" s="98" t="s">
        <v>945</v>
      </c>
      <c r="B1079" s="87">
        <v>340</v>
      </c>
      <c r="C1079" s="98" t="s">
        <v>981</v>
      </c>
      <c r="D1079" s="93">
        <v>44742</v>
      </c>
      <c r="E1079" s="99">
        <v>308</v>
      </c>
      <c r="F1079" s="100"/>
      <c r="G1079" s="101">
        <v>3</v>
      </c>
      <c r="H1079" s="102">
        <v>3</v>
      </c>
      <c r="I1079" s="99">
        <v>102.66666666666667</v>
      </c>
      <c r="J1079" s="99">
        <v>0</v>
      </c>
      <c r="K1079" s="99">
        <v>162.55555555555532</v>
      </c>
      <c r="L1079" s="103">
        <v>145.44444444444468</v>
      </c>
    </row>
    <row r="1080" spans="1:12" x14ac:dyDescent="0.45">
      <c r="A1080" s="98" t="s">
        <v>945</v>
      </c>
      <c r="B1080" s="87">
        <v>310</v>
      </c>
      <c r="C1080" s="98" t="s">
        <v>982</v>
      </c>
      <c r="D1080" s="93">
        <v>44861</v>
      </c>
      <c r="E1080" s="99">
        <v>3045.31</v>
      </c>
      <c r="F1080" s="100"/>
      <c r="G1080" s="101">
        <v>15</v>
      </c>
      <c r="H1080" s="102">
        <v>2</v>
      </c>
      <c r="I1080" s="99">
        <v>203.02066666666667</v>
      </c>
      <c r="J1080" s="99">
        <v>0</v>
      </c>
      <c r="K1080" s="99">
        <v>253.77583333333178</v>
      </c>
      <c r="L1080" s="103">
        <v>2791.5341666666682</v>
      </c>
    </row>
    <row r="1081" spans="1:12" x14ac:dyDescent="0.45">
      <c r="A1081" s="98" t="s">
        <v>945</v>
      </c>
      <c r="B1081" s="87">
        <v>340</v>
      </c>
      <c r="C1081" s="98" t="s">
        <v>983</v>
      </c>
      <c r="D1081" s="93">
        <v>44865</v>
      </c>
      <c r="E1081" s="99">
        <v>800</v>
      </c>
      <c r="F1081" s="100"/>
      <c r="G1081" s="101">
        <v>3</v>
      </c>
      <c r="H1081" s="102">
        <v>2</v>
      </c>
      <c r="I1081" s="99">
        <v>266.66666666666669</v>
      </c>
      <c r="J1081" s="99">
        <v>0</v>
      </c>
      <c r="K1081" s="99">
        <v>333.33333333333275</v>
      </c>
      <c r="L1081" s="103">
        <v>466.66666666666725</v>
      </c>
    </row>
    <row r="1082" spans="1:12" x14ac:dyDescent="0.45">
      <c r="A1082" s="98" t="s">
        <v>945</v>
      </c>
      <c r="B1082" s="87">
        <v>340</v>
      </c>
      <c r="C1082" s="98" t="s">
        <v>984</v>
      </c>
      <c r="D1082" s="93">
        <v>44867</v>
      </c>
      <c r="E1082" s="99">
        <v>4320</v>
      </c>
      <c r="F1082" s="100"/>
      <c r="G1082" s="101">
        <v>3</v>
      </c>
      <c r="H1082" s="102">
        <v>2</v>
      </c>
      <c r="I1082" s="99">
        <v>1440</v>
      </c>
      <c r="J1082" s="99">
        <v>0</v>
      </c>
      <c r="K1082" s="99">
        <v>1680</v>
      </c>
      <c r="L1082" s="103">
        <v>2640</v>
      </c>
    </row>
    <row r="1083" spans="1:12" x14ac:dyDescent="0.45">
      <c r="A1083" s="98" t="s">
        <v>945</v>
      </c>
      <c r="B1083" s="87">
        <v>340</v>
      </c>
      <c r="C1083" s="98" t="s">
        <v>985</v>
      </c>
      <c r="D1083" s="93">
        <v>44896</v>
      </c>
      <c r="E1083" s="99">
        <v>1810.87</v>
      </c>
      <c r="F1083" s="100"/>
      <c r="G1083" s="101">
        <v>5</v>
      </c>
      <c r="H1083" s="102">
        <v>2</v>
      </c>
      <c r="I1083" s="99">
        <v>362.17399999999998</v>
      </c>
      <c r="J1083" s="99">
        <v>0</v>
      </c>
      <c r="K1083" s="99">
        <v>392.35516666666763</v>
      </c>
      <c r="L1083" s="103">
        <v>1418.5148333333323</v>
      </c>
    </row>
    <row r="1084" spans="1:12" x14ac:dyDescent="0.45">
      <c r="A1084" s="98" t="s">
        <v>945</v>
      </c>
      <c r="B1084" s="87">
        <v>340</v>
      </c>
      <c r="C1084" s="98" t="s">
        <v>986</v>
      </c>
      <c r="D1084" s="93">
        <v>44834</v>
      </c>
      <c r="E1084" s="99">
        <v>56.1</v>
      </c>
      <c r="F1084" s="100"/>
      <c r="G1084" s="101">
        <v>5</v>
      </c>
      <c r="H1084" s="102">
        <v>3</v>
      </c>
      <c r="I1084" s="99">
        <v>11.22</v>
      </c>
      <c r="J1084" s="99">
        <v>0</v>
      </c>
      <c r="K1084" s="99">
        <v>14.960000000000036</v>
      </c>
      <c r="L1084" s="103">
        <v>41.139999999999965</v>
      </c>
    </row>
    <row r="1085" spans="1:12" x14ac:dyDescent="0.45">
      <c r="A1085" s="98" t="s">
        <v>945</v>
      </c>
      <c r="B1085" s="87">
        <v>340</v>
      </c>
      <c r="C1085" s="98" t="s">
        <v>987</v>
      </c>
      <c r="D1085" s="93">
        <v>44834</v>
      </c>
      <c r="E1085" s="99">
        <v>7712.28</v>
      </c>
      <c r="F1085" s="100"/>
      <c r="G1085" s="101">
        <v>3</v>
      </c>
      <c r="H1085" s="102">
        <v>3</v>
      </c>
      <c r="I1085" s="99">
        <v>2570.7599999999998</v>
      </c>
      <c r="J1085" s="99">
        <v>0</v>
      </c>
      <c r="K1085" s="99">
        <v>3427.679999999993</v>
      </c>
      <c r="L1085" s="103">
        <v>4284.6000000000067</v>
      </c>
    </row>
    <row r="1086" spans="1:12" x14ac:dyDescent="0.45">
      <c r="A1086" s="98" t="s">
        <v>945</v>
      </c>
      <c r="B1086" s="87">
        <v>340</v>
      </c>
      <c r="C1086" s="98" t="s">
        <v>988</v>
      </c>
      <c r="D1086" s="93">
        <v>44926</v>
      </c>
      <c r="E1086" s="99">
        <v>1314.01</v>
      </c>
      <c r="F1086" s="100"/>
      <c r="G1086" s="101">
        <v>3</v>
      </c>
      <c r="H1086" s="102">
        <v>2</v>
      </c>
      <c r="I1086" s="99">
        <v>438.00333333333333</v>
      </c>
      <c r="J1086" s="99">
        <v>0</v>
      </c>
      <c r="K1086" s="99">
        <v>474.50361111111056</v>
      </c>
      <c r="L1086" s="103">
        <v>839.50638888888943</v>
      </c>
    </row>
    <row r="1087" spans="1:12" x14ac:dyDescent="0.45">
      <c r="A1087" s="98" t="s">
        <v>945</v>
      </c>
      <c r="B1087" s="87">
        <v>340</v>
      </c>
      <c r="C1087" s="98" t="s">
        <v>989</v>
      </c>
      <c r="D1087" s="93">
        <v>44926</v>
      </c>
      <c r="E1087" s="99">
        <v>26.35</v>
      </c>
      <c r="F1087" s="100"/>
      <c r="G1087" s="101">
        <v>3</v>
      </c>
      <c r="H1087" s="102">
        <v>2</v>
      </c>
      <c r="I1087" s="99">
        <v>8.7833333333333332</v>
      </c>
      <c r="J1087" s="99">
        <v>0</v>
      </c>
      <c r="K1087" s="99">
        <v>9.5152777777777757</v>
      </c>
      <c r="L1087" s="103">
        <v>16.834722222222226</v>
      </c>
    </row>
    <row r="1088" spans="1:12" x14ac:dyDescent="0.45">
      <c r="A1088" s="98" t="s">
        <v>945</v>
      </c>
      <c r="B1088" s="87">
        <v>340</v>
      </c>
      <c r="C1088" s="98" t="s">
        <v>990</v>
      </c>
      <c r="D1088" s="93">
        <v>44926</v>
      </c>
      <c r="E1088" s="99">
        <v>103.25</v>
      </c>
      <c r="F1088" s="100"/>
      <c r="G1088" s="101">
        <v>3</v>
      </c>
      <c r="H1088" s="102">
        <v>2</v>
      </c>
      <c r="I1088" s="99">
        <v>34.416666666666664</v>
      </c>
      <c r="J1088" s="99">
        <v>0</v>
      </c>
      <c r="K1088" s="99">
        <v>37.284722222222243</v>
      </c>
      <c r="L1088" s="103">
        <v>65.965277777777757</v>
      </c>
    </row>
    <row r="1089" spans="1:12" x14ac:dyDescent="0.45">
      <c r="A1089" s="98" t="s">
        <v>945</v>
      </c>
      <c r="B1089" s="87">
        <v>341</v>
      </c>
      <c r="C1089" s="98" t="s">
        <v>991</v>
      </c>
      <c r="D1089" s="93">
        <v>44804</v>
      </c>
      <c r="E1089" s="99">
        <v>72929.06</v>
      </c>
      <c r="F1089" s="100"/>
      <c r="G1089" s="101">
        <v>7</v>
      </c>
      <c r="H1089" s="102">
        <v>3</v>
      </c>
      <c r="I1089" s="99">
        <v>10418.437142857143</v>
      </c>
      <c r="J1089" s="99">
        <v>0</v>
      </c>
      <c r="K1089" s="99">
        <v>14759.452619047566</v>
      </c>
      <c r="L1089" s="103">
        <v>58169.607380952431</v>
      </c>
    </row>
    <row r="1090" spans="1:12" x14ac:dyDescent="0.45">
      <c r="A1090" s="98" t="s">
        <v>945</v>
      </c>
      <c r="B1090" s="87">
        <v>340</v>
      </c>
      <c r="C1090" s="98" t="s">
        <v>992</v>
      </c>
      <c r="D1090" s="93">
        <v>44880</v>
      </c>
      <c r="E1090" s="99">
        <v>818.42</v>
      </c>
      <c r="F1090" s="100"/>
      <c r="G1090" s="101">
        <v>20</v>
      </c>
      <c r="H1090" s="102">
        <v>2</v>
      </c>
      <c r="I1090" s="99">
        <v>40.920999999999999</v>
      </c>
      <c r="J1090" s="99">
        <v>0</v>
      </c>
      <c r="K1090" s="99">
        <v>47.741166666666459</v>
      </c>
      <c r="L1090" s="103">
        <v>770.6788333333335</v>
      </c>
    </row>
    <row r="1091" spans="1:12" x14ac:dyDescent="0.45">
      <c r="A1091" s="98" t="s">
        <v>945</v>
      </c>
      <c r="B1091" s="87">
        <v>340</v>
      </c>
      <c r="C1091" s="98" t="s">
        <v>993</v>
      </c>
      <c r="D1091" s="93">
        <v>45016</v>
      </c>
      <c r="E1091" s="99">
        <v>1788.67</v>
      </c>
      <c r="F1091" s="100"/>
      <c r="G1091" s="101">
        <v>3</v>
      </c>
      <c r="H1091" s="102">
        <v>2</v>
      </c>
      <c r="I1091" s="99">
        <v>596.22333333333336</v>
      </c>
      <c r="J1091" s="99">
        <v>0</v>
      </c>
      <c r="K1091" s="99">
        <v>496.85277777777856</v>
      </c>
      <c r="L1091" s="103">
        <v>1291.8172222222215</v>
      </c>
    </row>
    <row r="1092" spans="1:12" x14ac:dyDescent="0.45">
      <c r="A1092" s="98" t="s">
        <v>945</v>
      </c>
      <c r="B1092" s="87">
        <v>340</v>
      </c>
      <c r="C1092" s="98" t="s">
        <v>994</v>
      </c>
      <c r="D1092" s="93">
        <v>45107</v>
      </c>
      <c r="E1092" s="99">
        <v>4610</v>
      </c>
      <c r="F1092" s="100"/>
      <c r="G1092" s="101">
        <v>3</v>
      </c>
      <c r="H1092" s="102">
        <v>2</v>
      </c>
      <c r="I1092" s="99">
        <v>1536.6666666666667</v>
      </c>
      <c r="J1092" s="99">
        <v>0</v>
      </c>
      <c r="K1092" s="99">
        <v>896.3888888888896</v>
      </c>
      <c r="L1092" s="103">
        <v>3713.6111111111104</v>
      </c>
    </row>
    <row r="1093" spans="1:12" x14ac:dyDescent="0.45">
      <c r="A1093" s="98" t="s">
        <v>945</v>
      </c>
      <c r="B1093" s="87">
        <v>340</v>
      </c>
      <c r="C1093" s="98" t="s">
        <v>995</v>
      </c>
      <c r="D1093" s="93">
        <v>45107</v>
      </c>
      <c r="E1093" s="99">
        <v>30</v>
      </c>
      <c r="F1093" s="100"/>
      <c r="G1093" s="101">
        <v>5</v>
      </c>
      <c r="H1093" s="102">
        <v>2</v>
      </c>
      <c r="I1093" s="99">
        <v>6</v>
      </c>
      <c r="J1093" s="99">
        <v>0</v>
      </c>
      <c r="K1093" s="99">
        <v>3.5</v>
      </c>
      <c r="L1093" s="103">
        <v>26.5</v>
      </c>
    </row>
    <row r="1094" spans="1:12" x14ac:dyDescent="0.45">
      <c r="A1094" s="98" t="s">
        <v>945</v>
      </c>
      <c r="B1094" s="87">
        <v>340</v>
      </c>
      <c r="C1094" s="98" t="s">
        <v>996</v>
      </c>
      <c r="D1094" s="93">
        <v>45199</v>
      </c>
      <c r="E1094" s="99">
        <v>1166.83</v>
      </c>
      <c r="F1094" s="100"/>
      <c r="G1094" s="101">
        <v>3</v>
      </c>
      <c r="H1094" s="102">
        <v>2</v>
      </c>
      <c r="I1094" s="99">
        <v>388.94333333333333</v>
      </c>
      <c r="J1094" s="99">
        <v>0</v>
      </c>
      <c r="K1094" s="99">
        <v>129.64777777777817</v>
      </c>
      <c r="L1094" s="103">
        <v>1037.1822222222218</v>
      </c>
    </row>
    <row r="1095" spans="1:12" x14ac:dyDescent="0.45">
      <c r="A1095" s="98" t="s">
        <v>945</v>
      </c>
      <c r="B1095" s="87">
        <v>340</v>
      </c>
      <c r="C1095" s="98" t="s">
        <v>997</v>
      </c>
      <c r="D1095" s="93">
        <v>45016</v>
      </c>
      <c r="E1095" s="99">
        <v>2161.25</v>
      </c>
      <c r="F1095" s="100"/>
      <c r="G1095" s="101">
        <v>3</v>
      </c>
      <c r="H1095" s="102">
        <v>2</v>
      </c>
      <c r="I1095" s="99">
        <v>720.41666666666663</v>
      </c>
      <c r="J1095" s="99">
        <v>0</v>
      </c>
      <c r="K1095" s="99">
        <v>600.34722222222172</v>
      </c>
      <c r="L1095" s="103">
        <v>1560.9027777777783</v>
      </c>
    </row>
    <row r="1096" spans="1:12" x14ac:dyDescent="0.45">
      <c r="A1096" s="98" t="s">
        <v>945</v>
      </c>
      <c r="B1096" s="87">
        <v>343</v>
      </c>
      <c r="C1096" s="98" t="s">
        <v>998</v>
      </c>
      <c r="D1096" s="93">
        <v>45017</v>
      </c>
      <c r="E1096" s="99">
        <v>18900.310000000001</v>
      </c>
      <c r="F1096" s="100"/>
      <c r="G1096" s="101">
        <v>20</v>
      </c>
      <c r="H1096" s="102">
        <v>2</v>
      </c>
      <c r="I1096" s="99">
        <v>945.01550000000009</v>
      </c>
      <c r="J1096" s="99">
        <v>0</v>
      </c>
      <c r="K1096" s="99">
        <v>708.76162500000646</v>
      </c>
      <c r="L1096" s="103">
        <v>18191.548374999995</v>
      </c>
    </row>
    <row r="1097" spans="1:12" x14ac:dyDescent="0.45">
      <c r="A1097" s="98" t="s">
        <v>945</v>
      </c>
      <c r="B1097" s="87">
        <v>343</v>
      </c>
      <c r="C1097" s="98" t="s">
        <v>999</v>
      </c>
      <c r="D1097" s="93">
        <v>45036</v>
      </c>
      <c r="E1097" s="99">
        <v>327.89</v>
      </c>
      <c r="F1097" s="100"/>
      <c r="G1097" s="101">
        <v>15</v>
      </c>
      <c r="H1097" s="102">
        <v>2</v>
      </c>
      <c r="I1097" s="99">
        <v>21.859333333333332</v>
      </c>
      <c r="J1097" s="99">
        <v>0</v>
      </c>
      <c r="K1097" s="99">
        <v>16.394499999999994</v>
      </c>
      <c r="L1097" s="103">
        <v>311.49549999999999</v>
      </c>
    </row>
    <row r="1098" spans="1:12" x14ac:dyDescent="0.45">
      <c r="A1098" s="98" t="s">
        <v>945</v>
      </c>
      <c r="B1098" s="87">
        <v>345</v>
      </c>
      <c r="C1098" s="98" t="s">
        <v>1000</v>
      </c>
      <c r="D1098" s="93">
        <v>45037</v>
      </c>
      <c r="E1098" s="99">
        <v>293.20999999999998</v>
      </c>
      <c r="F1098" s="100"/>
      <c r="G1098" s="101">
        <v>10</v>
      </c>
      <c r="H1098" s="102">
        <v>2</v>
      </c>
      <c r="I1098" s="99">
        <v>29.320999999999998</v>
      </c>
      <c r="J1098" s="99">
        <v>0</v>
      </c>
      <c r="K1098" s="99">
        <v>21.990750000000105</v>
      </c>
      <c r="L1098" s="103">
        <v>271.21924999999987</v>
      </c>
    </row>
    <row r="1099" spans="1:12" x14ac:dyDescent="0.45">
      <c r="A1099" s="98" t="s">
        <v>945</v>
      </c>
      <c r="B1099" s="87">
        <v>345</v>
      </c>
      <c r="C1099" s="98" t="s">
        <v>1001</v>
      </c>
      <c r="D1099" s="93">
        <v>45109</v>
      </c>
      <c r="E1099" s="99">
        <v>587.51</v>
      </c>
      <c r="F1099" s="100"/>
      <c r="G1099" s="101">
        <v>15</v>
      </c>
      <c r="H1099" s="102">
        <v>2</v>
      </c>
      <c r="I1099" s="99">
        <v>39.167333333333332</v>
      </c>
      <c r="J1099" s="99">
        <v>0</v>
      </c>
      <c r="K1099" s="99">
        <v>19.583666666666431</v>
      </c>
      <c r="L1099" s="103">
        <v>567.92633333333356</v>
      </c>
    </row>
    <row r="1100" spans="1:12" x14ac:dyDescent="0.45">
      <c r="A1100" s="98" t="s">
        <v>945</v>
      </c>
      <c r="B1100" s="87">
        <v>343</v>
      </c>
      <c r="C1100" s="98" t="s">
        <v>1002</v>
      </c>
      <c r="D1100" s="93">
        <v>45129</v>
      </c>
      <c r="E1100" s="99">
        <v>899.73</v>
      </c>
      <c r="F1100" s="100"/>
      <c r="G1100" s="101">
        <v>15</v>
      </c>
      <c r="H1100" s="102">
        <v>2</v>
      </c>
      <c r="I1100" s="99">
        <v>59.981999999999999</v>
      </c>
      <c r="J1100" s="99">
        <v>0</v>
      </c>
      <c r="K1100" s="99">
        <v>29.991000000000213</v>
      </c>
      <c r="L1100" s="103">
        <v>869.73899999999981</v>
      </c>
    </row>
    <row r="1101" spans="1:12" x14ac:dyDescent="0.45">
      <c r="A1101" s="98" t="s">
        <v>945</v>
      </c>
      <c r="B1101" s="87">
        <v>340</v>
      </c>
      <c r="C1101" s="98" t="s">
        <v>1003</v>
      </c>
      <c r="D1101" s="93">
        <v>45185</v>
      </c>
      <c r="E1101" s="99">
        <v>638.80999999999995</v>
      </c>
      <c r="F1101" s="100"/>
      <c r="G1101" s="101">
        <v>20</v>
      </c>
      <c r="H1101" s="102">
        <v>2</v>
      </c>
      <c r="I1101" s="99">
        <v>31.940499999999997</v>
      </c>
      <c r="J1101" s="99">
        <v>0</v>
      </c>
      <c r="K1101" s="99">
        <v>10.646833333333234</v>
      </c>
      <c r="L1101" s="103">
        <v>628.16316666666671</v>
      </c>
    </row>
    <row r="1102" spans="1:12" x14ac:dyDescent="0.45">
      <c r="A1102" s="98" t="s">
        <v>945</v>
      </c>
      <c r="B1102" s="87">
        <v>340</v>
      </c>
      <c r="C1102" s="98" t="s">
        <v>1004</v>
      </c>
      <c r="D1102" s="93">
        <v>45185</v>
      </c>
      <c r="E1102" s="99">
        <v>635.04</v>
      </c>
      <c r="F1102" s="100"/>
      <c r="G1102" s="101">
        <v>10</v>
      </c>
      <c r="H1102" s="102">
        <v>2</v>
      </c>
      <c r="I1102" s="99">
        <v>63.503999999999998</v>
      </c>
      <c r="J1102" s="99">
        <v>0</v>
      </c>
      <c r="K1102" s="99">
        <v>21.16800000000012</v>
      </c>
      <c r="L1102" s="103">
        <v>613.87199999999984</v>
      </c>
    </row>
    <row r="1103" spans="1:12" x14ac:dyDescent="0.45">
      <c r="A1103" s="98" t="s">
        <v>945</v>
      </c>
      <c r="B1103" s="87">
        <v>343</v>
      </c>
      <c r="C1103" s="98" t="s">
        <v>1005</v>
      </c>
      <c r="D1103" s="93">
        <v>45201</v>
      </c>
      <c r="E1103" s="99">
        <v>521.15</v>
      </c>
      <c r="F1103" s="100"/>
      <c r="G1103" s="101">
        <v>15</v>
      </c>
      <c r="H1103" s="102">
        <v>1</v>
      </c>
      <c r="I1103" s="99">
        <v>34.743333333333332</v>
      </c>
      <c r="J1103" s="99">
        <v>0</v>
      </c>
      <c r="K1103" s="99">
        <v>8.6858333333333348</v>
      </c>
      <c r="L1103" s="103">
        <v>512.46416666666664</v>
      </c>
    </row>
    <row r="1104" spans="1:12" x14ac:dyDescent="0.45">
      <c r="A1104" s="98" t="s">
        <v>945</v>
      </c>
      <c r="B1104" s="87">
        <v>343</v>
      </c>
      <c r="C1104" s="98" t="s">
        <v>1006</v>
      </c>
      <c r="D1104" s="93">
        <v>45072</v>
      </c>
      <c r="E1104" s="99">
        <v>979.19</v>
      </c>
      <c r="F1104" s="100"/>
      <c r="G1104" s="101">
        <v>20</v>
      </c>
      <c r="H1104" s="102">
        <v>2</v>
      </c>
      <c r="I1104" s="99">
        <v>48.959500000000006</v>
      </c>
      <c r="J1104" s="99">
        <v>0</v>
      </c>
      <c r="K1104" s="99">
        <v>32.639666666666926</v>
      </c>
      <c r="L1104" s="103">
        <v>946.55033333333313</v>
      </c>
    </row>
    <row r="1105" spans="1:12" x14ac:dyDescent="0.45">
      <c r="A1105" s="98" t="s">
        <v>945</v>
      </c>
      <c r="B1105" s="87">
        <v>340</v>
      </c>
      <c r="C1105" s="98" t="s">
        <v>1007</v>
      </c>
      <c r="D1105" s="93">
        <v>45274</v>
      </c>
      <c r="E1105" s="99">
        <v>3398.86</v>
      </c>
      <c r="F1105" s="100"/>
      <c r="G1105" s="101">
        <v>5</v>
      </c>
      <c r="H1105" s="102">
        <v>1</v>
      </c>
      <c r="I1105" s="99">
        <v>0</v>
      </c>
      <c r="J1105" s="99">
        <v>0</v>
      </c>
      <c r="K1105" s="99">
        <v>3455.5076666666669</v>
      </c>
      <c r="L1105" s="103">
        <v>-56.647666666666737</v>
      </c>
    </row>
    <row r="1106" spans="1:12" x14ac:dyDescent="0.45">
      <c r="A1106" s="98" t="s">
        <v>945</v>
      </c>
      <c r="B1106" s="87">
        <v>340</v>
      </c>
      <c r="C1106" s="98" t="s">
        <v>1008</v>
      </c>
      <c r="D1106" s="93">
        <v>45264</v>
      </c>
      <c r="E1106" s="99">
        <v>1083.02</v>
      </c>
      <c r="F1106" s="100"/>
      <c r="G1106" s="101">
        <v>20</v>
      </c>
      <c r="H1106" s="102">
        <v>1</v>
      </c>
      <c r="I1106" s="99">
        <v>0</v>
      </c>
      <c r="J1106" s="99">
        <v>0</v>
      </c>
      <c r="K1106" s="99">
        <v>1087.5325833333334</v>
      </c>
      <c r="L1106" s="103">
        <v>-4.5125833333333958</v>
      </c>
    </row>
    <row r="1107" spans="1:12" x14ac:dyDescent="0.45">
      <c r="A1107" s="98" t="s">
        <v>945</v>
      </c>
      <c r="B1107" s="87">
        <v>330</v>
      </c>
      <c r="C1107" s="98" t="s">
        <v>1009</v>
      </c>
      <c r="D1107" s="93">
        <v>43800</v>
      </c>
      <c r="E1107" s="99">
        <v>795.68</v>
      </c>
      <c r="F1107" s="100"/>
      <c r="G1107" s="101">
        <v>35</v>
      </c>
      <c r="H1107" s="102">
        <v>5</v>
      </c>
      <c r="I1107" s="99">
        <v>22.733714285714285</v>
      </c>
      <c r="J1107" s="99">
        <v>0</v>
      </c>
      <c r="K1107" s="99">
        <v>92.829333333334375</v>
      </c>
      <c r="L1107" s="103">
        <v>702.85066666666557</v>
      </c>
    </row>
    <row r="1108" spans="1:12" x14ac:dyDescent="0.45">
      <c r="A1108" s="98"/>
      <c r="B1108" s="87"/>
      <c r="C1108" s="98"/>
      <c r="D1108" s="93"/>
      <c r="E1108" s="99">
        <v>0</v>
      </c>
      <c r="F1108" s="100"/>
      <c r="G1108" s="101">
        <v>0</v>
      </c>
      <c r="H1108" s="102">
        <v>0</v>
      </c>
      <c r="I1108" s="99">
        <v>0</v>
      </c>
      <c r="J1108" s="99">
        <v>0</v>
      </c>
      <c r="K1108" s="99">
        <v>0</v>
      </c>
      <c r="L1108" s="103">
        <v>0</v>
      </c>
    </row>
    <row r="1109" spans="1:12" x14ac:dyDescent="0.45">
      <c r="A1109" s="98" t="s">
        <v>340</v>
      </c>
      <c r="B1109" s="87">
        <v>344</v>
      </c>
      <c r="C1109" s="98" t="s">
        <v>1010</v>
      </c>
      <c r="D1109" s="93">
        <v>45315</v>
      </c>
      <c r="E1109" s="99">
        <v>4122.5</v>
      </c>
      <c r="F1109" s="98"/>
      <c r="G1109" s="106">
        <v>15</v>
      </c>
      <c r="H1109" s="102">
        <v>1</v>
      </c>
      <c r="I1109" s="106">
        <v>274.83333333333331</v>
      </c>
      <c r="J1109" s="107"/>
      <c r="K1109" s="111">
        <v>137.41666666666666</v>
      </c>
      <c r="L1109" s="108">
        <v>4259.916666666667</v>
      </c>
    </row>
    <row r="1110" spans="1:12" x14ac:dyDescent="0.45">
      <c r="A1110" s="112" t="s">
        <v>340</v>
      </c>
      <c r="B1110" s="87">
        <v>310</v>
      </c>
      <c r="C1110" s="98" t="s">
        <v>1011</v>
      </c>
      <c r="D1110" s="93">
        <v>45328</v>
      </c>
      <c r="E1110" s="99">
        <v>1041.8900000000001</v>
      </c>
      <c r="F1110" s="98"/>
      <c r="G1110" s="106">
        <v>15</v>
      </c>
      <c r="H1110" s="102">
        <v>1</v>
      </c>
      <c r="I1110" s="106">
        <v>69.459333333333333</v>
      </c>
      <c r="J1110" s="107"/>
      <c r="K1110" s="111">
        <v>34.729666666666667</v>
      </c>
      <c r="L1110" s="108">
        <v>1076.6196666666667</v>
      </c>
    </row>
    <row r="1111" spans="1:12" x14ac:dyDescent="0.45">
      <c r="A1111" s="98" t="s">
        <v>340</v>
      </c>
      <c r="B1111" s="87">
        <v>304</v>
      </c>
      <c r="C1111" s="98" t="s">
        <v>1012</v>
      </c>
      <c r="D1111" s="93">
        <v>45322</v>
      </c>
      <c r="E1111" s="99">
        <v>875.84</v>
      </c>
      <c r="F1111" s="98"/>
      <c r="G1111" s="106">
        <v>35</v>
      </c>
      <c r="H1111" s="102">
        <v>1</v>
      </c>
      <c r="I1111" s="106">
        <v>25.024000000000001</v>
      </c>
      <c r="J1111" s="107"/>
      <c r="K1111" s="111">
        <v>12.512</v>
      </c>
      <c r="L1111" s="108">
        <v>888.35200000000009</v>
      </c>
    </row>
    <row r="1112" spans="1:12" x14ac:dyDescent="0.45">
      <c r="A1112" s="98" t="s">
        <v>340</v>
      </c>
      <c r="B1112" s="87">
        <v>304</v>
      </c>
      <c r="C1112" s="98" t="s">
        <v>1013</v>
      </c>
      <c r="D1112" s="93">
        <v>45322</v>
      </c>
      <c r="E1112" s="99">
        <v>-875.84</v>
      </c>
      <c r="F1112" s="98"/>
      <c r="G1112" s="106">
        <v>35</v>
      </c>
      <c r="H1112" s="102">
        <v>1</v>
      </c>
      <c r="I1112" s="106">
        <v>-25.024000000000001</v>
      </c>
      <c r="J1112" s="107"/>
      <c r="K1112" s="111">
        <v>-12.512</v>
      </c>
      <c r="L1112" s="108">
        <v>-888.35200000000009</v>
      </c>
    </row>
    <row r="1113" spans="1:12" x14ac:dyDescent="0.45">
      <c r="A1113" s="98" t="s">
        <v>340</v>
      </c>
      <c r="B1113" s="87">
        <v>311</v>
      </c>
      <c r="C1113" s="98" t="s">
        <v>1014</v>
      </c>
      <c r="D1113" s="93">
        <v>45331</v>
      </c>
      <c r="E1113" s="99">
        <v>5273.61</v>
      </c>
      <c r="F1113" s="98"/>
      <c r="G1113" s="106">
        <v>25</v>
      </c>
      <c r="H1113" s="102">
        <v>1</v>
      </c>
      <c r="I1113" s="106">
        <v>210.94439999999997</v>
      </c>
      <c r="J1113" s="107"/>
      <c r="K1113" s="111">
        <v>105.47219999999999</v>
      </c>
      <c r="L1113" s="108">
        <v>5379.0821999999998</v>
      </c>
    </row>
    <row r="1114" spans="1:12" x14ac:dyDescent="0.45">
      <c r="A1114" s="98" t="s">
        <v>340</v>
      </c>
      <c r="B1114" s="87">
        <v>311</v>
      </c>
      <c r="C1114" s="98" t="s">
        <v>1015</v>
      </c>
      <c r="D1114" s="93">
        <v>45348</v>
      </c>
      <c r="E1114" s="99">
        <v>2834.87</v>
      </c>
      <c r="F1114" s="98"/>
      <c r="G1114" s="106">
        <v>25</v>
      </c>
      <c r="H1114" s="102">
        <v>1</v>
      </c>
      <c r="I1114" s="106">
        <v>113.39479999999999</v>
      </c>
      <c r="J1114" s="107"/>
      <c r="K1114" s="111">
        <v>56.697399999999995</v>
      </c>
      <c r="L1114" s="108">
        <v>2891.5673999999999</v>
      </c>
    </row>
    <row r="1115" spans="1:12" x14ac:dyDescent="0.45">
      <c r="A1115" s="98" t="s">
        <v>340</v>
      </c>
      <c r="B1115" s="87">
        <v>311</v>
      </c>
      <c r="C1115" s="98" t="s">
        <v>1016</v>
      </c>
      <c r="D1115" s="93">
        <v>45366</v>
      </c>
      <c r="E1115" s="99">
        <v>2834.87</v>
      </c>
      <c r="F1115" s="98"/>
      <c r="G1115" s="106">
        <v>25</v>
      </c>
      <c r="H1115" s="102">
        <v>1</v>
      </c>
      <c r="I1115" s="106">
        <v>113.39479999999999</v>
      </c>
      <c r="J1115" s="107"/>
      <c r="K1115" s="111">
        <v>56.697399999999995</v>
      </c>
      <c r="L1115" s="108">
        <v>2891.5673999999999</v>
      </c>
    </row>
    <row r="1116" spans="1:12" x14ac:dyDescent="0.45">
      <c r="A1116" s="98" t="s">
        <v>340</v>
      </c>
      <c r="B1116" s="87">
        <v>331</v>
      </c>
      <c r="C1116" s="98" t="s">
        <v>1017</v>
      </c>
      <c r="D1116" s="93">
        <v>45373</v>
      </c>
      <c r="E1116" s="99">
        <v>878.26</v>
      </c>
      <c r="F1116" s="98"/>
      <c r="G1116" s="106">
        <v>50</v>
      </c>
      <c r="H1116" s="102">
        <v>1</v>
      </c>
      <c r="I1116" s="106">
        <v>17.565200000000001</v>
      </c>
      <c r="J1116" s="107"/>
      <c r="K1116" s="111">
        <v>8.7826000000000004</v>
      </c>
      <c r="L1116" s="108">
        <v>887.04259999999999</v>
      </c>
    </row>
    <row r="1117" spans="1:12" x14ac:dyDescent="0.45">
      <c r="A1117" s="98" t="s">
        <v>340</v>
      </c>
      <c r="B1117" s="87">
        <v>334</v>
      </c>
      <c r="C1117" s="98" t="s">
        <v>1018</v>
      </c>
      <c r="D1117" s="93">
        <v>45429</v>
      </c>
      <c r="E1117" s="99">
        <v>5253.47</v>
      </c>
      <c r="F1117" s="98"/>
      <c r="G1117" s="106">
        <v>25</v>
      </c>
      <c r="H1117" s="102">
        <v>1</v>
      </c>
      <c r="I1117" s="106">
        <v>210.1388</v>
      </c>
      <c r="J1117" s="107"/>
      <c r="K1117" s="111">
        <v>105.0694</v>
      </c>
      <c r="L1117" s="108">
        <v>5358.5394000000006</v>
      </c>
    </row>
    <row r="1118" spans="1:12" x14ac:dyDescent="0.45">
      <c r="A1118" s="98" t="s">
        <v>340</v>
      </c>
      <c r="B1118" s="87">
        <v>304</v>
      </c>
      <c r="C1118" s="98" t="s">
        <v>1019</v>
      </c>
      <c r="D1118" s="93">
        <v>45418</v>
      </c>
      <c r="E1118" s="99">
        <v>2491.42</v>
      </c>
      <c r="F1118" s="98"/>
      <c r="G1118" s="106">
        <v>35</v>
      </c>
      <c r="H1118" s="102">
        <v>1</v>
      </c>
      <c r="I1118" s="106">
        <v>71.183428571428578</v>
      </c>
      <c r="J1118" s="107"/>
      <c r="K1118" s="111">
        <v>35.591714285714289</v>
      </c>
      <c r="L1118" s="108">
        <v>2527.0117142857143</v>
      </c>
    </row>
    <row r="1119" spans="1:12" x14ac:dyDescent="0.45">
      <c r="A1119" s="98" t="s">
        <v>340</v>
      </c>
      <c r="B1119" s="87">
        <v>330</v>
      </c>
      <c r="C1119" s="98" t="s">
        <v>1020</v>
      </c>
      <c r="D1119" s="93">
        <v>45420</v>
      </c>
      <c r="E1119" s="99">
        <v>16363.97</v>
      </c>
      <c r="F1119" s="98"/>
      <c r="G1119" s="106">
        <v>50</v>
      </c>
      <c r="H1119" s="102">
        <v>1</v>
      </c>
      <c r="I1119" s="106">
        <v>327.27940000000001</v>
      </c>
      <c r="J1119" s="107"/>
      <c r="K1119" s="111">
        <v>163.6397</v>
      </c>
      <c r="L1119" s="108">
        <v>16527.609700000001</v>
      </c>
    </row>
    <row r="1120" spans="1:12" x14ac:dyDescent="0.45">
      <c r="A1120" s="98" t="s">
        <v>340</v>
      </c>
      <c r="B1120" s="87">
        <v>330</v>
      </c>
      <c r="C1120" s="98" t="s">
        <v>1021</v>
      </c>
      <c r="D1120" s="93">
        <v>45420</v>
      </c>
      <c r="E1120" s="99">
        <v>53679.31</v>
      </c>
      <c r="F1120" s="98"/>
      <c r="G1120" s="106">
        <v>50</v>
      </c>
      <c r="H1120" s="102">
        <v>1</v>
      </c>
      <c r="I1120" s="106">
        <v>1073.5862</v>
      </c>
      <c r="J1120" s="107"/>
      <c r="K1120" s="111">
        <v>536.79309999999998</v>
      </c>
      <c r="L1120" s="108">
        <v>54216.1031</v>
      </c>
    </row>
    <row r="1121" spans="1:12" x14ac:dyDescent="0.45">
      <c r="A1121" s="98" t="s">
        <v>340</v>
      </c>
      <c r="B1121" s="87">
        <v>330</v>
      </c>
      <c r="C1121" s="98" t="s">
        <v>1022</v>
      </c>
      <c r="D1121" s="93">
        <v>45420</v>
      </c>
      <c r="E1121" s="99">
        <v>3111.55</v>
      </c>
      <c r="F1121" s="98"/>
      <c r="G1121" s="106">
        <v>50</v>
      </c>
      <c r="H1121" s="102">
        <v>1</v>
      </c>
      <c r="I1121" s="106">
        <v>62.231000000000002</v>
      </c>
      <c r="J1121" s="107"/>
      <c r="K1121" s="111">
        <v>31.115500000000001</v>
      </c>
      <c r="L1121" s="108">
        <v>3142.6655000000001</v>
      </c>
    </row>
    <row r="1122" spans="1:12" x14ac:dyDescent="0.45">
      <c r="A1122" s="98" t="s">
        <v>340</v>
      </c>
      <c r="B1122" s="87">
        <v>330</v>
      </c>
      <c r="C1122" s="98" t="s">
        <v>1023</v>
      </c>
      <c r="D1122" s="93">
        <v>45420</v>
      </c>
      <c r="E1122" s="99">
        <v>1614.06</v>
      </c>
      <c r="F1122" s="98"/>
      <c r="G1122" s="106">
        <v>50</v>
      </c>
      <c r="H1122" s="102">
        <v>1</v>
      </c>
      <c r="I1122" s="106">
        <v>32.281199999999998</v>
      </c>
      <c r="J1122" s="107"/>
      <c r="K1122" s="111">
        <v>16.140599999999999</v>
      </c>
      <c r="L1122" s="108">
        <v>1630.2005999999999</v>
      </c>
    </row>
    <row r="1123" spans="1:12" x14ac:dyDescent="0.45">
      <c r="A1123" s="98" t="s">
        <v>340</v>
      </c>
      <c r="B1123" s="87">
        <v>330</v>
      </c>
      <c r="C1123" s="98" t="s">
        <v>1024</v>
      </c>
      <c r="D1123" s="93">
        <v>45420</v>
      </c>
      <c r="E1123" s="99">
        <v>83472.240000000005</v>
      </c>
      <c r="F1123" s="98"/>
      <c r="G1123" s="106">
        <v>50</v>
      </c>
      <c r="H1123" s="102">
        <v>1</v>
      </c>
      <c r="I1123" s="106">
        <v>1669.4448000000002</v>
      </c>
      <c r="J1123" s="107"/>
      <c r="K1123" s="111">
        <v>834.72240000000011</v>
      </c>
      <c r="L1123" s="108">
        <v>84306.962400000004</v>
      </c>
    </row>
    <row r="1124" spans="1:12" x14ac:dyDescent="0.45">
      <c r="A1124" s="98" t="s">
        <v>340</v>
      </c>
      <c r="B1124" s="87">
        <v>330</v>
      </c>
      <c r="C1124" s="98" t="s">
        <v>1025</v>
      </c>
      <c r="D1124" s="93">
        <v>45420</v>
      </c>
      <c r="E1124" s="99">
        <v>220.17</v>
      </c>
      <c r="F1124" s="98"/>
      <c r="G1124" s="106">
        <v>50</v>
      </c>
      <c r="H1124" s="102">
        <v>1</v>
      </c>
      <c r="I1124" s="106">
        <v>4.4033999999999995</v>
      </c>
      <c r="J1124" s="107"/>
      <c r="K1124" s="111">
        <v>2.2016999999999998</v>
      </c>
      <c r="L1124" s="108">
        <v>222.37169999999998</v>
      </c>
    </row>
    <row r="1125" spans="1:12" x14ac:dyDescent="0.45">
      <c r="A1125" s="98" t="s">
        <v>340</v>
      </c>
      <c r="B1125" s="87">
        <v>330</v>
      </c>
      <c r="C1125" s="98" t="s">
        <v>1026</v>
      </c>
      <c r="D1125" s="93">
        <v>45420</v>
      </c>
      <c r="E1125" s="99">
        <v>1601.25</v>
      </c>
      <c r="F1125" s="98"/>
      <c r="G1125" s="106">
        <v>50</v>
      </c>
      <c r="H1125" s="102">
        <v>1</v>
      </c>
      <c r="I1125" s="106">
        <v>32.024999999999999</v>
      </c>
      <c r="J1125" s="107"/>
      <c r="K1125" s="111">
        <v>16.012499999999999</v>
      </c>
      <c r="L1125" s="108">
        <v>1617.2625</v>
      </c>
    </row>
    <row r="1126" spans="1:12" x14ac:dyDescent="0.45">
      <c r="A1126" s="98" t="s">
        <v>340</v>
      </c>
      <c r="B1126" s="87">
        <v>330</v>
      </c>
      <c r="C1126" s="98" t="s">
        <v>1027</v>
      </c>
      <c r="D1126" s="93">
        <v>45420</v>
      </c>
      <c r="E1126" s="99">
        <v>116.25</v>
      </c>
      <c r="F1126" s="98"/>
      <c r="G1126" s="106">
        <v>50</v>
      </c>
      <c r="H1126" s="102">
        <v>1</v>
      </c>
      <c r="I1126" s="106">
        <v>2.3250000000000002</v>
      </c>
      <c r="J1126" s="107"/>
      <c r="K1126" s="111">
        <v>1.1625000000000001</v>
      </c>
      <c r="L1126" s="108">
        <v>117.41249999999999</v>
      </c>
    </row>
    <row r="1127" spans="1:12" x14ac:dyDescent="0.45">
      <c r="A1127" s="98" t="s">
        <v>340</v>
      </c>
      <c r="B1127" s="87">
        <v>330</v>
      </c>
      <c r="C1127" s="98" t="s">
        <v>1028</v>
      </c>
      <c r="D1127" s="93">
        <v>45420</v>
      </c>
      <c r="E1127" s="99">
        <v>273.89</v>
      </c>
      <c r="F1127" s="98"/>
      <c r="G1127" s="106">
        <v>50</v>
      </c>
      <c r="H1127" s="102">
        <v>1</v>
      </c>
      <c r="I1127" s="106">
        <v>5.4777999999999993</v>
      </c>
      <c r="J1127" s="107"/>
      <c r="K1127" s="111">
        <v>2.7388999999999997</v>
      </c>
      <c r="L1127" s="108">
        <v>276.62889999999999</v>
      </c>
    </row>
    <row r="1128" spans="1:12" x14ac:dyDescent="0.45">
      <c r="A1128" s="98" t="s">
        <v>340</v>
      </c>
      <c r="B1128" s="87">
        <v>330</v>
      </c>
      <c r="C1128" s="98" t="s">
        <v>1029</v>
      </c>
      <c r="D1128" s="93">
        <v>45420</v>
      </c>
      <c r="E1128" s="99">
        <v>1900</v>
      </c>
      <c r="F1128" s="98"/>
      <c r="G1128" s="106">
        <v>50</v>
      </c>
      <c r="H1128" s="102">
        <v>1</v>
      </c>
      <c r="I1128" s="106">
        <v>38</v>
      </c>
      <c r="J1128" s="107"/>
      <c r="K1128" s="111">
        <v>19</v>
      </c>
      <c r="L1128" s="108">
        <v>1919</v>
      </c>
    </row>
    <row r="1129" spans="1:12" x14ac:dyDescent="0.45">
      <c r="A1129" s="98" t="s">
        <v>340</v>
      </c>
      <c r="B1129" s="87">
        <v>330</v>
      </c>
      <c r="C1129" s="98" t="s">
        <v>1030</v>
      </c>
      <c r="D1129" s="93">
        <v>45420</v>
      </c>
      <c r="E1129" s="99">
        <v>665</v>
      </c>
      <c r="F1129" s="98"/>
      <c r="G1129" s="106">
        <v>50</v>
      </c>
      <c r="H1129" s="102">
        <v>1</v>
      </c>
      <c r="I1129" s="106">
        <v>13.3</v>
      </c>
      <c r="J1129" s="107"/>
      <c r="K1129" s="111">
        <v>6.65</v>
      </c>
      <c r="L1129" s="108">
        <v>671.65</v>
      </c>
    </row>
    <row r="1130" spans="1:12" x14ac:dyDescent="0.45">
      <c r="A1130" s="98" t="s">
        <v>340</v>
      </c>
      <c r="B1130" s="87">
        <v>330</v>
      </c>
      <c r="C1130" s="98" t="s">
        <v>1031</v>
      </c>
      <c r="D1130" s="93">
        <v>45420</v>
      </c>
      <c r="E1130" s="99">
        <v>399</v>
      </c>
      <c r="F1130" s="98"/>
      <c r="G1130" s="106">
        <v>50</v>
      </c>
      <c r="H1130" s="102">
        <v>1</v>
      </c>
      <c r="I1130" s="106">
        <v>7.98</v>
      </c>
      <c r="J1130" s="107"/>
      <c r="K1130" s="111">
        <v>3.99</v>
      </c>
      <c r="L1130" s="108">
        <v>402.99</v>
      </c>
    </row>
    <row r="1131" spans="1:12" x14ac:dyDescent="0.45">
      <c r="A1131" s="98" t="s">
        <v>340</v>
      </c>
      <c r="B1131" s="87">
        <v>330</v>
      </c>
      <c r="C1131" s="98" t="s">
        <v>1032</v>
      </c>
      <c r="D1131" s="93">
        <v>45420</v>
      </c>
      <c r="E1131" s="99">
        <v>1390</v>
      </c>
      <c r="F1131" s="98"/>
      <c r="G1131" s="106">
        <v>50</v>
      </c>
      <c r="H1131" s="102">
        <v>1</v>
      </c>
      <c r="I1131" s="106">
        <v>27.8</v>
      </c>
      <c r="J1131" s="107"/>
      <c r="K1131" s="111">
        <v>13.9</v>
      </c>
      <c r="L1131" s="108">
        <v>1403.9</v>
      </c>
    </row>
    <row r="1132" spans="1:12" x14ac:dyDescent="0.45">
      <c r="A1132" s="98" t="s">
        <v>340</v>
      </c>
      <c r="B1132" s="87">
        <v>330</v>
      </c>
      <c r="C1132" s="98" t="s">
        <v>1033</v>
      </c>
      <c r="D1132" s="93">
        <v>45420</v>
      </c>
      <c r="E1132" s="99">
        <v>153.44999999999999</v>
      </c>
      <c r="F1132" s="98"/>
      <c r="G1132" s="106">
        <v>50</v>
      </c>
      <c r="H1132" s="102">
        <v>1</v>
      </c>
      <c r="I1132" s="106">
        <v>3.069</v>
      </c>
      <c r="J1132" s="107">
        <v>0</v>
      </c>
      <c r="K1132" s="111">
        <v>1.5345</v>
      </c>
      <c r="L1132" s="108">
        <v>154.9845</v>
      </c>
    </row>
    <row r="1133" spans="1:12" x14ac:dyDescent="0.45">
      <c r="A1133" s="98" t="s">
        <v>340</v>
      </c>
      <c r="B1133" s="87">
        <v>330</v>
      </c>
      <c r="C1133" s="98" t="s">
        <v>1034</v>
      </c>
      <c r="D1133" s="93">
        <v>45420</v>
      </c>
      <c r="E1133" s="99">
        <v>255.75</v>
      </c>
      <c r="F1133" s="98"/>
      <c r="G1133" s="106">
        <v>50</v>
      </c>
      <c r="H1133" s="102">
        <v>1</v>
      </c>
      <c r="I1133" s="106">
        <v>5.1150000000000002</v>
      </c>
      <c r="J1133" s="98"/>
      <c r="K1133" s="111">
        <v>2.5575000000000001</v>
      </c>
      <c r="L1133" s="108">
        <v>258.3075</v>
      </c>
    </row>
    <row r="1134" spans="1:12" x14ac:dyDescent="0.45">
      <c r="A1134" s="98" t="s">
        <v>340</v>
      </c>
      <c r="B1134" s="87">
        <v>330</v>
      </c>
      <c r="C1134" s="98" t="s">
        <v>1035</v>
      </c>
      <c r="D1134" s="93">
        <v>45420</v>
      </c>
      <c r="E1134" s="99">
        <v>511.5</v>
      </c>
      <c r="F1134" s="98"/>
      <c r="G1134" s="106">
        <v>50</v>
      </c>
      <c r="H1134" s="102">
        <v>1</v>
      </c>
      <c r="I1134" s="106">
        <v>10.23</v>
      </c>
      <c r="J1134" s="107">
        <v>0</v>
      </c>
      <c r="K1134" s="111">
        <v>5.1150000000000002</v>
      </c>
      <c r="L1134" s="108">
        <v>516.61500000000001</v>
      </c>
    </row>
    <row r="1135" spans="1:12" x14ac:dyDescent="0.45">
      <c r="A1135" s="98" t="s">
        <v>340</v>
      </c>
      <c r="B1135" s="87">
        <v>330</v>
      </c>
      <c r="C1135" s="98" t="s">
        <v>1036</v>
      </c>
      <c r="D1135" s="93">
        <v>45420</v>
      </c>
      <c r="E1135" s="99">
        <v>4966.25</v>
      </c>
      <c r="F1135" s="98"/>
      <c r="G1135" s="106">
        <v>50</v>
      </c>
      <c r="H1135" s="102">
        <v>1</v>
      </c>
      <c r="I1135" s="106">
        <v>99.325000000000003</v>
      </c>
      <c r="J1135" s="107"/>
      <c r="K1135" s="111">
        <v>49.662500000000001</v>
      </c>
      <c r="L1135" s="108">
        <v>5015.9125000000004</v>
      </c>
    </row>
    <row r="1136" spans="1:12" x14ac:dyDescent="0.45">
      <c r="A1136" s="98" t="s">
        <v>340</v>
      </c>
      <c r="B1136" s="87">
        <v>330</v>
      </c>
      <c r="C1136" s="98" t="s">
        <v>1037</v>
      </c>
      <c r="D1136" s="93">
        <v>45420</v>
      </c>
      <c r="E1136" s="99">
        <v>78601.240000000005</v>
      </c>
      <c r="F1136" s="98"/>
      <c r="G1136" s="106">
        <v>50</v>
      </c>
      <c r="H1136" s="102">
        <v>1</v>
      </c>
      <c r="I1136" s="106">
        <v>1572.0248000000001</v>
      </c>
      <c r="J1136" s="98"/>
      <c r="K1136" s="111">
        <v>786.01240000000007</v>
      </c>
      <c r="L1136" s="108">
        <v>79387.252400000012</v>
      </c>
    </row>
    <row r="1137" spans="1:12" x14ac:dyDescent="0.45">
      <c r="A1137" s="98" t="s">
        <v>340</v>
      </c>
      <c r="B1137" s="87">
        <v>330</v>
      </c>
      <c r="C1137" s="98" t="s">
        <v>1038</v>
      </c>
      <c r="D1137" s="93">
        <v>45420</v>
      </c>
      <c r="E1137" s="99">
        <v>803.15</v>
      </c>
      <c r="F1137" s="98"/>
      <c r="G1137" s="106">
        <v>50</v>
      </c>
      <c r="H1137" s="102">
        <v>1</v>
      </c>
      <c r="I1137" s="106">
        <v>16.062999999999999</v>
      </c>
      <c r="J1137" s="98"/>
      <c r="K1137" s="111">
        <v>8.0314999999999994</v>
      </c>
      <c r="L1137" s="108">
        <v>811.18150000000003</v>
      </c>
    </row>
    <row r="1138" spans="1:12" x14ac:dyDescent="0.45">
      <c r="A1138" s="98" t="s">
        <v>340</v>
      </c>
      <c r="B1138" s="87">
        <v>330</v>
      </c>
      <c r="C1138" s="98" t="s">
        <v>1039</v>
      </c>
      <c r="D1138" s="93">
        <v>45420</v>
      </c>
      <c r="E1138" s="99">
        <v>425806.78</v>
      </c>
      <c r="F1138" s="98"/>
      <c r="G1138" s="106">
        <v>50</v>
      </c>
      <c r="H1138" s="102">
        <v>1</v>
      </c>
      <c r="I1138" s="106">
        <v>8516.1356000000014</v>
      </c>
      <c r="J1138" s="98"/>
      <c r="K1138" s="111">
        <v>4258.0678000000007</v>
      </c>
      <c r="L1138" s="108">
        <v>430064.84780000005</v>
      </c>
    </row>
    <row r="1139" spans="1:12" x14ac:dyDescent="0.45">
      <c r="A1139" s="98" t="s">
        <v>340</v>
      </c>
      <c r="B1139" s="87">
        <v>330</v>
      </c>
      <c r="C1139" s="98" t="s">
        <v>1040</v>
      </c>
      <c r="D1139" s="93">
        <v>45420</v>
      </c>
      <c r="E1139" s="99">
        <v>306.89999999999998</v>
      </c>
      <c r="F1139" s="98"/>
      <c r="G1139" s="106">
        <v>50</v>
      </c>
      <c r="H1139" s="102">
        <v>1</v>
      </c>
      <c r="I1139" s="106">
        <v>6.1379999999999999</v>
      </c>
      <c r="J1139" s="98"/>
      <c r="K1139" s="111">
        <v>3.069</v>
      </c>
      <c r="L1139" s="108">
        <v>309.96899999999999</v>
      </c>
    </row>
    <row r="1140" spans="1:12" x14ac:dyDescent="0.45">
      <c r="A1140" s="98" t="s">
        <v>340</v>
      </c>
      <c r="B1140" s="87">
        <v>330</v>
      </c>
      <c r="C1140" s="98" t="s">
        <v>1041</v>
      </c>
      <c r="D1140" s="93">
        <v>45420</v>
      </c>
      <c r="E1140" s="99">
        <v>2341.25</v>
      </c>
      <c r="F1140" s="98"/>
      <c r="G1140" s="106">
        <v>50</v>
      </c>
      <c r="H1140" s="102">
        <v>1</v>
      </c>
      <c r="I1140" s="106">
        <v>46.825000000000003</v>
      </c>
      <c r="J1140" s="98"/>
      <c r="K1140" s="111">
        <v>23.412500000000001</v>
      </c>
      <c r="L1140" s="108">
        <v>2364.6624999999999</v>
      </c>
    </row>
    <row r="1141" spans="1:12" x14ac:dyDescent="0.45">
      <c r="A1141" s="98" t="s">
        <v>340</v>
      </c>
      <c r="B1141" s="87">
        <v>330</v>
      </c>
      <c r="C1141" s="98" t="s">
        <v>1042</v>
      </c>
      <c r="D1141" s="93">
        <v>45420</v>
      </c>
      <c r="E1141" s="99">
        <v>249.12</v>
      </c>
      <c r="F1141" s="98"/>
      <c r="G1141" s="106">
        <v>50</v>
      </c>
      <c r="H1141" s="102">
        <v>1</v>
      </c>
      <c r="I1141" s="106">
        <v>4.9824000000000002</v>
      </c>
      <c r="J1141" s="98"/>
      <c r="K1141" s="111">
        <v>2.4912000000000001</v>
      </c>
      <c r="L1141" s="108">
        <v>251.6112</v>
      </c>
    </row>
    <row r="1142" spans="1:12" x14ac:dyDescent="0.45">
      <c r="A1142" s="98" t="s">
        <v>340</v>
      </c>
      <c r="B1142" s="87">
        <v>330</v>
      </c>
      <c r="C1142" s="98" t="s">
        <v>1043</v>
      </c>
      <c r="D1142" s="93">
        <v>45420</v>
      </c>
      <c r="E1142" s="99">
        <v>402560</v>
      </c>
      <c r="F1142" s="98"/>
      <c r="G1142" s="106">
        <v>50</v>
      </c>
      <c r="H1142" s="102">
        <v>1</v>
      </c>
      <c r="I1142" s="106">
        <v>8051.2</v>
      </c>
      <c r="J1142" s="98"/>
      <c r="K1142" s="111">
        <v>4025.6</v>
      </c>
      <c r="L1142" s="108">
        <v>406585.59999999998</v>
      </c>
    </row>
    <row r="1143" spans="1:12" x14ac:dyDescent="0.45">
      <c r="A1143" s="98" t="s">
        <v>340</v>
      </c>
      <c r="B1143" s="87">
        <v>330</v>
      </c>
      <c r="C1143" s="98" t="s">
        <v>1044</v>
      </c>
      <c r="D1143" s="93">
        <v>45420</v>
      </c>
      <c r="E1143" s="99">
        <v>345</v>
      </c>
      <c r="F1143" s="98"/>
      <c r="G1143" s="106">
        <v>50</v>
      </c>
      <c r="H1143" s="102">
        <v>1</v>
      </c>
      <c r="I1143" s="106">
        <v>6.9</v>
      </c>
      <c r="J1143" s="98"/>
      <c r="K1143" s="111">
        <v>3.45</v>
      </c>
      <c r="L1143" s="108">
        <v>348.45</v>
      </c>
    </row>
    <row r="1144" spans="1:12" x14ac:dyDescent="0.45">
      <c r="A1144" s="98" t="s">
        <v>340</v>
      </c>
      <c r="B1144" s="87">
        <v>330</v>
      </c>
      <c r="C1144" s="98" t="s">
        <v>1045</v>
      </c>
      <c r="D1144" s="93">
        <v>45420</v>
      </c>
      <c r="E1144" s="99">
        <v>531</v>
      </c>
      <c r="F1144" s="98"/>
      <c r="G1144" s="106">
        <v>50</v>
      </c>
      <c r="H1144" s="102">
        <v>1</v>
      </c>
      <c r="I1144" s="106">
        <v>10.62</v>
      </c>
      <c r="J1144" s="98"/>
      <c r="K1144" s="111">
        <v>5.31</v>
      </c>
      <c r="L1144" s="108">
        <v>536.30999999999995</v>
      </c>
    </row>
    <row r="1145" spans="1:12" x14ac:dyDescent="0.45">
      <c r="A1145" s="98" t="s">
        <v>340</v>
      </c>
      <c r="B1145" s="87">
        <v>330</v>
      </c>
      <c r="C1145" s="98" t="s">
        <v>1046</v>
      </c>
      <c r="D1145" s="93">
        <v>45420</v>
      </c>
      <c r="E1145" s="99">
        <v>3927.5</v>
      </c>
      <c r="F1145" s="98"/>
      <c r="G1145" s="106">
        <v>50</v>
      </c>
      <c r="H1145" s="102">
        <v>1</v>
      </c>
      <c r="I1145" s="106">
        <v>78.55</v>
      </c>
      <c r="J1145" s="98"/>
      <c r="K1145" s="111">
        <v>39.274999999999999</v>
      </c>
      <c r="L1145" s="108">
        <v>3966.7750000000001</v>
      </c>
    </row>
    <row r="1146" spans="1:12" x14ac:dyDescent="0.45">
      <c r="A1146" s="98" t="s">
        <v>340</v>
      </c>
      <c r="B1146" s="87">
        <v>330</v>
      </c>
      <c r="C1146" s="98" t="s">
        <v>1047</v>
      </c>
      <c r="D1146" s="93">
        <v>45420</v>
      </c>
      <c r="E1146" s="99">
        <v>2228.87</v>
      </c>
      <c r="F1146" s="98"/>
      <c r="G1146" s="106">
        <v>50</v>
      </c>
      <c r="H1146" s="102">
        <v>1</v>
      </c>
      <c r="I1146" s="106">
        <v>44.577399999999997</v>
      </c>
      <c r="J1146" s="98"/>
      <c r="K1146" s="111">
        <v>22.288699999999999</v>
      </c>
      <c r="L1146" s="108">
        <v>2251.1587</v>
      </c>
    </row>
    <row r="1147" spans="1:12" x14ac:dyDescent="0.45">
      <c r="A1147" s="98" t="s">
        <v>340</v>
      </c>
      <c r="B1147" s="87">
        <v>330</v>
      </c>
      <c r="C1147" s="98" t="s">
        <v>1048</v>
      </c>
      <c r="D1147" s="93">
        <v>45420</v>
      </c>
      <c r="E1147" s="99">
        <v>930.5</v>
      </c>
      <c r="F1147" s="98"/>
      <c r="G1147" s="106">
        <v>50</v>
      </c>
      <c r="H1147" s="102">
        <v>1</v>
      </c>
      <c r="I1147" s="106">
        <v>18.61</v>
      </c>
      <c r="J1147" s="98"/>
      <c r="K1147" s="111">
        <v>9.3049999999999997</v>
      </c>
      <c r="L1147" s="108">
        <v>939.80499999999995</v>
      </c>
    </row>
    <row r="1148" spans="1:12" x14ac:dyDescent="0.45">
      <c r="A1148" s="98" t="s">
        <v>340</v>
      </c>
      <c r="B1148" s="87">
        <v>330</v>
      </c>
      <c r="C1148" s="98" t="s">
        <v>1049</v>
      </c>
      <c r="D1148" s="93">
        <v>45420</v>
      </c>
      <c r="E1148" s="99">
        <v>1682.5</v>
      </c>
      <c r="F1148" s="98"/>
      <c r="G1148" s="106">
        <v>50</v>
      </c>
      <c r="H1148" s="102">
        <v>1</v>
      </c>
      <c r="I1148" s="106">
        <v>33.65</v>
      </c>
      <c r="J1148" s="98"/>
      <c r="K1148" s="111">
        <v>16.824999999999999</v>
      </c>
      <c r="L1148" s="108">
        <v>1699.325</v>
      </c>
    </row>
    <row r="1149" spans="1:12" x14ac:dyDescent="0.45">
      <c r="A1149" s="98" t="s">
        <v>340</v>
      </c>
      <c r="B1149" s="87">
        <v>311</v>
      </c>
      <c r="C1149" s="98" t="s">
        <v>1050</v>
      </c>
      <c r="D1149" s="93">
        <v>45457</v>
      </c>
      <c r="E1149" s="99">
        <v>7300.45</v>
      </c>
      <c r="F1149" s="98"/>
      <c r="G1149" s="106">
        <v>25</v>
      </c>
      <c r="H1149" s="102">
        <v>1</v>
      </c>
      <c r="I1149" s="106">
        <v>292.01799999999997</v>
      </c>
      <c r="J1149" s="98"/>
      <c r="K1149" s="111">
        <v>146.00899999999999</v>
      </c>
      <c r="L1149" s="108">
        <v>7446.4589999999998</v>
      </c>
    </row>
    <row r="1150" spans="1:12" x14ac:dyDescent="0.45">
      <c r="A1150" s="98" t="s">
        <v>340</v>
      </c>
      <c r="B1150" s="87">
        <v>334</v>
      </c>
      <c r="C1150" s="98" t="s">
        <v>1051</v>
      </c>
      <c r="D1150" s="93">
        <v>45383</v>
      </c>
      <c r="E1150" s="99">
        <v>440.72</v>
      </c>
      <c r="F1150" s="98"/>
      <c r="G1150" s="106">
        <v>20</v>
      </c>
      <c r="H1150" s="102">
        <v>1</v>
      </c>
      <c r="I1150" s="106">
        <v>22.036000000000001</v>
      </c>
      <c r="J1150" s="98"/>
      <c r="K1150" s="111">
        <v>11.018000000000001</v>
      </c>
      <c r="L1150" s="108">
        <v>451.73800000000006</v>
      </c>
    </row>
    <row r="1151" spans="1:12" x14ac:dyDescent="0.45">
      <c r="A1151" s="98" t="s">
        <v>340</v>
      </c>
      <c r="B1151" s="87">
        <v>311</v>
      </c>
      <c r="C1151" s="98" t="s">
        <v>1052</v>
      </c>
      <c r="D1151" s="93">
        <v>45527</v>
      </c>
      <c r="E1151" s="99">
        <v>5144.0600000000004</v>
      </c>
      <c r="F1151" s="98"/>
      <c r="G1151" s="106">
        <v>20</v>
      </c>
      <c r="H1151" s="102">
        <v>1</v>
      </c>
      <c r="I1151" s="106">
        <v>257.20300000000003</v>
      </c>
      <c r="J1151" s="98"/>
      <c r="K1151" s="111">
        <v>128.60150000000002</v>
      </c>
      <c r="L1151" s="108">
        <v>5272.6615000000002</v>
      </c>
    </row>
    <row r="1152" spans="1:12" x14ac:dyDescent="0.45">
      <c r="A1152" s="98" t="s">
        <v>340</v>
      </c>
      <c r="B1152" s="87">
        <v>304</v>
      </c>
      <c r="C1152" s="98" t="s">
        <v>1053</v>
      </c>
      <c r="D1152" s="93">
        <v>45527</v>
      </c>
      <c r="E1152" s="99">
        <v>12157.85</v>
      </c>
      <c r="F1152" s="98"/>
      <c r="G1152" s="106">
        <v>35</v>
      </c>
      <c r="H1152" s="102">
        <v>1</v>
      </c>
      <c r="I1152" s="106">
        <v>347.36714285714288</v>
      </c>
      <c r="J1152" s="98"/>
      <c r="K1152" s="111">
        <v>173.68357142857144</v>
      </c>
      <c r="L1152" s="108">
        <v>12331.533571428572</v>
      </c>
    </row>
    <row r="1153" spans="1:12" x14ac:dyDescent="0.45">
      <c r="A1153" s="98" t="s">
        <v>340</v>
      </c>
      <c r="B1153" s="87">
        <v>330</v>
      </c>
      <c r="C1153" s="98" t="s">
        <v>1054</v>
      </c>
      <c r="D1153" s="93">
        <v>45420</v>
      </c>
      <c r="E1153" s="99">
        <v>480471.62</v>
      </c>
      <c r="F1153" s="98"/>
      <c r="G1153" s="106">
        <v>50</v>
      </c>
      <c r="H1153" s="102">
        <v>1</v>
      </c>
      <c r="I1153" s="106">
        <v>9609.4323999999997</v>
      </c>
      <c r="J1153" s="98"/>
      <c r="K1153" s="111">
        <v>4804.7161999999998</v>
      </c>
      <c r="L1153" s="108">
        <v>485276.33620000002</v>
      </c>
    </row>
    <row r="1154" spans="1:12" x14ac:dyDescent="0.45">
      <c r="A1154" s="98" t="s">
        <v>340</v>
      </c>
      <c r="B1154" s="87">
        <v>307</v>
      </c>
      <c r="C1154" s="98" t="s">
        <v>1055</v>
      </c>
      <c r="D1154" s="93">
        <v>45597</v>
      </c>
      <c r="E1154" s="99">
        <v>140000</v>
      </c>
      <c r="F1154" s="98"/>
      <c r="G1154" s="106">
        <v>25</v>
      </c>
      <c r="H1154" s="102">
        <v>-1</v>
      </c>
      <c r="I1154" s="106">
        <v>5600</v>
      </c>
      <c r="J1154" s="98"/>
      <c r="K1154" s="111">
        <v>2800</v>
      </c>
      <c r="L1154" s="108">
        <v>142800</v>
      </c>
    </row>
    <row r="1155" spans="1:12" x14ac:dyDescent="0.45">
      <c r="A1155" s="98" t="s">
        <v>340</v>
      </c>
      <c r="B1155" s="87">
        <v>320</v>
      </c>
      <c r="C1155" s="98" t="s">
        <v>1056</v>
      </c>
      <c r="D1155" s="93">
        <v>45474</v>
      </c>
      <c r="E1155" s="99">
        <v>2091.42</v>
      </c>
      <c r="F1155" s="98"/>
      <c r="G1155" s="106">
        <v>20</v>
      </c>
      <c r="H1155" s="102">
        <v>1</v>
      </c>
      <c r="I1155" s="106">
        <v>104.571</v>
      </c>
      <c r="J1155" s="98"/>
      <c r="K1155" s="111">
        <v>52.285499999999999</v>
      </c>
      <c r="L1155" s="108">
        <v>2143.7055</v>
      </c>
    </row>
    <row r="1156" spans="1:12" x14ac:dyDescent="0.45">
      <c r="A1156" s="98" t="s">
        <v>340</v>
      </c>
      <c r="B1156" s="87">
        <v>320</v>
      </c>
      <c r="C1156" s="98" t="s">
        <v>1057</v>
      </c>
      <c r="D1156" s="93">
        <v>45474</v>
      </c>
      <c r="E1156" s="99">
        <v>133</v>
      </c>
      <c r="F1156" s="98"/>
      <c r="G1156" s="106">
        <v>20</v>
      </c>
      <c r="H1156" s="102">
        <v>1</v>
      </c>
      <c r="I1156" s="106">
        <v>6.65</v>
      </c>
      <c r="J1156" s="98"/>
      <c r="K1156" s="111">
        <v>3.3250000000000002</v>
      </c>
      <c r="L1156" s="108">
        <v>136.32499999999999</v>
      </c>
    </row>
    <row r="1157" spans="1:12" x14ac:dyDescent="0.45">
      <c r="A1157" s="98" t="s">
        <v>340</v>
      </c>
      <c r="B1157" s="87">
        <v>320</v>
      </c>
      <c r="C1157" s="98" t="s">
        <v>1058</v>
      </c>
      <c r="D1157" s="93">
        <v>45474</v>
      </c>
      <c r="E1157" s="99">
        <v>613</v>
      </c>
      <c r="F1157" s="98"/>
      <c r="G1157" s="106">
        <v>20</v>
      </c>
      <c r="H1157" s="102">
        <v>1</v>
      </c>
      <c r="I1157" s="106">
        <v>30.65</v>
      </c>
      <c r="J1157" s="98"/>
      <c r="K1157" s="111">
        <v>15.324999999999999</v>
      </c>
      <c r="L1157" s="108">
        <v>628.32500000000005</v>
      </c>
    </row>
    <row r="1158" spans="1:12" x14ac:dyDescent="0.45">
      <c r="A1158" s="98" t="s">
        <v>340</v>
      </c>
      <c r="B1158" s="87">
        <v>320</v>
      </c>
      <c r="C1158" s="98" t="s">
        <v>1059</v>
      </c>
      <c r="D1158" s="93">
        <v>45474</v>
      </c>
      <c r="E1158" s="99">
        <v>46.16</v>
      </c>
      <c r="F1158" s="98"/>
      <c r="G1158" s="106">
        <v>20</v>
      </c>
      <c r="H1158" s="102">
        <v>1</v>
      </c>
      <c r="I1158" s="106">
        <v>2.3079999999999998</v>
      </c>
      <c r="J1158" s="98"/>
      <c r="K1158" s="111">
        <v>1.1539999999999999</v>
      </c>
      <c r="L1158" s="108">
        <v>47.313999999999993</v>
      </c>
    </row>
    <row r="1159" spans="1:12" x14ac:dyDescent="0.45">
      <c r="A1159" s="98" t="s">
        <v>340</v>
      </c>
      <c r="B1159" s="87">
        <v>320</v>
      </c>
      <c r="C1159" s="98" t="s">
        <v>1060</v>
      </c>
      <c r="D1159" s="93">
        <v>45474</v>
      </c>
      <c r="E1159" s="99">
        <v>132.75</v>
      </c>
      <c r="F1159" s="98"/>
      <c r="G1159" s="106">
        <v>20</v>
      </c>
      <c r="H1159" s="102">
        <v>1</v>
      </c>
      <c r="I1159" s="106">
        <v>6.6375000000000002</v>
      </c>
      <c r="J1159" s="98"/>
      <c r="K1159" s="111">
        <v>3.3187500000000001</v>
      </c>
      <c r="L1159" s="108">
        <v>136.06874999999999</v>
      </c>
    </row>
    <row r="1160" spans="1:12" x14ac:dyDescent="0.45">
      <c r="A1160" s="98" t="s">
        <v>340</v>
      </c>
      <c r="B1160" s="87">
        <v>320</v>
      </c>
      <c r="C1160" s="98" t="s">
        <v>1061</v>
      </c>
      <c r="D1160" s="93">
        <v>45474</v>
      </c>
      <c r="E1160" s="99">
        <v>54208.9</v>
      </c>
      <c r="F1160" s="98"/>
      <c r="G1160" s="106">
        <v>20</v>
      </c>
      <c r="H1160" s="102">
        <v>1</v>
      </c>
      <c r="I1160" s="106">
        <v>2710.4450000000002</v>
      </c>
      <c r="J1160" s="98"/>
      <c r="K1160" s="111">
        <v>1355.2225000000001</v>
      </c>
      <c r="L1160" s="108">
        <v>55564.122500000005</v>
      </c>
    </row>
    <row r="1161" spans="1:12" x14ac:dyDescent="0.45">
      <c r="A1161" s="98" t="s">
        <v>340</v>
      </c>
      <c r="B1161" s="87">
        <v>320</v>
      </c>
      <c r="C1161" s="98" t="s">
        <v>1062</v>
      </c>
      <c r="D1161" s="93">
        <v>45474</v>
      </c>
      <c r="E1161" s="99">
        <v>102.3</v>
      </c>
      <c r="F1161" s="98"/>
      <c r="G1161" s="106">
        <v>20</v>
      </c>
      <c r="H1161" s="102">
        <v>1</v>
      </c>
      <c r="I1161" s="106">
        <v>5.1150000000000002</v>
      </c>
      <c r="J1161" s="98"/>
      <c r="K1161" s="111">
        <v>2.5575000000000001</v>
      </c>
      <c r="L1161" s="108">
        <v>104.8575</v>
      </c>
    </row>
    <row r="1162" spans="1:12" x14ac:dyDescent="0.45">
      <c r="A1162" s="98" t="s">
        <v>340</v>
      </c>
      <c r="B1162" s="87">
        <v>320</v>
      </c>
      <c r="C1162" s="98" t="s">
        <v>1063</v>
      </c>
      <c r="D1162" s="93">
        <v>45474</v>
      </c>
      <c r="E1162" s="99">
        <v>511.5</v>
      </c>
      <c r="F1162" s="98"/>
      <c r="G1162" s="106">
        <v>20</v>
      </c>
      <c r="H1162" s="102">
        <v>1</v>
      </c>
      <c r="I1162" s="106">
        <v>25.574999999999999</v>
      </c>
      <c r="J1162" s="98"/>
      <c r="K1162" s="111">
        <v>12.7875</v>
      </c>
      <c r="L1162" s="108">
        <v>524.28750000000002</v>
      </c>
    </row>
    <row r="1163" spans="1:12" x14ac:dyDescent="0.45">
      <c r="A1163" s="98" t="s">
        <v>340</v>
      </c>
      <c r="B1163" s="87">
        <v>320</v>
      </c>
      <c r="C1163" s="98" t="s">
        <v>1064</v>
      </c>
      <c r="D1163" s="93">
        <v>45474</v>
      </c>
      <c r="E1163" s="99">
        <v>666.04</v>
      </c>
      <c r="F1163" s="98"/>
      <c r="G1163" s="106">
        <v>20</v>
      </c>
      <c r="H1163" s="102">
        <v>1</v>
      </c>
      <c r="I1163" s="106">
        <v>33.302</v>
      </c>
      <c r="J1163" s="98"/>
      <c r="K1163" s="111">
        <v>16.651</v>
      </c>
      <c r="L1163" s="108">
        <v>682.69099999999992</v>
      </c>
    </row>
    <row r="1164" spans="1:12" x14ac:dyDescent="0.45">
      <c r="A1164" s="98" t="s">
        <v>340</v>
      </c>
      <c r="B1164" s="87">
        <v>320</v>
      </c>
      <c r="C1164" s="98" t="s">
        <v>1065</v>
      </c>
      <c r="D1164" s="93">
        <v>45474</v>
      </c>
      <c r="E1164" s="99">
        <v>516</v>
      </c>
      <c r="F1164" s="98"/>
      <c r="G1164" s="106">
        <v>20</v>
      </c>
      <c r="H1164" s="102">
        <v>1</v>
      </c>
      <c r="I1164" s="106">
        <v>25.8</v>
      </c>
      <c r="J1164" s="98"/>
      <c r="K1164" s="111">
        <v>12.9</v>
      </c>
      <c r="L1164" s="108">
        <v>528.9</v>
      </c>
    </row>
    <row r="1165" spans="1:12" x14ac:dyDescent="0.45">
      <c r="A1165" s="98" t="s">
        <v>340</v>
      </c>
      <c r="B1165" s="87">
        <v>320</v>
      </c>
      <c r="C1165" s="98" t="s">
        <v>1066</v>
      </c>
      <c r="D1165" s="93">
        <v>45474</v>
      </c>
      <c r="E1165" s="99">
        <v>409.2</v>
      </c>
      <c r="F1165" s="98"/>
      <c r="G1165" s="106">
        <v>20</v>
      </c>
      <c r="H1165" s="102">
        <v>1</v>
      </c>
      <c r="I1165" s="106">
        <v>20.46</v>
      </c>
      <c r="J1165" s="98"/>
      <c r="K1165" s="111">
        <v>10.23</v>
      </c>
      <c r="L1165" s="108">
        <v>419.43</v>
      </c>
    </row>
    <row r="1166" spans="1:12" x14ac:dyDescent="0.45">
      <c r="A1166" s="98" t="s">
        <v>340</v>
      </c>
      <c r="B1166" s="87">
        <v>320</v>
      </c>
      <c r="C1166" s="98" t="s">
        <v>1067</v>
      </c>
      <c r="D1166" s="93">
        <v>45474</v>
      </c>
      <c r="E1166" s="99">
        <v>1150.51</v>
      </c>
      <c r="F1166" s="98"/>
      <c r="G1166" s="106">
        <v>20</v>
      </c>
      <c r="H1166" s="102">
        <v>1</v>
      </c>
      <c r="I1166" s="106">
        <v>57.525500000000001</v>
      </c>
      <c r="J1166" s="98"/>
      <c r="K1166" s="111">
        <v>28.76275</v>
      </c>
      <c r="L1166" s="108">
        <v>1179.2727500000001</v>
      </c>
    </row>
    <row r="1167" spans="1:12" x14ac:dyDescent="0.45">
      <c r="A1167" s="98" t="s">
        <v>340</v>
      </c>
      <c r="B1167" s="87">
        <v>320</v>
      </c>
      <c r="C1167" s="98" t="s">
        <v>1068</v>
      </c>
      <c r="D1167" s="93">
        <v>45474</v>
      </c>
      <c r="E1167" s="99">
        <v>55989.51</v>
      </c>
      <c r="F1167" s="98"/>
      <c r="G1167" s="106">
        <v>20</v>
      </c>
      <c r="H1167" s="102">
        <v>1</v>
      </c>
      <c r="I1167" s="106">
        <v>2799.4755</v>
      </c>
      <c r="J1167" s="98"/>
      <c r="K1167" s="111">
        <v>1399.73775</v>
      </c>
      <c r="L1167" s="108">
        <v>57389.247750000002</v>
      </c>
    </row>
    <row r="1168" spans="1:12" x14ac:dyDescent="0.45">
      <c r="A1168" s="98" t="s">
        <v>340</v>
      </c>
      <c r="B1168" s="87">
        <v>320</v>
      </c>
      <c r="C1168" s="98" t="s">
        <v>1069</v>
      </c>
      <c r="D1168" s="93">
        <v>45474</v>
      </c>
      <c r="E1168" s="99">
        <v>4112.79</v>
      </c>
      <c r="F1168" s="98"/>
      <c r="G1168" s="106">
        <v>20</v>
      </c>
      <c r="H1168" s="102">
        <v>1</v>
      </c>
      <c r="I1168" s="106">
        <v>205.6395</v>
      </c>
      <c r="J1168" s="98"/>
      <c r="K1168" s="111">
        <v>102.81975</v>
      </c>
      <c r="L1168" s="108">
        <v>4215.6097499999996</v>
      </c>
    </row>
    <row r="1169" spans="1:12" x14ac:dyDescent="0.45">
      <c r="A1169" s="98" t="s">
        <v>340</v>
      </c>
      <c r="B1169" s="87">
        <v>320</v>
      </c>
      <c r="C1169" s="98" t="s">
        <v>1070</v>
      </c>
      <c r="D1169" s="93">
        <v>45474</v>
      </c>
      <c r="E1169" s="99">
        <v>444.5</v>
      </c>
      <c r="F1169" s="98"/>
      <c r="G1169" s="106">
        <v>20</v>
      </c>
      <c r="H1169" s="102">
        <v>1</v>
      </c>
      <c r="I1169" s="106">
        <v>22.225000000000001</v>
      </c>
      <c r="J1169" s="98"/>
      <c r="K1169" s="111">
        <v>11.112500000000001</v>
      </c>
      <c r="L1169" s="108">
        <v>455.61250000000001</v>
      </c>
    </row>
    <row r="1170" spans="1:12" x14ac:dyDescent="0.45">
      <c r="A1170" s="98" t="s">
        <v>340</v>
      </c>
      <c r="B1170" s="87">
        <v>320</v>
      </c>
      <c r="C1170" s="98" t="s">
        <v>1071</v>
      </c>
      <c r="D1170" s="93">
        <v>45474</v>
      </c>
      <c r="E1170" s="99">
        <v>4761.6499999999996</v>
      </c>
      <c r="F1170" s="98"/>
      <c r="G1170" s="106">
        <v>20</v>
      </c>
      <c r="H1170" s="102">
        <v>1</v>
      </c>
      <c r="I1170" s="106">
        <v>238.08249999999998</v>
      </c>
      <c r="J1170" s="98"/>
      <c r="K1170" s="111">
        <v>119.04124999999999</v>
      </c>
      <c r="L1170" s="108">
        <v>4880.6912499999999</v>
      </c>
    </row>
    <row r="1171" spans="1:12" x14ac:dyDescent="0.45">
      <c r="A1171" s="98" t="s">
        <v>340</v>
      </c>
      <c r="B1171" s="87">
        <v>320</v>
      </c>
      <c r="C1171" s="98" t="s">
        <v>1072</v>
      </c>
      <c r="D1171" s="93">
        <v>45474</v>
      </c>
      <c r="E1171" s="99">
        <v>5594.77</v>
      </c>
      <c r="F1171" s="98"/>
      <c r="G1171" s="106">
        <v>20</v>
      </c>
      <c r="H1171" s="102">
        <v>1</v>
      </c>
      <c r="I1171" s="106">
        <v>279.73850000000004</v>
      </c>
      <c r="J1171" s="98"/>
      <c r="K1171" s="111">
        <v>139.86925000000002</v>
      </c>
      <c r="L1171" s="108">
        <v>5734.6392500000002</v>
      </c>
    </row>
    <row r="1172" spans="1:12" x14ac:dyDescent="0.45">
      <c r="A1172" s="98" t="s">
        <v>340</v>
      </c>
      <c r="B1172" s="87">
        <v>320</v>
      </c>
      <c r="C1172" s="98" t="s">
        <v>1073</v>
      </c>
      <c r="D1172" s="93">
        <v>45474</v>
      </c>
      <c r="E1172" s="99">
        <v>240.28</v>
      </c>
      <c r="F1172" s="98"/>
      <c r="G1172" s="106">
        <v>20</v>
      </c>
      <c r="H1172" s="102">
        <v>1</v>
      </c>
      <c r="I1172" s="106">
        <v>12.013999999999999</v>
      </c>
      <c r="J1172" s="98"/>
      <c r="K1172" s="111">
        <v>6.0069999999999997</v>
      </c>
      <c r="L1172" s="108">
        <v>246.28700000000001</v>
      </c>
    </row>
    <row r="1173" spans="1:12" x14ac:dyDescent="0.45">
      <c r="A1173" s="98" t="s">
        <v>340</v>
      </c>
      <c r="B1173" s="87">
        <v>320</v>
      </c>
      <c r="C1173" s="98" t="s">
        <v>1074</v>
      </c>
      <c r="D1173" s="93">
        <v>45474</v>
      </c>
      <c r="E1173" s="99">
        <v>852.76</v>
      </c>
      <c r="F1173" s="98"/>
      <c r="G1173" s="106">
        <v>20</v>
      </c>
      <c r="H1173" s="102">
        <v>1</v>
      </c>
      <c r="I1173" s="106">
        <v>42.637999999999998</v>
      </c>
      <c r="J1173" s="98"/>
      <c r="K1173" s="111">
        <v>21.318999999999999</v>
      </c>
      <c r="L1173" s="108">
        <v>874.07899999999995</v>
      </c>
    </row>
    <row r="1174" spans="1:12" x14ac:dyDescent="0.45">
      <c r="A1174" s="98" t="s">
        <v>340</v>
      </c>
      <c r="B1174" s="87">
        <v>334</v>
      </c>
      <c r="C1174" s="98" t="s">
        <v>1075</v>
      </c>
      <c r="D1174" s="93">
        <v>45473</v>
      </c>
      <c r="E1174" s="99">
        <v>406.67</v>
      </c>
      <c r="F1174" s="98"/>
      <c r="G1174" s="106">
        <v>25</v>
      </c>
      <c r="H1174" s="102">
        <v>1</v>
      </c>
      <c r="I1174" s="106">
        <v>16.2668</v>
      </c>
      <c r="J1174" s="98"/>
      <c r="K1174" s="111">
        <v>8.1334</v>
      </c>
      <c r="L1174" s="108">
        <v>414.80340000000001</v>
      </c>
    </row>
    <row r="1175" spans="1:12" x14ac:dyDescent="0.45">
      <c r="A1175" s="98" t="s">
        <v>340</v>
      </c>
      <c r="B1175" s="87">
        <v>333</v>
      </c>
      <c r="C1175" s="98" t="s">
        <v>1076</v>
      </c>
      <c r="D1175" s="93">
        <v>45504</v>
      </c>
      <c r="E1175" s="99">
        <v>4259.1099999999997</v>
      </c>
      <c r="F1175" s="98"/>
      <c r="G1175" s="106">
        <v>30</v>
      </c>
      <c r="H1175" s="102">
        <v>1</v>
      </c>
      <c r="I1175" s="106">
        <v>141.97033333333331</v>
      </c>
      <c r="J1175" s="98"/>
      <c r="K1175" s="111">
        <v>70.985166666666657</v>
      </c>
      <c r="L1175" s="108">
        <v>4330.095166666666</v>
      </c>
    </row>
    <row r="1176" spans="1:12" x14ac:dyDescent="0.45">
      <c r="A1176" s="98" t="s">
        <v>340</v>
      </c>
      <c r="B1176" s="87">
        <v>311</v>
      </c>
      <c r="C1176" s="98" t="s">
        <v>1077</v>
      </c>
      <c r="D1176" s="93">
        <v>45504</v>
      </c>
      <c r="E1176" s="99">
        <v>1462.64</v>
      </c>
      <c r="F1176" s="98"/>
      <c r="G1176" s="106">
        <v>20</v>
      </c>
      <c r="H1176" s="102">
        <v>1</v>
      </c>
      <c r="I1176" s="106">
        <v>73.132000000000005</v>
      </c>
      <c r="J1176" s="98"/>
      <c r="K1176" s="111">
        <v>36.566000000000003</v>
      </c>
      <c r="L1176" s="108">
        <v>1499.2060000000001</v>
      </c>
    </row>
    <row r="1177" spans="1:12" x14ac:dyDescent="0.45">
      <c r="A1177" s="98" t="s">
        <v>340</v>
      </c>
      <c r="B1177" s="87">
        <v>310</v>
      </c>
      <c r="C1177" s="98" t="s">
        <v>1078</v>
      </c>
      <c r="D1177" s="93">
        <v>45301</v>
      </c>
      <c r="E1177" s="99">
        <v>1016.26</v>
      </c>
      <c r="F1177" s="98"/>
      <c r="G1177" s="106">
        <v>15</v>
      </c>
      <c r="H1177" s="102">
        <v>1</v>
      </c>
      <c r="I1177" s="106">
        <v>67.75066666666666</v>
      </c>
      <c r="J1177" s="98"/>
      <c r="K1177" s="111">
        <v>33.87533333333333</v>
      </c>
      <c r="L1177" s="108">
        <v>1050.1353333333334</v>
      </c>
    </row>
    <row r="1178" spans="1:12" x14ac:dyDescent="0.45">
      <c r="A1178" s="98" t="s">
        <v>340</v>
      </c>
      <c r="B1178" s="87">
        <v>310</v>
      </c>
      <c r="C1178" s="98" t="s">
        <v>1079</v>
      </c>
      <c r="D1178" s="93">
        <v>45301</v>
      </c>
      <c r="E1178" s="99">
        <v>789.8</v>
      </c>
      <c r="F1178" s="98"/>
      <c r="G1178" s="106">
        <v>15</v>
      </c>
      <c r="H1178" s="102">
        <v>1</v>
      </c>
      <c r="I1178" s="106">
        <v>52.653333333333329</v>
      </c>
      <c r="J1178" s="98"/>
      <c r="K1178" s="111">
        <v>26.326666666666664</v>
      </c>
      <c r="L1178" s="108">
        <v>816.12666666666667</v>
      </c>
    </row>
    <row r="1179" spans="1:12" x14ac:dyDescent="0.45">
      <c r="A1179" s="98" t="s">
        <v>340</v>
      </c>
      <c r="B1179" s="87">
        <v>348</v>
      </c>
      <c r="C1179" s="98" t="s">
        <v>1080</v>
      </c>
      <c r="D1179" s="93">
        <v>45323</v>
      </c>
      <c r="E1179" s="99">
        <v>15332.07</v>
      </c>
      <c r="F1179" s="98"/>
      <c r="G1179" s="106">
        <v>6</v>
      </c>
      <c r="H1179" s="102">
        <v>1</v>
      </c>
      <c r="I1179" s="106">
        <v>2555.3449999999998</v>
      </c>
      <c r="J1179" s="98"/>
      <c r="K1179" s="111">
        <v>1277.6724999999999</v>
      </c>
      <c r="L1179" s="108">
        <v>16609.7425</v>
      </c>
    </row>
    <row r="1180" spans="1:12" x14ac:dyDescent="0.45">
      <c r="A1180" s="98" t="s">
        <v>340</v>
      </c>
      <c r="B1180" s="87">
        <v>311</v>
      </c>
      <c r="C1180" s="98" t="s">
        <v>1081</v>
      </c>
      <c r="D1180" s="93">
        <v>45323</v>
      </c>
      <c r="E1180" s="99">
        <v>6707.45</v>
      </c>
      <c r="F1180" s="98"/>
      <c r="G1180" s="106">
        <v>40</v>
      </c>
      <c r="H1180" s="102">
        <v>1</v>
      </c>
      <c r="I1180" s="106">
        <v>167.68625</v>
      </c>
      <c r="J1180" s="98"/>
      <c r="K1180" s="111">
        <v>83.843125000000001</v>
      </c>
      <c r="L1180" s="108">
        <v>6791.2931250000001</v>
      </c>
    </row>
    <row r="1181" spans="1:12" x14ac:dyDescent="0.45">
      <c r="A1181" s="98" t="s">
        <v>340</v>
      </c>
      <c r="B1181" s="87">
        <v>340</v>
      </c>
      <c r="C1181" s="98" t="s">
        <v>1002</v>
      </c>
      <c r="D1181" s="93">
        <v>45408</v>
      </c>
      <c r="E1181" s="99">
        <v>418.85</v>
      </c>
      <c r="F1181" s="98"/>
      <c r="G1181" s="106">
        <v>10</v>
      </c>
      <c r="H1181" s="102">
        <v>1</v>
      </c>
      <c r="I1181" s="106">
        <v>41.885000000000005</v>
      </c>
      <c r="J1181" s="98"/>
      <c r="K1181" s="111">
        <v>20.942500000000003</v>
      </c>
      <c r="L1181" s="108">
        <v>439.79250000000002</v>
      </c>
    </row>
    <row r="1182" spans="1:12" x14ac:dyDescent="0.45">
      <c r="A1182" s="98" t="s">
        <v>1082</v>
      </c>
      <c r="B1182" s="87">
        <v>334</v>
      </c>
      <c r="C1182" s="98" t="s">
        <v>1083</v>
      </c>
      <c r="D1182" s="93">
        <v>45352</v>
      </c>
      <c r="E1182" s="99">
        <v>499.56</v>
      </c>
      <c r="F1182" s="98"/>
      <c r="G1182" s="106">
        <v>25</v>
      </c>
      <c r="H1182" s="102">
        <v>1</v>
      </c>
      <c r="I1182" s="106">
        <v>19.982399999999998</v>
      </c>
      <c r="J1182" s="98"/>
      <c r="K1182" s="111">
        <v>9.9911999999999992</v>
      </c>
      <c r="L1182" s="108">
        <v>509.55119999999999</v>
      </c>
    </row>
    <row r="1183" spans="1:12" x14ac:dyDescent="0.45">
      <c r="A1183" s="98" t="s">
        <v>1082</v>
      </c>
      <c r="B1183" s="87">
        <v>334</v>
      </c>
      <c r="C1183" s="98" t="s">
        <v>1084</v>
      </c>
      <c r="D1183" s="93">
        <v>45440</v>
      </c>
      <c r="E1183" s="99">
        <v>70.59</v>
      </c>
      <c r="F1183" s="98"/>
      <c r="G1183" s="106">
        <v>25</v>
      </c>
      <c r="H1183" s="102">
        <v>1</v>
      </c>
      <c r="I1183" s="106">
        <v>2.8236000000000003</v>
      </c>
      <c r="J1183" s="98"/>
      <c r="K1183" s="111">
        <v>1.4118000000000002</v>
      </c>
      <c r="L1183" s="108">
        <v>72.001800000000003</v>
      </c>
    </row>
    <row r="1184" spans="1:12" x14ac:dyDescent="0.45">
      <c r="A1184" s="98" t="s">
        <v>1082</v>
      </c>
      <c r="B1184" s="87">
        <v>344</v>
      </c>
      <c r="C1184" s="98" t="s">
        <v>1085</v>
      </c>
      <c r="D1184" s="93">
        <v>45315</v>
      </c>
      <c r="E1184" s="99">
        <v>8717.75</v>
      </c>
      <c r="F1184" s="98"/>
      <c r="G1184" s="106">
        <v>15</v>
      </c>
      <c r="H1184" s="102">
        <v>1</v>
      </c>
      <c r="I1184" s="106">
        <v>581.18333333333328</v>
      </c>
      <c r="J1184" s="98"/>
      <c r="K1184" s="111">
        <v>290.59166666666664</v>
      </c>
      <c r="L1184" s="108">
        <v>9008.3416666666672</v>
      </c>
    </row>
    <row r="1185" spans="1:12" x14ac:dyDescent="0.45">
      <c r="A1185" s="98" t="s">
        <v>1082</v>
      </c>
      <c r="B1185" s="87">
        <v>340</v>
      </c>
      <c r="C1185" s="98" t="s">
        <v>1002</v>
      </c>
      <c r="D1185" s="93">
        <v>45384</v>
      </c>
      <c r="E1185" s="99">
        <v>632.1</v>
      </c>
      <c r="F1185" s="98"/>
      <c r="G1185" s="106">
        <v>10</v>
      </c>
      <c r="H1185" s="102">
        <v>1</v>
      </c>
      <c r="I1185" s="106">
        <v>63.21</v>
      </c>
      <c r="J1185" s="98"/>
      <c r="K1185" s="111">
        <v>31.605</v>
      </c>
      <c r="L1185" s="108">
        <v>663.70500000000004</v>
      </c>
    </row>
    <row r="1186" spans="1:12" x14ac:dyDescent="0.45">
      <c r="A1186" s="98" t="s">
        <v>1082</v>
      </c>
      <c r="B1186" s="87">
        <v>334</v>
      </c>
      <c r="C1186" s="98" t="s">
        <v>1086</v>
      </c>
      <c r="D1186" s="93">
        <v>45408</v>
      </c>
      <c r="E1186" s="99">
        <v>2953.92</v>
      </c>
      <c r="F1186" s="98"/>
      <c r="G1186" s="106">
        <v>25</v>
      </c>
      <c r="H1186" s="102">
        <v>1</v>
      </c>
      <c r="I1186" s="106">
        <v>118.1568</v>
      </c>
      <c r="J1186" s="98"/>
      <c r="K1186" s="111">
        <v>59.078400000000002</v>
      </c>
      <c r="L1186" s="108">
        <v>3012.9983999999999</v>
      </c>
    </row>
    <row r="1187" spans="1:12" x14ac:dyDescent="0.45">
      <c r="A1187" s="98" t="s">
        <v>1082</v>
      </c>
      <c r="B1187" s="87">
        <v>304</v>
      </c>
      <c r="C1187" s="98" t="s">
        <v>1087</v>
      </c>
      <c r="D1187" s="93">
        <v>45358</v>
      </c>
      <c r="E1187" s="99">
        <v>5713.6299999999992</v>
      </c>
      <c r="F1187" s="98"/>
      <c r="G1187" s="106">
        <v>35</v>
      </c>
      <c r="H1187" s="102">
        <v>1</v>
      </c>
      <c r="I1187" s="106">
        <v>163.2465714285714</v>
      </c>
      <c r="J1187" s="98"/>
      <c r="K1187" s="111">
        <v>81.6232857142857</v>
      </c>
      <c r="L1187" s="108">
        <v>5795.2532857142851</v>
      </c>
    </row>
    <row r="1188" spans="1:12" x14ac:dyDescent="0.45">
      <c r="A1188" s="98" t="s">
        <v>1082</v>
      </c>
      <c r="B1188" s="87">
        <v>334</v>
      </c>
      <c r="C1188" s="98" t="s">
        <v>1088</v>
      </c>
      <c r="D1188" s="93">
        <v>45378</v>
      </c>
      <c r="E1188" s="99">
        <v>590.78</v>
      </c>
      <c r="F1188" s="98"/>
      <c r="G1188" s="106">
        <v>25</v>
      </c>
      <c r="H1188" s="102">
        <v>1</v>
      </c>
      <c r="I1188" s="106">
        <v>23.6312</v>
      </c>
      <c r="J1188" s="98"/>
      <c r="K1188" s="111">
        <v>11.8156</v>
      </c>
      <c r="L1188" s="108">
        <v>602.59559999999999</v>
      </c>
    </row>
    <row r="1189" spans="1:12" x14ac:dyDescent="0.45">
      <c r="A1189" s="98" t="s">
        <v>1082</v>
      </c>
      <c r="B1189" s="87">
        <v>345</v>
      </c>
      <c r="C1189" s="98" t="s">
        <v>1089</v>
      </c>
      <c r="D1189" s="93">
        <v>45474</v>
      </c>
      <c r="E1189" s="99">
        <v>12514.93</v>
      </c>
      <c r="F1189" s="98"/>
      <c r="G1189" s="106">
        <v>15</v>
      </c>
      <c r="H1189" s="102">
        <v>1</v>
      </c>
      <c r="I1189" s="106">
        <v>834.32866666666666</v>
      </c>
      <c r="J1189" s="98"/>
      <c r="K1189" s="111">
        <v>417.16433333333333</v>
      </c>
      <c r="L1189" s="108">
        <v>12932.094333333334</v>
      </c>
    </row>
    <row r="1190" spans="1:12" x14ac:dyDescent="0.45">
      <c r="A1190" s="98" t="s">
        <v>1082</v>
      </c>
      <c r="B1190" s="87">
        <v>345</v>
      </c>
      <c r="C1190" s="98" t="s">
        <v>1090</v>
      </c>
      <c r="D1190" s="93">
        <v>45474</v>
      </c>
      <c r="E1190" s="99">
        <v>12514.94</v>
      </c>
      <c r="F1190" s="98"/>
      <c r="G1190" s="106">
        <v>15</v>
      </c>
      <c r="H1190" s="102">
        <v>1</v>
      </c>
      <c r="I1190" s="106">
        <v>834.32933333333335</v>
      </c>
      <c r="J1190" s="98"/>
      <c r="K1190" s="111">
        <v>417.16466666666668</v>
      </c>
      <c r="L1190" s="108">
        <v>12932.104666666668</v>
      </c>
    </row>
    <row r="1191" spans="1:12" x14ac:dyDescent="0.45">
      <c r="A1191" s="98" t="s">
        <v>1082</v>
      </c>
      <c r="B1191" s="87">
        <v>345</v>
      </c>
      <c r="C1191" s="98" t="s">
        <v>1091</v>
      </c>
      <c r="D1191" s="93">
        <v>45474</v>
      </c>
      <c r="E1191" s="99">
        <v>1087.5</v>
      </c>
      <c r="F1191" s="98"/>
      <c r="G1191" s="106">
        <v>15</v>
      </c>
      <c r="H1191" s="102">
        <v>1</v>
      </c>
      <c r="I1191" s="106">
        <v>72.5</v>
      </c>
      <c r="J1191" s="98"/>
      <c r="K1191" s="111">
        <v>36.25</v>
      </c>
      <c r="L1191" s="108">
        <v>1123.75</v>
      </c>
    </row>
    <row r="1192" spans="1:12" x14ac:dyDescent="0.45">
      <c r="A1192" s="98" t="s">
        <v>1082</v>
      </c>
      <c r="B1192" s="87">
        <v>334</v>
      </c>
      <c r="C1192" s="98" t="s">
        <v>1092</v>
      </c>
      <c r="D1192" s="93">
        <v>45504</v>
      </c>
      <c r="E1192" s="99">
        <v>1492.28</v>
      </c>
      <c r="F1192" s="98"/>
      <c r="G1192" s="106">
        <v>20</v>
      </c>
      <c r="H1192" s="102">
        <v>1</v>
      </c>
      <c r="I1192" s="106">
        <v>74.614000000000004</v>
      </c>
      <c r="J1192" s="98"/>
      <c r="K1192" s="111">
        <v>37.307000000000002</v>
      </c>
      <c r="L1192" s="108">
        <v>1529.587</v>
      </c>
    </row>
    <row r="1193" spans="1:12" x14ac:dyDescent="0.45">
      <c r="A1193" s="98" t="s">
        <v>1082</v>
      </c>
      <c r="B1193" s="87">
        <v>334</v>
      </c>
      <c r="C1193" s="98" t="s">
        <v>1093</v>
      </c>
      <c r="D1193" s="93">
        <v>45504</v>
      </c>
      <c r="E1193" s="99">
        <v>563.83000000000004</v>
      </c>
      <c r="F1193" s="98"/>
      <c r="G1193" s="106">
        <v>20</v>
      </c>
      <c r="H1193" s="102">
        <v>1</v>
      </c>
      <c r="I1193" s="106">
        <v>28.191500000000001</v>
      </c>
      <c r="J1193" s="98"/>
      <c r="K1193" s="111">
        <v>14.095750000000001</v>
      </c>
      <c r="L1193" s="108">
        <v>577.92574999999999</v>
      </c>
    </row>
    <row r="1194" spans="1:12" x14ac:dyDescent="0.45">
      <c r="A1194" s="98" t="s">
        <v>1082</v>
      </c>
      <c r="B1194" s="87">
        <v>330</v>
      </c>
      <c r="C1194" s="98" t="s">
        <v>1094</v>
      </c>
      <c r="D1194" s="93">
        <v>45497</v>
      </c>
      <c r="E1194" s="99">
        <v>1548043.58</v>
      </c>
      <c r="F1194" s="98"/>
      <c r="G1194" s="106">
        <v>50</v>
      </c>
      <c r="H1194" s="102">
        <v>1</v>
      </c>
      <c r="I1194" s="106">
        <v>30960.871600000002</v>
      </c>
      <c r="J1194" s="98"/>
      <c r="K1194" s="111">
        <v>15480.435800000001</v>
      </c>
      <c r="L1194" s="108">
        <v>1563524.0158000002</v>
      </c>
    </row>
    <row r="1195" spans="1:12" x14ac:dyDescent="0.45">
      <c r="A1195" s="98" t="s">
        <v>1082</v>
      </c>
      <c r="B1195" s="87">
        <v>320</v>
      </c>
      <c r="C1195" s="98" t="s">
        <v>1095</v>
      </c>
      <c r="D1195" s="93">
        <v>45566</v>
      </c>
      <c r="E1195" s="99">
        <v>140000</v>
      </c>
      <c r="F1195" s="98"/>
      <c r="G1195" s="106">
        <v>20</v>
      </c>
      <c r="H1195" s="102">
        <v>-1</v>
      </c>
      <c r="I1195" s="106">
        <v>7000</v>
      </c>
      <c r="J1195" s="98"/>
      <c r="K1195" s="111">
        <v>3500</v>
      </c>
      <c r="L1195" s="108">
        <v>143500</v>
      </c>
    </row>
    <row r="1196" spans="1:12" x14ac:dyDescent="0.45">
      <c r="A1196" s="98" t="s">
        <v>1082</v>
      </c>
      <c r="B1196" s="87">
        <v>320</v>
      </c>
      <c r="C1196" s="98" t="s">
        <v>1096</v>
      </c>
      <c r="D1196" s="93">
        <v>45689</v>
      </c>
      <c r="E1196" s="99">
        <v>110000</v>
      </c>
      <c r="F1196" s="98"/>
      <c r="G1196" s="106">
        <v>20</v>
      </c>
      <c r="H1196" s="102">
        <v>-1</v>
      </c>
      <c r="I1196" s="106">
        <v>5500</v>
      </c>
      <c r="J1196" s="98"/>
      <c r="K1196" s="111">
        <v>2750</v>
      </c>
      <c r="L1196" s="108">
        <v>112750</v>
      </c>
    </row>
    <row r="1197" spans="1:12" x14ac:dyDescent="0.45">
      <c r="A1197" s="98" t="s">
        <v>945</v>
      </c>
      <c r="B1197" s="87">
        <v>335</v>
      </c>
      <c r="C1197" s="98" t="s">
        <v>1097</v>
      </c>
      <c r="D1197" s="93">
        <v>45313</v>
      </c>
      <c r="E1197" s="99">
        <v>1006.4</v>
      </c>
      <c r="F1197" s="98"/>
      <c r="G1197" s="106">
        <v>50</v>
      </c>
      <c r="H1197" s="102">
        <v>1</v>
      </c>
      <c r="I1197" s="106">
        <v>20.128</v>
      </c>
      <c r="J1197" s="98"/>
      <c r="K1197" s="111">
        <v>10.064</v>
      </c>
      <c r="L1197" s="108">
        <v>1016.4639999999999</v>
      </c>
    </row>
    <row r="1198" spans="1:12" x14ac:dyDescent="0.45">
      <c r="A1198" s="112" t="s">
        <v>945</v>
      </c>
      <c r="B1198" s="87">
        <v>347</v>
      </c>
      <c r="C1198" s="98" t="s">
        <v>1098</v>
      </c>
      <c r="D1198" s="93">
        <v>45315</v>
      </c>
      <c r="E1198" s="99">
        <v>1294.72</v>
      </c>
      <c r="F1198" s="98"/>
      <c r="G1198" s="106">
        <v>10</v>
      </c>
      <c r="H1198" s="102">
        <v>1</v>
      </c>
      <c r="I1198" s="106">
        <v>129.47200000000001</v>
      </c>
      <c r="J1198" s="98"/>
      <c r="K1198" s="111">
        <v>64.736000000000004</v>
      </c>
      <c r="L1198" s="108">
        <v>1359.4560000000001</v>
      </c>
    </row>
    <row r="1199" spans="1:12" x14ac:dyDescent="0.45">
      <c r="A1199" s="112" t="s">
        <v>945</v>
      </c>
      <c r="B1199" s="87">
        <v>341</v>
      </c>
      <c r="C1199" s="98" t="s">
        <v>1099</v>
      </c>
      <c r="D1199" s="93">
        <v>45322</v>
      </c>
      <c r="E1199" s="99">
        <v>9922.1200000000008</v>
      </c>
      <c r="F1199" s="98"/>
      <c r="G1199" s="106">
        <v>7</v>
      </c>
      <c r="H1199" s="102">
        <v>1</v>
      </c>
      <c r="I1199" s="106">
        <v>1417.4457142857143</v>
      </c>
      <c r="J1199" s="98"/>
      <c r="K1199" s="111">
        <v>708.72285714285715</v>
      </c>
      <c r="L1199" s="108">
        <v>10630.842857142858</v>
      </c>
    </row>
    <row r="1200" spans="1:12" x14ac:dyDescent="0.45">
      <c r="A1200" s="98" t="s">
        <v>945</v>
      </c>
      <c r="B1200" s="87">
        <v>341</v>
      </c>
      <c r="C1200" s="98" t="s">
        <v>1100</v>
      </c>
      <c r="D1200" s="93">
        <v>45320</v>
      </c>
      <c r="E1200" s="99">
        <v>56658.36</v>
      </c>
      <c r="F1200" s="98"/>
      <c r="G1200" s="106">
        <v>7</v>
      </c>
      <c r="H1200" s="102">
        <v>1</v>
      </c>
      <c r="I1200" s="106">
        <v>8094.0514285714289</v>
      </c>
      <c r="J1200" s="98"/>
      <c r="K1200" s="111">
        <v>4047.0257142857145</v>
      </c>
      <c r="L1200" s="108">
        <v>60705.385714285716</v>
      </c>
    </row>
    <row r="1201" spans="1:12" x14ac:dyDescent="0.45">
      <c r="A1201" s="98" t="s">
        <v>945</v>
      </c>
      <c r="B1201" s="87">
        <v>340</v>
      </c>
      <c r="C1201" s="98" t="s">
        <v>1101</v>
      </c>
      <c r="D1201" s="93">
        <v>45364</v>
      </c>
      <c r="E1201" s="99">
        <v>23093.48</v>
      </c>
      <c r="F1201" s="98"/>
      <c r="G1201" s="106">
        <v>3</v>
      </c>
      <c r="H1201" s="102">
        <v>1</v>
      </c>
      <c r="I1201" s="106">
        <v>7697.8266666666668</v>
      </c>
      <c r="J1201" s="98"/>
      <c r="K1201" s="111">
        <v>3848.9133333333334</v>
      </c>
      <c r="L1201" s="108">
        <v>26942.393333333333</v>
      </c>
    </row>
    <row r="1202" spans="1:12" x14ac:dyDescent="0.45">
      <c r="A1202" s="98" t="s">
        <v>945</v>
      </c>
      <c r="B1202" s="87">
        <v>344</v>
      </c>
      <c r="C1202" s="98" t="s">
        <v>1102</v>
      </c>
      <c r="D1202" s="93">
        <v>45455</v>
      </c>
      <c r="E1202" s="99">
        <v>3692.67</v>
      </c>
      <c r="F1202" s="98"/>
      <c r="G1202" s="106">
        <v>15</v>
      </c>
      <c r="H1202" s="102">
        <v>1</v>
      </c>
      <c r="I1202" s="106">
        <v>246.178</v>
      </c>
      <c r="J1202" s="98"/>
      <c r="K1202" s="111">
        <v>123.089</v>
      </c>
      <c r="L1202" s="108">
        <v>3815.759</v>
      </c>
    </row>
    <row r="1203" spans="1:12" x14ac:dyDescent="0.45">
      <c r="A1203" s="98" t="s">
        <v>945</v>
      </c>
      <c r="B1203" s="87">
        <v>340</v>
      </c>
      <c r="C1203" s="98" t="s">
        <v>1103</v>
      </c>
      <c r="D1203" s="93">
        <v>45468</v>
      </c>
      <c r="E1203" s="99">
        <v>478.71</v>
      </c>
      <c r="F1203" s="98"/>
      <c r="G1203" s="106">
        <v>10</v>
      </c>
      <c r="H1203" s="102">
        <v>1</v>
      </c>
      <c r="I1203" s="106">
        <v>47.870999999999995</v>
      </c>
      <c r="J1203" s="98"/>
      <c r="K1203" s="111">
        <v>23.935499999999998</v>
      </c>
      <c r="L1203" s="108">
        <v>502.64549999999997</v>
      </c>
    </row>
    <row r="1204" spans="1:12" x14ac:dyDescent="0.45">
      <c r="A1204" s="98" t="s">
        <v>945</v>
      </c>
      <c r="B1204" s="87">
        <v>348</v>
      </c>
      <c r="C1204" s="98" t="s">
        <v>1104</v>
      </c>
      <c r="D1204" s="93">
        <v>45352</v>
      </c>
      <c r="E1204" s="99">
        <v>11670</v>
      </c>
      <c r="F1204" s="98"/>
      <c r="G1204" s="106">
        <v>10</v>
      </c>
      <c r="H1204" s="102">
        <v>1</v>
      </c>
      <c r="I1204" s="106">
        <v>1167</v>
      </c>
      <c r="J1204" s="98"/>
      <c r="K1204" s="111">
        <v>583.5</v>
      </c>
      <c r="L1204" s="108">
        <v>12253.5</v>
      </c>
    </row>
    <row r="1205" spans="1:12" x14ac:dyDescent="0.45">
      <c r="A1205" s="98" t="s">
        <v>945</v>
      </c>
      <c r="B1205" s="87">
        <v>347</v>
      </c>
      <c r="C1205" s="98" t="s">
        <v>1105</v>
      </c>
      <c r="D1205" s="93">
        <v>45481</v>
      </c>
      <c r="E1205" s="99">
        <v>8467.69</v>
      </c>
      <c r="F1205" s="98"/>
      <c r="G1205" s="106">
        <v>10</v>
      </c>
      <c r="H1205" s="102">
        <v>1</v>
      </c>
      <c r="I1205" s="106">
        <v>846.76900000000001</v>
      </c>
      <c r="J1205" s="98"/>
      <c r="K1205" s="111">
        <v>423.3845</v>
      </c>
      <c r="L1205" s="108">
        <v>8891.0745000000006</v>
      </c>
    </row>
  </sheetData>
  <dataValidations count="2">
    <dataValidation type="list" showInputMessage="1" showErrorMessage="1" sqref="B60:B1006" xr:uid="{6C4D09C1-7E11-4600-BD2E-53EAEAD37EFC}">
      <formula1>$AV$6:$AV$23</formula1>
    </dataValidation>
    <dataValidation type="list" showInputMessage="1" showErrorMessage="1" sqref="B7:B59" xr:uid="{D5352463-6F40-4122-B625-180280783895}">
      <formula1>$AV$8:$AV$23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20C93DAD87B847B66E4E507AAAD9DF" ma:contentTypeVersion="16" ma:contentTypeDescription="" ma:contentTypeScope="" ma:versionID="f5f71c4f69537b0cb165fd8555ac0fd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2024-02-29T08:00:00+00:00</OpenedDate>
    <SignificantOrder xmlns="dc463f71-b30c-4ab2-9473-d307f9d35888">false</SignificantOrder>
    <Date1 xmlns="dc463f71-b30c-4ab2-9473-d307f9d35888">2025-01-24T08:00:00+00:00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Cascadia Water, LLC</CaseCompanyNames>
    <Nickname xmlns="http://schemas.microsoft.com/sharepoint/v3" xsi:nil="true"/>
    <DocketNumber xmlns="dc463f71-b30c-4ab2-9473-d307f9d35888">240151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29580C-5ED4-48EF-A3D9-3588123B3922}"/>
</file>

<file path=customXml/itemProps2.xml><?xml version="1.0" encoding="utf-8"?>
<ds:datastoreItem xmlns:ds="http://schemas.openxmlformats.org/officeDocument/2006/customXml" ds:itemID="{1D471539-7364-4C54-BCC1-C08E984E0C71}"/>
</file>

<file path=customXml/itemProps3.xml><?xml version="1.0" encoding="utf-8"?>
<ds:datastoreItem xmlns:ds="http://schemas.openxmlformats.org/officeDocument/2006/customXml" ds:itemID="{4BE22725-B72A-4947-BE03-8CE4D98FBF54}"/>
</file>

<file path=customXml/itemProps4.xml><?xml version="1.0" encoding="utf-8"?>
<ds:datastoreItem xmlns:ds="http://schemas.openxmlformats.org/officeDocument/2006/customXml" ds:itemID="{E5D5987F-480E-49A7-B907-DAA83F2758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SDV-12</vt:lpstr>
      <vt:lpstr>Scenarios</vt:lpstr>
      <vt:lpstr>WS-Rev Req</vt:lpstr>
      <vt:lpstr>PP-Rev Req</vt:lpstr>
      <vt:lpstr>WS-PFIS</vt:lpstr>
      <vt:lpstr>PP-PFIS</vt:lpstr>
      <vt:lpstr>PC Rate Base Adjustments</vt:lpstr>
      <vt:lpstr>WS Assets</vt:lpstr>
      <vt:lpstr>FIT_Rate</vt:lpstr>
      <vt:lpstr>TestEOY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Villiers, Stefan (ATG)</dc:creator>
  <cp:lastModifiedBy>de Villiers, Stefan (ATG)</cp:lastModifiedBy>
  <dcterms:created xsi:type="dcterms:W3CDTF">2015-06-05T18:17:20Z</dcterms:created>
  <dcterms:modified xsi:type="dcterms:W3CDTF">2025-01-23T17:48:08Z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0x0101006E56B4D1795A2E4DB2F0B01679ED314A001420C93DAD87B847B66E4E507AAAD9DF</vt:lpwstr>
  </property>
  <property fmtid="{D5CDD505-2E9C-101B-9397-08002B2CF9AE}" pid="3" name="_docset_NoMedatataSyncRequired">
    <vt:lpwstr>False</vt:lpwstr>
  </property>
</Properties>
</file>