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ettlement RevReq" sheetId="1" r:id="rId1"/>
  </sheets>
  <definedNames>
    <definedName name="_xlnm.Print_Area" localSheetId="0">'Settlement RevReq'!$A$1:$U$45</definedName>
  </definedNames>
  <calcPr fullCalcOnLoad="1"/>
</workbook>
</file>

<file path=xl/sharedStrings.xml><?xml version="1.0" encoding="utf-8"?>
<sst xmlns="http://schemas.openxmlformats.org/spreadsheetml/2006/main" count="104" uniqueCount="89">
  <si>
    <t>Total Adjusted</t>
  </si>
  <si>
    <t>Increased</t>
  </si>
  <si>
    <t>Rate</t>
  </si>
  <si>
    <t>Margin at</t>
  </si>
  <si>
    <t>Margin By</t>
  </si>
  <si>
    <t>Percentage</t>
  </si>
  <si>
    <t>Total</t>
  </si>
  <si>
    <t>Description</t>
  </si>
  <si>
    <t>Schedule</t>
  </si>
  <si>
    <t>Therms Sales</t>
  </si>
  <si>
    <t xml:space="preserve"> @ 11-1-05 Rates</t>
  </si>
  <si>
    <t>Customer Group</t>
  </si>
  <si>
    <t>Increase</t>
  </si>
  <si>
    <t>Margin</t>
  </si>
  <si>
    <t>(a)</t>
  </si>
  <si>
    <t>(b)</t>
  </si>
  <si>
    <t>(c)</t>
  </si>
  <si>
    <t>(d)</t>
  </si>
  <si>
    <t>(f)</t>
  </si>
  <si>
    <t>(e)</t>
  </si>
  <si>
    <t>(g)</t>
  </si>
  <si>
    <t>Residential</t>
  </si>
  <si>
    <t xml:space="preserve">  Optional Service</t>
  </si>
  <si>
    <t>503</t>
  </si>
  <si>
    <t>Res-Com Dual Service</t>
  </si>
  <si>
    <t xml:space="preserve">  Dry-out</t>
  </si>
  <si>
    <t>502</t>
  </si>
  <si>
    <t xml:space="preserve">  Gas Air Conditioning</t>
  </si>
  <si>
    <t>541</t>
  </si>
  <si>
    <t>Commercial</t>
  </si>
  <si>
    <t xml:space="preserve">  General Service</t>
  </si>
  <si>
    <t>504</t>
  </si>
  <si>
    <t>Com-Ind Dual Service</t>
  </si>
  <si>
    <t xml:space="preserve">  Large Volume</t>
  </si>
  <si>
    <t>511</t>
  </si>
  <si>
    <t xml:space="preserve">  Compressed Natural Gas </t>
  </si>
  <si>
    <t>512</t>
  </si>
  <si>
    <t>Industrial Firm</t>
  </si>
  <si>
    <t>505</t>
  </si>
  <si>
    <t>Interruptible</t>
  </si>
  <si>
    <t xml:space="preserve">  General (Industrial)</t>
  </si>
  <si>
    <t>570</t>
  </si>
  <si>
    <t xml:space="preserve">  Institutional</t>
  </si>
  <si>
    <t>577</t>
  </si>
  <si>
    <t>Total Core</t>
  </si>
  <si>
    <t>Non-Core</t>
  </si>
  <si>
    <t xml:space="preserve">  Distribution Trans.</t>
  </si>
  <si>
    <t>663</t>
  </si>
  <si>
    <t xml:space="preserve">  Large Volume Trans.</t>
  </si>
  <si>
    <t xml:space="preserve">  Electric Generation</t>
  </si>
  <si>
    <t>678</t>
  </si>
  <si>
    <t xml:space="preserve">  Special Contracts</t>
  </si>
  <si>
    <t>901</t>
  </si>
  <si>
    <t xml:space="preserve">  Cost of Gas </t>
  </si>
  <si>
    <t>Total Non-Core</t>
  </si>
  <si>
    <t>SUBTOTAL</t>
  </si>
  <si>
    <t>Adjustments</t>
  </si>
  <si>
    <t>Total Other Revenues and Taxes</t>
  </si>
  <si>
    <t>TOTAL</t>
  </si>
  <si>
    <t>Therm</t>
  </si>
  <si>
    <t>Deliveries</t>
  </si>
  <si>
    <t>Revenues</t>
  </si>
  <si>
    <t>Subtotal w/o SC</t>
  </si>
  <si>
    <t>Spread Residual</t>
  </si>
  <si>
    <t>Revenue deficiency  ==&gt;</t>
  </si>
  <si>
    <t>Revenue Deficiency plus 663/664</t>
  </si>
  <si>
    <t xml:space="preserve">Percent of </t>
  </si>
  <si>
    <t>Average</t>
  </si>
  <si>
    <t>Misc Fees</t>
  </si>
  <si>
    <t xml:space="preserve">Amount for </t>
  </si>
  <si>
    <t>Rate Increase</t>
  </si>
  <si>
    <t>to Rates</t>
  </si>
  <si>
    <t>input --&gt;</t>
  </si>
  <si>
    <t xml:space="preserve">Percent </t>
  </si>
  <si>
    <t xml:space="preserve"> Increase</t>
  </si>
  <si>
    <t>(h)</t>
  </si>
  <si>
    <t>(i)</t>
  </si>
  <si>
    <t>(j)</t>
  </si>
  <si>
    <t>(k)</t>
  </si>
  <si>
    <t>(l)</t>
  </si>
  <si>
    <t>(m)</t>
  </si>
  <si>
    <t>(n)</t>
  </si>
  <si>
    <t>(o)</t>
  </si>
  <si>
    <t>of Average</t>
  </si>
  <si>
    <t>Percent</t>
  </si>
  <si>
    <t xml:space="preserve">Increase to </t>
  </si>
  <si>
    <t>Total Revenue</t>
  </si>
  <si>
    <t>At Settlement Revenue Requirement Increase</t>
  </si>
  <si>
    <t>Proposed Rate Spread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</si>
</sst>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* #,##0.0_);_(* \(#,##0.0\);_(* &quot;-&quot;?_);_(@_)"/>
    <numFmt numFmtId="171" formatCode="#,##0.000\¢\ ;\(#,##0.000\¢\)"/>
    <numFmt numFmtId="172" formatCode="_(* #,##0.000_);_(* \(#,##0.000\);_(* &quot;-&quot;???_);_(@_)"/>
    <numFmt numFmtId="173" formatCode="&quot;$&quot;#,##0.000_);\(&quot;$&quot;#,##0.000\)"/>
    <numFmt numFmtId="174" formatCode="&quot;$&quot;#,##0.0000_);\(&quot;$&quot;#,##0.0000\)"/>
    <numFmt numFmtId="175" formatCode="&quot;$&quot;#,##0.00000_);\(&quot;$&quot;#,##0.00000\)"/>
    <numFmt numFmtId="176" formatCode="_(&quot;$&quot;* #,##0.00000_);_(&quot;$&quot;* \(#,##0.00000\);_(&quot;$&quot;* &quot;-&quot;???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_(&quot;$&quot;* #,##0.000000_);_(&quot;$&quot;* \(#,##0.000000\);_(&quot;$&quot;* &quot;-&quot;??_);_(@_)"/>
  </numFmts>
  <fonts count="13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double"/>
      <sz val="11"/>
      <name val="Times New Roman"/>
      <family val="1"/>
    </font>
    <font>
      <u val="doubleAccounting"/>
      <sz val="11"/>
      <name val="Times New Roman"/>
      <family val="1"/>
    </font>
    <font>
      <b/>
      <u val="double"/>
      <sz val="11"/>
      <name val="Times New Roman"/>
      <family val="1"/>
    </font>
    <font>
      <b/>
      <u val="doubleAccounting"/>
      <sz val="11"/>
      <name val="Times New Roman"/>
      <family val="1"/>
    </font>
    <font>
      <u val="doubleAccounting"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6" fontId="4" fillId="0" borderId="0" xfId="17" applyNumberFormat="1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166" fontId="1" fillId="0" borderId="0" xfId="17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6" fontId="2" fillId="0" borderId="0" xfId="17" applyNumberFormat="1" applyFont="1" applyBorder="1" applyAlignment="1" applyProtection="1">
      <alignment/>
      <protection/>
    </xf>
    <xf numFmtId="166" fontId="7" fillId="0" borderId="0" xfId="17" applyNumberFormat="1" applyFont="1" applyBorder="1" applyAlignment="1">
      <alignment/>
    </xf>
    <xf numFmtId="165" fontId="3" fillId="0" borderId="0" xfId="15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5" fontId="1" fillId="0" borderId="0" xfId="15" applyNumberFormat="1" applyFont="1" applyBorder="1" applyAlignment="1" applyProtection="1">
      <alignment horizontal="center"/>
      <protection/>
    </xf>
    <xf numFmtId="165" fontId="1" fillId="0" borderId="0" xfId="15" applyNumberFormat="1" applyFont="1" applyBorder="1" applyAlignment="1">
      <alignment/>
    </xf>
    <xf numFmtId="166" fontId="1" fillId="0" borderId="0" xfId="17" applyNumberFormat="1" applyFont="1" applyBorder="1" applyAlignment="1">
      <alignment/>
    </xf>
    <xf numFmtId="10" fontId="2" fillId="0" borderId="0" xfId="0" applyNumberFormat="1" applyFont="1" applyBorder="1" applyAlignment="1" applyProtection="1">
      <alignment/>
      <protection/>
    </xf>
    <xf numFmtId="10" fontId="1" fillId="0" borderId="0" xfId="0" applyNumberFormat="1" applyFont="1" applyBorder="1" applyAlignment="1">
      <alignment/>
    </xf>
    <xf numFmtId="166" fontId="5" fillId="0" borderId="0" xfId="17" applyNumberFormat="1" applyFont="1" applyBorder="1" applyAlignment="1" applyProtection="1">
      <alignment/>
      <protection/>
    </xf>
    <xf numFmtId="166" fontId="8" fillId="0" borderId="0" xfId="17" applyNumberFormat="1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166" fontId="8" fillId="0" borderId="0" xfId="17" applyNumberFormat="1" applyFont="1" applyBorder="1" applyAlignment="1" applyProtection="1">
      <alignment/>
      <protection/>
    </xf>
    <xf numFmtId="166" fontId="9" fillId="0" borderId="0" xfId="17" applyNumberFormat="1" applyFont="1" applyBorder="1" applyAlignment="1">
      <alignment/>
    </xf>
    <xf numFmtId="9" fontId="1" fillId="0" borderId="0" xfId="19" applyFont="1" applyBorder="1" applyAlignment="1">
      <alignment/>
    </xf>
    <xf numFmtId="10" fontId="1" fillId="0" borderId="0" xfId="19" applyNumberFormat="1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66" fontId="9" fillId="0" borderId="0" xfId="17" applyNumberFormat="1" applyFont="1" applyBorder="1" applyAlignment="1" applyProtection="1">
      <alignment/>
      <protection/>
    </xf>
    <xf numFmtId="166" fontId="10" fillId="0" borderId="0" xfId="17" applyNumberFormat="1" applyFont="1" applyBorder="1" applyAlignment="1">
      <alignment/>
    </xf>
    <xf numFmtId="9" fontId="1" fillId="0" borderId="0" xfId="19" applyFont="1" applyBorder="1" applyAlignment="1" applyProtection="1">
      <alignment/>
      <protection/>
    </xf>
    <xf numFmtId="9" fontId="8" fillId="0" borderId="0" xfId="19" applyFont="1" applyBorder="1" applyAlignment="1" applyProtection="1">
      <alignment/>
      <protection/>
    </xf>
    <xf numFmtId="9" fontId="8" fillId="0" borderId="0" xfId="19" applyFont="1" applyBorder="1" applyAlignment="1">
      <alignment/>
    </xf>
    <xf numFmtId="9" fontId="4" fillId="0" borderId="0" xfId="19" applyFont="1" applyBorder="1" applyAlignment="1">
      <alignment/>
    </xf>
    <xf numFmtId="9" fontId="9" fillId="0" borderId="0" xfId="19" applyFont="1" applyBorder="1" applyAlignment="1">
      <alignment/>
    </xf>
    <xf numFmtId="9" fontId="1" fillId="0" borderId="0" xfId="19" applyNumberFormat="1" applyFont="1" applyBorder="1" applyAlignment="1">
      <alignment/>
    </xf>
    <xf numFmtId="0" fontId="1" fillId="0" borderId="1" xfId="0" applyFont="1" applyBorder="1" applyAlignment="1">
      <alignment/>
    </xf>
    <xf numFmtId="166" fontId="6" fillId="0" borderId="1" xfId="17" applyNumberFormat="1" applyFont="1" applyBorder="1" applyAlignment="1">
      <alignment/>
    </xf>
    <xf numFmtId="166" fontId="1" fillId="0" borderId="1" xfId="17" applyNumberFormat="1" applyFont="1" applyBorder="1" applyAlignment="1">
      <alignment/>
    </xf>
    <xf numFmtId="9" fontId="6" fillId="0" borderId="1" xfId="19" applyFont="1" applyBorder="1" applyAlignment="1">
      <alignment/>
    </xf>
    <xf numFmtId="10" fontId="1" fillId="0" borderId="1" xfId="19" applyNumberFormat="1" applyFont="1" applyBorder="1" applyAlignment="1">
      <alignment/>
    </xf>
    <xf numFmtId="166" fontId="8" fillId="0" borderId="1" xfId="17" applyNumberFormat="1" applyFont="1" applyBorder="1" applyAlignment="1">
      <alignment/>
    </xf>
    <xf numFmtId="165" fontId="8" fillId="0" borderId="1" xfId="15" applyNumberFormat="1" applyFont="1" applyBorder="1" applyAlignment="1">
      <alignment/>
    </xf>
    <xf numFmtId="9" fontId="1" fillId="0" borderId="0" xfId="19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left"/>
      <protection/>
    </xf>
    <xf numFmtId="0" fontId="1" fillId="0" borderId="6" xfId="0" applyFont="1" applyBorder="1" applyAlignment="1">
      <alignment/>
    </xf>
    <xf numFmtId="37" fontId="1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0" fontId="1" fillId="0" borderId="0" xfId="19" applyNumberFormat="1" applyFont="1" applyAlignment="1">
      <alignment/>
    </xf>
    <xf numFmtId="9" fontId="1" fillId="0" borderId="0" xfId="19" applyFont="1" applyAlignment="1">
      <alignment/>
    </xf>
    <xf numFmtId="166" fontId="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/>
      <protection/>
    </xf>
    <xf numFmtId="166" fontId="1" fillId="2" borderId="0" xfId="17" applyNumberFormat="1" applyFont="1" applyFill="1" applyAlignment="1">
      <alignment/>
    </xf>
    <xf numFmtId="166" fontId="1" fillId="0" borderId="0" xfId="0" applyNumberFormat="1" applyFont="1" applyBorder="1" applyAlignment="1">
      <alignment/>
    </xf>
    <xf numFmtId="10" fontId="8" fillId="0" borderId="0" xfId="19" applyNumberFormat="1" applyFont="1" applyAlignment="1">
      <alignment/>
    </xf>
    <xf numFmtId="9" fontId="8" fillId="0" borderId="0" xfId="19" applyFont="1" applyAlignment="1">
      <alignment/>
    </xf>
    <xf numFmtId="166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166" fontId="1" fillId="0" borderId="7" xfId="17" applyNumberFormat="1" applyFont="1" applyBorder="1" applyAlignment="1">
      <alignment/>
    </xf>
    <xf numFmtId="0" fontId="8" fillId="0" borderId="7" xfId="0" applyFont="1" applyBorder="1" applyAlignment="1">
      <alignment/>
    </xf>
    <xf numFmtId="166" fontId="8" fillId="0" borderId="0" xfId="0" applyNumberFormat="1" applyFont="1" applyBorder="1" applyAlignment="1">
      <alignment/>
    </xf>
    <xf numFmtId="10" fontId="8" fillId="0" borderId="0" xfId="19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tabSelected="1" zoomScale="75" zoomScaleNormal="75" workbookViewId="0" topLeftCell="A1">
      <selection activeCell="A2" sqref="A2:U2"/>
    </sheetView>
  </sheetViews>
  <sheetFormatPr defaultColWidth="9.140625" defaultRowHeight="12.75"/>
  <cols>
    <col min="1" max="1" width="22.28125" style="39" customWidth="1"/>
    <col min="2" max="2" width="9.140625" style="39" customWidth="1"/>
    <col min="3" max="3" width="12.140625" style="39" hidden="1" customWidth="1"/>
    <col min="4" max="4" width="11.421875" style="39" hidden="1" customWidth="1"/>
    <col min="5" max="5" width="14.140625" style="39" customWidth="1"/>
    <col min="6" max="6" width="15.00390625" style="39" customWidth="1"/>
    <col min="7" max="7" width="14.140625" style="39" hidden="1" customWidth="1"/>
    <col min="8" max="8" width="13.7109375" style="39" hidden="1" customWidth="1"/>
    <col min="9" max="9" width="15.8515625" style="39" customWidth="1"/>
    <col min="10" max="10" width="13.57421875" style="39" customWidth="1"/>
    <col min="11" max="13" width="15.8515625" style="39" customWidth="1"/>
    <col min="14" max="14" width="12.00390625" style="39" customWidth="1"/>
    <col min="15" max="15" width="12.00390625" style="39" hidden="1" customWidth="1"/>
    <col min="16" max="16" width="14.8515625" style="39" customWidth="1"/>
    <col min="17" max="17" width="13.28125" style="39" customWidth="1"/>
    <col min="18" max="18" width="10.00390625" style="39" hidden="1" customWidth="1"/>
    <col min="19" max="19" width="14.8515625" style="39" customWidth="1"/>
    <col min="20" max="20" width="14.28125" style="39" customWidth="1"/>
    <col min="21" max="21" width="10.28125" style="39" customWidth="1"/>
    <col min="22" max="16384" width="9.140625" style="39" customWidth="1"/>
  </cols>
  <sheetData>
    <row r="1" spans="1:21" ht="18.75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4" spans="1:21" ht="15">
      <c r="A4" s="5"/>
      <c r="B4" s="5"/>
      <c r="C4" s="5"/>
      <c r="D4" s="5"/>
      <c r="E4" s="5"/>
      <c r="F4" s="5"/>
      <c r="G4" s="5"/>
      <c r="H4" s="5"/>
      <c r="I4" s="9" t="s">
        <v>0</v>
      </c>
      <c r="K4" s="40" t="s">
        <v>1</v>
      </c>
      <c r="L4" s="40"/>
      <c r="M4" s="40" t="s">
        <v>1</v>
      </c>
      <c r="N4" s="40" t="s">
        <v>13</v>
      </c>
      <c r="O4" s="40"/>
      <c r="P4" s="40"/>
      <c r="Q4" s="41" t="s">
        <v>5</v>
      </c>
      <c r="U4" s="41" t="s">
        <v>73</v>
      </c>
    </row>
    <row r="5" spans="1:21" ht="15">
      <c r="A5" s="5"/>
      <c r="B5" s="9" t="s">
        <v>2</v>
      </c>
      <c r="C5" s="42"/>
      <c r="D5" s="43" t="s">
        <v>59</v>
      </c>
      <c r="E5" s="9" t="s">
        <v>0</v>
      </c>
      <c r="F5" s="9" t="s">
        <v>0</v>
      </c>
      <c r="G5" s="9"/>
      <c r="H5" s="9" t="s">
        <v>13</v>
      </c>
      <c r="I5" s="9" t="s">
        <v>3</v>
      </c>
      <c r="J5" s="9" t="s">
        <v>84</v>
      </c>
      <c r="K5" s="40" t="s">
        <v>4</v>
      </c>
      <c r="M5" s="40" t="s">
        <v>4</v>
      </c>
      <c r="N5" s="40" t="s">
        <v>5</v>
      </c>
      <c r="O5" s="40" t="s">
        <v>66</v>
      </c>
      <c r="P5" s="40" t="s">
        <v>6</v>
      </c>
      <c r="Q5" s="44" t="s">
        <v>85</v>
      </c>
      <c r="R5" s="44" t="s">
        <v>66</v>
      </c>
      <c r="T5" s="44" t="s">
        <v>69</v>
      </c>
      <c r="U5" s="44" t="s">
        <v>74</v>
      </c>
    </row>
    <row r="6" spans="1:21" ht="15">
      <c r="A6" s="45" t="s">
        <v>7</v>
      </c>
      <c r="B6" s="45" t="s">
        <v>8</v>
      </c>
      <c r="C6" s="46" t="s">
        <v>60</v>
      </c>
      <c r="D6" s="46" t="s">
        <v>56</v>
      </c>
      <c r="E6" s="45" t="s">
        <v>9</v>
      </c>
      <c r="F6" s="45" t="s">
        <v>61</v>
      </c>
      <c r="G6" s="45" t="s">
        <v>13</v>
      </c>
      <c r="H6" s="45" t="s">
        <v>56</v>
      </c>
      <c r="I6" s="45" t="s">
        <v>10</v>
      </c>
      <c r="J6" s="9" t="s">
        <v>83</v>
      </c>
      <c r="K6" s="47" t="s">
        <v>11</v>
      </c>
      <c r="L6" s="40" t="s">
        <v>63</v>
      </c>
      <c r="M6" s="47" t="s">
        <v>11</v>
      </c>
      <c r="N6" s="47" t="s">
        <v>12</v>
      </c>
      <c r="O6" s="47" t="s">
        <v>67</v>
      </c>
      <c r="P6" s="47" t="s">
        <v>13</v>
      </c>
      <c r="Q6" s="47" t="s">
        <v>86</v>
      </c>
      <c r="R6" s="40" t="s">
        <v>67</v>
      </c>
      <c r="S6" s="48" t="s">
        <v>68</v>
      </c>
      <c r="T6" s="48" t="s">
        <v>70</v>
      </c>
      <c r="U6" s="48" t="s">
        <v>71</v>
      </c>
    </row>
    <row r="7" spans="1:52" ht="15">
      <c r="A7" s="49" t="s">
        <v>14</v>
      </c>
      <c r="B7" s="49" t="s">
        <v>15</v>
      </c>
      <c r="C7" s="49"/>
      <c r="D7" s="49"/>
      <c r="E7" s="49" t="s">
        <v>16</v>
      </c>
      <c r="F7" s="49" t="s">
        <v>17</v>
      </c>
      <c r="G7" s="50"/>
      <c r="H7" s="50"/>
      <c r="I7" s="49" t="s">
        <v>19</v>
      </c>
      <c r="J7" s="49" t="s">
        <v>18</v>
      </c>
      <c r="K7" s="51" t="s">
        <v>20</v>
      </c>
      <c r="L7" s="51" t="s">
        <v>75</v>
      </c>
      <c r="M7" s="51" t="s">
        <v>76</v>
      </c>
      <c r="N7" s="51" t="s">
        <v>77</v>
      </c>
      <c r="O7" s="51"/>
      <c r="P7" s="51" t="s">
        <v>78</v>
      </c>
      <c r="Q7" s="51" t="s">
        <v>79</v>
      </c>
      <c r="R7" s="40"/>
      <c r="S7" s="73" t="s">
        <v>80</v>
      </c>
      <c r="T7" s="74" t="s">
        <v>81</v>
      </c>
      <c r="U7" s="74" t="s">
        <v>82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21" ht="15">
      <c r="A8" s="52" t="s">
        <v>21</v>
      </c>
      <c r="B8" s="53"/>
      <c r="C8" s="5"/>
      <c r="D8" s="5"/>
      <c r="E8" s="42"/>
      <c r="F8" s="42"/>
      <c r="G8" s="42"/>
      <c r="H8" s="42"/>
      <c r="I8" s="54"/>
      <c r="J8" s="54"/>
      <c r="K8" s="55"/>
      <c r="L8" s="55"/>
      <c r="M8" s="55"/>
      <c r="N8" s="55"/>
      <c r="O8" s="55"/>
      <c r="P8" s="55"/>
      <c r="S8" s="67"/>
      <c r="T8" s="5"/>
      <c r="U8" s="5"/>
    </row>
    <row r="9" spans="1:21" ht="15">
      <c r="A9" s="56" t="s">
        <v>22</v>
      </c>
      <c r="B9" s="9" t="s">
        <v>23</v>
      </c>
      <c r="C9" s="10">
        <v>99122776</v>
      </c>
      <c r="D9" s="10">
        <v>1804351</v>
      </c>
      <c r="E9" s="11">
        <f>D9+C9</f>
        <v>100927127</v>
      </c>
      <c r="F9" s="12">
        <v>122786407</v>
      </c>
      <c r="G9" s="3">
        <v>29523824</v>
      </c>
      <c r="H9" s="2">
        <v>408830</v>
      </c>
      <c r="I9" s="12">
        <f>H9+G9</f>
        <v>29932654</v>
      </c>
      <c r="J9" s="30">
        <v>1</v>
      </c>
      <c r="K9" s="12">
        <f>J9*$M$45*I9</f>
        <v>4123962.9241236644</v>
      </c>
      <c r="L9" s="12">
        <f>I9/(I9+I14+I19)*L33</f>
        <v>528252.104890522</v>
      </c>
      <c r="M9" s="12">
        <f>L9+K9</f>
        <v>4652215.029014186</v>
      </c>
      <c r="N9" s="13">
        <f>+M9/I9</f>
        <v>0.15542273762340572</v>
      </c>
      <c r="O9" s="13">
        <f>N9/$N$36</f>
        <v>1.750997259477063</v>
      </c>
      <c r="P9" s="12">
        <f>+M9+I9</f>
        <v>34584869.029014185</v>
      </c>
      <c r="Q9" s="57">
        <f>M9/F9</f>
        <v>0.03788868118776524</v>
      </c>
      <c r="R9" s="58">
        <f>Q9/$Q$36</f>
        <v>1.4081220761521973</v>
      </c>
      <c r="S9" s="68">
        <f>0.9*S35</f>
        <v>1016548.2000000001</v>
      </c>
      <c r="T9" s="63">
        <f>M9-S9</f>
        <v>3635666.829014186</v>
      </c>
      <c r="U9" s="21">
        <f>T9/F9</f>
        <v>0.029609684963044693</v>
      </c>
    </row>
    <row r="10" spans="1:21" ht="15">
      <c r="A10" s="60" t="s">
        <v>24</v>
      </c>
      <c r="B10" s="5"/>
      <c r="C10" s="11"/>
      <c r="D10" s="11"/>
      <c r="E10" s="2"/>
      <c r="F10" s="3"/>
      <c r="G10" s="3"/>
      <c r="H10" s="2"/>
      <c r="I10" s="2"/>
      <c r="J10" s="25"/>
      <c r="K10" s="12"/>
      <c r="L10" s="12"/>
      <c r="M10" s="12"/>
      <c r="N10" s="13"/>
      <c r="O10" s="13"/>
      <c r="P10" s="12"/>
      <c r="Q10" s="57"/>
      <c r="R10" s="58"/>
      <c r="S10" s="67"/>
      <c r="T10" s="5"/>
      <c r="U10" s="5"/>
    </row>
    <row r="11" spans="1:21" ht="15">
      <c r="A11" s="56" t="s">
        <v>25</v>
      </c>
      <c r="B11" s="9" t="s">
        <v>26</v>
      </c>
      <c r="C11" s="10">
        <f>1329808+101667</f>
        <v>1431475</v>
      </c>
      <c r="D11" s="10"/>
      <c r="E11" s="2">
        <f>D11+C11</f>
        <v>1431475</v>
      </c>
      <c r="F11" s="3">
        <v>1672956</v>
      </c>
      <c r="G11" s="3">
        <f>352633+20218</f>
        <v>372851</v>
      </c>
      <c r="H11" s="2"/>
      <c r="I11" s="3">
        <f>H11+G11</f>
        <v>372851</v>
      </c>
      <c r="J11" s="25">
        <v>0.5</v>
      </c>
      <c r="K11" s="12">
        <f aca="true" t="shared" si="0" ref="K11:K22">J11*$M$45*I11</f>
        <v>25684.72044313933</v>
      </c>
      <c r="L11" s="12"/>
      <c r="M11" s="12">
        <f aca="true" t="shared" si="1" ref="M11:M22">L11+K11</f>
        <v>25684.72044313933</v>
      </c>
      <c r="N11" s="13">
        <f aca="true" t="shared" si="2" ref="N11:N22">+M11/I11</f>
        <v>0.06888735833654551</v>
      </c>
      <c r="O11" s="13">
        <f aca="true" t="shared" si="3" ref="O11:O33">N11/$N$36</f>
        <v>0.7760870610333448</v>
      </c>
      <c r="P11" s="12">
        <f aca="true" t="shared" si="4" ref="P11:P22">+M11+I11</f>
        <v>398535.7204431393</v>
      </c>
      <c r="Q11" s="57">
        <f aca="true" t="shared" si="5" ref="Q11:Q33">M11/F11</f>
        <v>0.015352896575366794</v>
      </c>
      <c r="R11" s="58">
        <f>Q11/$Q$36</f>
        <v>0.5705860410796361</v>
      </c>
      <c r="S11" s="67"/>
      <c r="T11" s="63">
        <f>M11</f>
        <v>25684.72044313933</v>
      </c>
      <c r="U11" s="14">
        <f>Q11</f>
        <v>0.015352896575366794</v>
      </c>
    </row>
    <row r="12" spans="1:21" ht="15">
      <c r="A12" s="56" t="s">
        <v>27</v>
      </c>
      <c r="B12" s="9" t="s">
        <v>28</v>
      </c>
      <c r="C12" s="10">
        <f>73433+88291</f>
        <v>161724</v>
      </c>
      <c r="D12" s="10"/>
      <c r="E12" s="2">
        <f>D12+C12</f>
        <v>161724</v>
      </c>
      <c r="F12" s="3">
        <v>186814</v>
      </c>
      <c r="G12" s="3">
        <f>16899+18840</f>
        <v>35739</v>
      </c>
      <c r="H12" s="2"/>
      <c r="I12" s="3">
        <f>H12+G12</f>
        <v>35739</v>
      </c>
      <c r="J12" s="25">
        <v>1.5</v>
      </c>
      <c r="K12" s="12">
        <f t="shared" si="0"/>
        <v>7385.8958987693995</v>
      </c>
      <c r="L12" s="12"/>
      <c r="M12" s="12">
        <f t="shared" si="1"/>
        <v>7385.8958987693995</v>
      </c>
      <c r="N12" s="13">
        <f t="shared" si="2"/>
        <v>0.20666207500963651</v>
      </c>
      <c r="O12" s="13">
        <f t="shared" si="3"/>
        <v>2.328261183100034</v>
      </c>
      <c r="P12" s="12">
        <f t="shared" si="4"/>
        <v>43124.8958987694</v>
      </c>
      <c r="Q12" s="57">
        <f t="shared" si="5"/>
        <v>0.03953609418335564</v>
      </c>
      <c r="R12" s="58">
        <f>Q12/$Q$36</f>
        <v>1.4693477122764744</v>
      </c>
      <c r="S12" s="67"/>
      <c r="T12" s="63">
        <f>M12</f>
        <v>7385.8958987693995</v>
      </c>
      <c r="U12" s="14">
        <f>Q12</f>
        <v>0.03953609418335564</v>
      </c>
    </row>
    <row r="13" spans="1:21" ht="15">
      <c r="A13" s="60" t="s">
        <v>29</v>
      </c>
      <c r="B13" s="5"/>
      <c r="C13" s="11"/>
      <c r="D13" s="11"/>
      <c r="E13" s="2"/>
      <c r="F13" s="3"/>
      <c r="G13" s="3"/>
      <c r="H13" s="2"/>
      <c r="I13" s="2"/>
      <c r="J13" s="25"/>
      <c r="K13" s="12"/>
      <c r="L13" s="12"/>
      <c r="M13" s="12"/>
      <c r="N13" s="13"/>
      <c r="O13" s="13"/>
      <c r="P13" s="12"/>
      <c r="Q13" s="57"/>
      <c r="R13" s="58"/>
      <c r="S13" s="67"/>
      <c r="T13" s="5"/>
      <c r="U13" s="5"/>
    </row>
    <row r="14" spans="1:21" ht="15">
      <c r="A14" s="56" t="s">
        <v>30</v>
      </c>
      <c r="B14" s="9" t="s">
        <v>31</v>
      </c>
      <c r="C14" s="10">
        <v>73180576</v>
      </c>
      <c r="D14" s="10">
        <v>1653651</v>
      </c>
      <c r="E14" s="2">
        <f>D14+C14</f>
        <v>74834227</v>
      </c>
      <c r="F14" s="3">
        <v>85093365</v>
      </c>
      <c r="G14" s="3">
        <v>16095899</v>
      </c>
      <c r="H14" s="2">
        <v>321949</v>
      </c>
      <c r="I14" s="12">
        <f>H14+G14</f>
        <v>16417848</v>
      </c>
      <c r="J14" s="20">
        <v>1.5</v>
      </c>
      <c r="K14" s="12">
        <f t="shared" si="0"/>
        <v>3392946.534872811</v>
      </c>
      <c r="L14" s="12">
        <f>I14/(I14+I19+I9)*L33</f>
        <v>289742.52546308277</v>
      </c>
      <c r="M14" s="12">
        <f t="shared" si="1"/>
        <v>3682689.0603358936</v>
      </c>
      <c r="N14" s="13">
        <f t="shared" si="2"/>
        <v>0.22431009595995124</v>
      </c>
      <c r="O14" s="13">
        <f t="shared" si="3"/>
        <v>2.5270843205104083</v>
      </c>
      <c r="P14" s="12">
        <f t="shared" si="4"/>
        <v>20100537.060335893</v>
      </c>
      <c r="Q14" s="57">
        <f t="shared" si="5"/>
        <v>0.04327821634901727</v>
      </c>
      <c r="R14" s="58">
        <f>Q14/$Q$36</f>
        <v>1.6084226198197902</v>
      </c>
      <c r="S14" s="68">
        <f>S35-S9</f>
        <v>112949.79999999993</v>
      </c>
      <c r="T14" s="63">
        <f>M14-S14</f>
        <v>3569739.260335894</v>
      </c>
      <c r="U14" s="21">
        <f>T14/F14</f>
        <v>0.04195085316388527</v>
      </c>
    </row>
    <row r="15" spans="1:21" ht="15">
      <c r="A15" s="60" t="s">
        <v>32</v>
      </c>
      <c r="B15" s="5"/>
      <c r="C15" s="11"/>
      <c r="D15" s="11"/>
      <c r="E15" s="2"/>
      <c r="F15" s="3"/>
      <c r="G15" s="3"/>
      <c r="H15" s="2"/>
      <c r="I15" s="2"/>
      <c r="J15" s="25"/>
      <c r="K15" s="12"/>
      <c r="L15" s="12"/>
      <c r="M15" s="12"/>
      <c r="N15" s="13"/>
      <c r="O15" s="13"/>
      <c r="P15" s="12"/>
      <c r="Q15" s="57"/>
      <c r="R15" s="58"/>
      <c r="S15" s="67"/>
      <c r="T15" s="5"/>
      <c r="U15" s="5"/>
    </row>
    <row r="16" spans="1:21" ht="15">
      <c r="A16" s="56" t="s">
        <v>33</v>
      </c>
      <c r="B16" s="9" t="s">
        <v>34</v>
      </c>
      <c r="C16" s="10">
        <f>6477837+1351604</f>
        <v>7829441</v>
      </c>
      <c r="D16" s="10"/>
      <c r="E16" s="2">
        <f>D16+C16</f>
        <v>7829441</v>
      </c>
      <c r="F16" s="3">
        <v>8143794</v>
      </c>
      <c r="G16" s="3">
        <f>870754+143960</f>
        <v>1014714</v>
      </c>
      <c r="H16" s="2"/>
      <c r="I16" s="3">
        <f>H16+G16</f>
        <v>1014714</v>
      </c>
      <c r="J16" s="25">
        <v>0.75</v>
      </c>
      <c r="K16" s="12">
        <f t="shared" si="0"/>
        <v>104851.45039066415</v>
      </c>
      <c r="L16" s="12"/>
      <c r="M16" s="12">
        <f t="shared" si="1"/>
        <v>104851.45039066415</v>
      </c>
      <c r="N16" s="13">
        <f t="shared" si="2"/>
        <v>0.10333103750481826</v>
      </c>
      <c r="O16" s="13">
        <f t="shared" si="3"/>
        <v>1.164130591550017</v>
      </c>
      <c r="P16" s="12">
        <f t="shared" si="4"/>
        <v>1119565.4503906642</v>
      </c>
      <c r="Q16" s="57">
        <f t="shared" si="5"/>
        <v>0.012875012603543772</v>
      </c>
      <c r="R16" s="58">
        <f>Q16/$Q$36</f>
        <v>0.4784961869731705</v>
      </c>
      <c r="S16" s="67"/>
      <c r="T16" s="63">
        <f>M16</f>
        <v>104851.45039066415</v>
      </c>
      <c r="U16" s="14">
        <f>Q16</f>
        <v>0.012875012603543772</v>
      </c>
    </row>
    <row r="17" spans="1:21" ht="15">
      <c r="A17" s="56" t="s">
        <v>35</v>
      </c>
      <c r="B17" s="9" t="s">
        <v>36</v>
      </c>
      <c r="C17" s="10">
        <f>55917+5379</f>
        <v>61296</v>
      </c>
      <c r="D17" s="10"/>
      <c r="E17" s="11">
        <f>D17+C17</f>
        <v>61296</v>
      </c>
      <c r="F17" s="12">
        <v>68721</v>
      </c>
      <c r="G17" s="3">
        <f>11289+1163</f>
        <v>12452</v>
      </c>
      <c r="H17" s="2"/>
      <c r="I17" s="3">
        <f>H17+G17</f>
        <v>12452</v>
      </c>
      <c r="J17" s="25">
        <v>0.25</v>
      </c>
      <c r="K17" s="12">
        <f t="shared" si="0"/>
        <v>428.89269300333234</v>
      </c>
      <c r="L17" s="12"/>
      <c r="M17" s="12">
        <f t="shared" si="1"/>
        <v>428.89269300333234</v>
      </c>
      <c r="N17" s="13">
        <f t="shared" si="2"/>
        <v>0.034443679168272755</v>
      </c>
      <c r="O17" s="13">
        <f t="shared" si="3"/>
        <v>0.3880435305166724</v>
      </c>
      <c r="P17" s="12">
        <f t="shared" si="4"/>
        <v>12880.892693003332</v>
      </c>
      <c r="Q17" s="57">
        <f t="shared" si="5"/>
        <v>0.006241071768503548</v>
      </c>
      <c r="R17" s="58">
        <f>Q17/$Q$36</f>
        <v>0.23194765984406726</v>
      </c>
      <c r="S17" s="67"/>
      <c r="T17" s="63">
        <f>M17</f>
        <v>428.89269300333234</v>
      </c>
      <c r="U17" s="14">
        <f aca="true" t="shared" si="6" ref="U17:U22">Q17</f>
        <v>0.006241071768503548</v>
      </c>
    </row>
    <row r="18" spans="1:21" ht="15">
      <c r="A18" s="60" t="s">
        <v>37</v>
      </c>
      <c r="B18" s="5"/>
      <c r="C18" s="11"/>
      <c r="D18" s="11"/>
      <c r="E18" s="2"/>
      <c r="F18" s="3"/>
      <c r="G18" s="3"/>
      <c r="H18" s="2"/>
      <c r="I18" s="2"/>
      <c r="J18" s="25"/>
      <c r="K18" s="12"/>
      <c r="L18" s="12"/>
      <c r="M18" s="12"/>
      <c r="N18" s="13"/>
      <c r="O18" s="13"/>
      <c r="P18" s="12"/>
      <c r="Q18" s="57"/>
      <c r="R18" s="58"/>
      <c r="S18" s="67"/>
      <c r="T18" s="63"/>
      <c r="U18" s="14"/>
    </row>
    <row r="19" spans="1:21" ht="15">
      <c r="A19" s="56" t="s">
        <v>30</v>
      </c>
      <c r="B19" s="9" t="s">
        <v>38</v>
      </c>
      <c r="C19" s="10">
        <v>10198314</v>
      </c>
      <c r="D19" s="10"/>
      <c r="E19" s="11">
        <f>D19+C19</f>
        <v>10198314</v>
      </c>
      <c r="F19" s="12">
        <v>10814281</v>
      </c>
      <c r="G19" s="3">
        <v>1407925</v>
      </c>
      <c r="H19" s="2"/>
      <c r="I19" s="12">
        <f>H19+G19</f>
        <v>1407925</v>
      </c>
      <c r="J19" s="20">
        <v>1.5</v>
      </c>
      <c r="K19" s="12">
        <f t="shared" si="0"/>
        <v>290964.7019579425</v>
      </c>
      <c r="L19" s="12">
        <f>I19/(I19+I14+I9)*L33</f>
        <v>24847.089896471865</v>
      </c>
      <c r="M19" s="12">
        <f t="shared" si="1"/>
        <v>315811.7918544144</v>
      </c>
      <c r="N19" s="13">
        <f t="shared" si="2"/>
        <v>0.22431009595995127</v>
      </c>
      <c r="O19" s="13">
        <f t="shared" si="3"/>
        <v>2.5270843205104083</v>
      </c>
      <c r="P19" s="12">
        <f t="shared" si="4"/>
        <v>1723736.7918544144</v>
      </c>
      <c r="Q19" s="57">
        <f t="shared" si="5"/>
        <v>0.02920321673298617</v>
      </c>
      <c r="R19" s="58">
        <f>Q19/$Q$36</f>
        <v>1.085329256317684</v>
      </c>
      <c r="S19" s="67"/>
      <c r="T19" s="63">
        <f>M19</f>
        <v>315811.7918544144</v>
      </c>
      <c r="U19" s="14">
        <f t="shared" si="6"/>
        <v>0.02920321673298617</v>
      </c>
    </row>
    <row r="20" spans="1:21" ht="15">
      <c r="A20" s="60" t="s">
        <v>39</v>
      </c>
      <c r="B20" s="5"/>
      <c r="C20" s="11"/>
      <c r="D20" s="11"/>
      <c r="E20" s="2"/>
      <c r="F20" s="3"/>
      <c r="G20" s="3"/>
      <c r="H20" s="2"/>
      <c r="I20" s="2"/>
      <c r="J20" s="25"/>
      <c r="K20" s="12"/>
      <c r="L20" s="12"/>
      <c r="M20" s="12"/>
      <c r="N20" s="13"/>
      <c r="O20" s="13"/>
      <c r="P20" s="12"/>
      <c r="Q20" s="57"/>
      <c r="R20" s="58"/>
      <c r="S20" s="67"/>
      <c r="T20" s="63"/>
      <c r="U20" s="14"/>
    </row>
    <row r="21" spans="1:21" ht="15">
      <c r="A21" s="56" t="s">
        <v>40</v>
      </c>
      <c r="B21" s="9" t="s">
        <v>41</v>
      </c>
      <c r="C21" s="10">
        <f>877330+2386834</f>
        <v>3264164</v>
      </c>
      <c r="D21" s="10"/>
      <c r="E21" s="2">
        <f>D21+C21</f>
        <v>3264164</v>
      </c>
      <c r="F21" s="3">
        <v>3133656</v>
      </c>
      <c r="G21" s="3">
        <f>63728+125414</f>
        <v>189142</v>
      </c>
      <c r="H21" s="2"/>
      <c r="I21" s="3">
        <f>H21+G21</f>
        <v>189142</v>
      </c>
      <c r="J21" s="25">
        <v>0.75</v>
      </c>
      <c r="K21" s="12">
        <f t="shared" si="0"/>
        <v>19544.239095736335</v>
      </c>
      <c r="L21" s="12"/>
      <c r="M21" s="12">
        <f t="shared" si="1"/>
        <v>19544.239095736335</v>
      </c>
      <c r="N21" s="13">
        <f t="shared" si="2"/>
        <v>0.10333103750481826</v>
      </c>
      <c r="O21" s="13">
        <f t="shared" si="3"/>
        <v>1.164130591550017</v>
      </c>
      <c r="P21" s="12">
        <f t="shared" si="4"/>
        <v>208686.23909573632</v>
      </c>
      <c r="Q21" s="57">
        <f t="shared" si="5"/>
        <v>0.006236880849632613</v>
      </c>
      <c r="R21" s="58">
        <f>Q21/$Q$36</f>
        <v>0.2317919055344284</v>
      </c>
      <c r="S21" s="67"/>
      <c r="T21" s="63">
        <f>M21</f>
        <v>19544.239095736335</v>
      </c>
      <c r="U21" s="14">
        <f t="shared" si="6"/>
        <v>0.006236880849632613</v>
      </c>
    </row>
    <row r="22" spans="1:21" ht="15">
      <c r="A22" s="56" t="s">
        <v>42</v>
      </c>
      <c r="B22" s="9" t="s">
        <v>43</v>
      </c>
      <c r="C22" s="10">
        <v>407759</v>
      </c>
      <c r="D22" s="10"/>
      <c r="E22" s="2">
        <f>D22+C22</f>
        <v>407759</v>
      </c>
      <c r="F22" s="3">
        <v>404808</v>
      </c>
      <c r="G22" s="3">
        <v>36976</v>
      </c>
      <c r="H22" s="2"/>
      <c r="I22" s="3">
        <f>H22+G22</f>
        <v>36976</v>
      </c>
      <c r="J22" s="25">
        <v>0.75</v>
      </c>
      <c r="K22" s="12">
        <f t="shared" si="0"/>
        <v>3820.76844277816</v>
      </c>
      <c r="L22" s="12"/>
      <c r="M22" s="12">
        <f t="shared" si="1"/>
        <v>3820.76844277816</v>
      </c>
      <c r="N22" s="13">
        <f t="shared" si="2"/>
        <v>0.10333103750481826</v>
      </c>
      <c r="O22" s="13">
        <f t="shared" si="3"/>
        <v>1.164130591550017</v>
      </c>
      <c r="P22" s="12">
        <f t="shared" si="4"/>
        <v>40796.76844277816</v>
      </c>
      <c r="Q22" s="57">
        <f t="shared" si="5"/>
        <v>0.00943847068926049</v>
      </c>
      <c r="R22" s="58">
        <f>Q22/$Q$36</f>
        <v>0.3507780826891074</v>
      </c>
      <c r="S22" s="67"/>
      <c r="T22" s="63">
        <f>M22</f>
        <v>3820.76844277816</v>
      </c>
      <c r="U22" s="14">
        <f t="shared" si="6"/>
        <v>0.00943847068926049</v>
      </c>
    </row>
    <row r="23" spans="1:21" ht="15">
      <c r="A23" s="60" t="s">
        <v>44</v>
      </c>
      <c r="B23" s="5"/>
      <c r="C23" s="11"/>
      <c r="D23" s="11"/>
      <c r="E23" s="17">
        <f>SUM(E9:E22)</f>
        <v>199115527</v>
      </c>
      <c r="F23" s="18">
        <f>SUM(F9:F22)</f>
        <v>232304802</v>
      </c>
      <c r="G23" s="18">
        <f aca="true" t="shared" si="7" ref="G23:P23">SUM(G9:G22)</f>
        <v>48689522</v>
      </c>
      <c r="H23" s="17">
        <f t="shared" si="7"/>
        <v>730779</v>
      </c>
      <c r="I23" s="17">
        <f t="shared" si="7"/>
        <v>49420301</v>
      </c>
      <c r="J23" s="26"/>
      <c r="K23" s="18">
        <f t="shared" si="7"/>
        <v>7969590.127918509</v>
      </c>
      <c r="L23" s="18">
        <f>SUM(L9:L22)</f>
        <v>842841.7202500765</v>
      </c>
      <c r="M23" s="18">
        <f>SUM(M9:M22)</f>
        <v>8812431.848168587</v>
      </c>
      <c r="N23" s="14"/>
      <c r="O23" s="13"/>
      <c r="P23" s="17">
        <f t="shared" si="7"/>
        <v>58232732.84816858</v>
      </c>
      <c r="Q23" s="64">
        <f t="shared" si="5"/>
        <v>0.037934781254192876</v>
      </c>
      <c r="R23" s="65">
        <f>Q23/$Q$36</f>
        <v>1.409835372028798</v>
      </c>
      <c r="S23" s="69"/>
      <c r="T23" s="70">
        <f>SUM(T9:T22)</f>
        <v>7682933.8481685845</v>
      </c>
      <c r="U23" s="71">
        <f>T23/F23</f>
        <v>0.033072643277380825</v>
      </c>
    </row>
    <row r="24" spans="1:21" ht="15">
      <c r="A24" s="5"/>
      <c r="B24" s="5"/>
      <c r="C24" s="11"/>
      <c r="D24" s="11"/>
      <c r="E24" s="5"/>
      <c r="F24" s="12"/>
      <c r="G24" s="12"/>
      <c r="H24" s="5"/>
      <c r="I24" s="5"/>
      <c r="J24" s="20"/>
      <c r="K24" s="12"/>
      <c r="L24" s="12"/>
      <c r="M24" s="12"/>
      <c r="N24" s="14"/>
      <c r="O24" s="13"/>
      <c r="P24" s="5"/>
      <c r="Q24" s="57"/>
      <c r="R24" s="58"/>
      <c r="S24" s="67"/>
      <c r="T24" s="5"/>
      <c r="U24" s="5"/>
    </row>
    <row r="25" spans="1:21" ht="15">
      <c r="A25" s="60" t="s">
        <v>45</v>
      </c>
      <c r="B25" s="5"/>
      <c r="C25" s="11"/>
      <c r="D25" s="11"/>
      <c r="E25" s="5"/>
      <c r="F25" s="12"/>
      <c r="G25" s="12"/>
      <c r="H25" s="5"/>
      <c r="I25" s="5"/>
      <c r="J25" s="20"/>
      <c r="K25" s="12"/>
      <c r="L25" s="12"/>
      <c r="M25" s="12"/>
      <c r="N25" s="14"/>
      <c r="O25" s="13"/>
      <c r="P25" s="5"/>
      <c r="Q25" s="57"/>
      <c r="R25" s="58"/>
      <c r="S25" s="67"/>
      <c r="T25" s="5"/>
      <c r="U25" s="5"/>
    </row>
    <row r="26" spans="1:21" ht="15">
      <c r="A26" s="56" t="s">
        <v>46</v>
      </c>
      <c r="B26" s="9" t="s">
        <v>47</v>
      </c>
      <c r="C26" s="10">
        <v>90046672</v>
      </c>
      <c r="D26" s="10">
        <v>-694414</v>
      </c>
      <c r="E26" s="2">
        <f>D26+C26</f>
        <v>89352258</v>
      </c>
      <c r="F26" s="3">
        <v>8619620</v>
      </c>
      <c r="G26" s="3">
        <v>8700915</v>
      </c>
      <c r="H26" s="2">
        <v>-81296</v>
      </c>
      <c r="I26" s="3">
        <f>H26+G26</f>
        <v>8619619</v>
      </c>
      <c r="J26" s="38" t="s">
        <v>72</v>
      </c>
      <c r="K26" s="12">
        <f>+P26-I26</f>
        <v>-2094713.4405558985</v>
      </c>
      <c r="L26" s="12"/>
      <c r="M26" s="12">
        <f>L26+K26</f>
        <v>-2094713.4405558985</v>
      </c>
      <c r="N26" s="13">
        <f>+M26/I26</f>
        <v>-0.24301694083646835</v>
      </c>
      <c r="O26" s="13">
        <f t="shared" si="3"/>
        <v>-2.737836200274693</v>
      </c>
      <c r="P26" s="6">
        <v>6524905.5594441015</v>
      </c>
      <c r="Q26" s="57">
        <f t="shared" si="5"/>
        <v>-0.24301691264300496</v>
      </c>
      <c r="R26" s="58">
        <f>Q26/$Q$36</f>
        <v>-9.031654542820705</v>
      </c>
      <c r="S26" s="67"/>
      <c r="T26" s="63">
        <f>M26</f>
        <v>-2094713.4405558985</v>
      </c>
      <c r="U26" s="14">
        <f>Q26</f>
        <v>-0.24301691264300496</v>
      </c>
    </row>
    <row r="27" spans="1:21" ht="15">
      <c r="A27" s="56" t="s">
        <v>48</v>
      </c>
      <c r="B27" s="9">
        <v>664</v>
      </c>
      <c r="C27" s="10">
        <v>155323148</v>
      </c>
      <c r="D27" s="10"/>
      <c r="E27" s="2">
        <f>D27+C27</f>
        <v>155323148</v>
      </c>
      <c r="F27" s="3">
        <v>5922700</v>
      </c>
      <c r="G27" s="3">
        <v>5998036</v>
      </c>
      <c r="H27" s="2">
        <v>-75336</v>
      </c>
      <c r="I27" s="2">
        <f>H27+G27</f>
        <v>5922700</v>
      </c>
      <c r="J27" s="38" t="s">
        <v>72</v>
      </c>
      <c r="K27" s="12">
        <f>+P27-I27</f>
        <v>343817.592387313</v>
      </c>
      <c r="L27" s="12"/>
      <c r="M27" s="12">
        <f>L27+K27</f>
        <v>343817.592387313</v>
      </c>
      <c r="N27" s="13">
        <f>+M27/I27</f>
        <v>0.05805082013056765</v>
      </c>
      <c r="O27" s="13">
        <f t="shared" si="3"/>
        <v>0.6540022940871972</v>
      </c>
      <c r="P27" s="6">
        <v>6266517.592387313</v>
      </c>
      <c r="Q27" s="57">
        <f t="shared" si="5"/>
        <v>0.05805082013056765</v>
      </c>
      <c r="R27" s="58">
        <f>Q27/$Q$36</f>
        <v>2.157442244017416</v>
      </c>
      <c r="S27" s="67"/>
      <c r="T27" s="63">
        <f>M27</f>
        <v>343817.592387313</v>
      </c>
      <c r="U27" s="14">
        <f>Q27</f>
        <v>0.05805082013056765</v>
      </c>
    </row>
    <row r="28" spans="1:21" ht="15">
      <c r="A28" s="56" t="s">
        <v>49</v>
      </c>
      <c r="B28" s="9" t="s">
        <v>50</v>
      </c>
      <c r="C28" s="10">
        <v>0</v>
      </c>
      <c r="D28" s="10"/>
      <c r="E28" s="2">
        <f>D28+C28</f>
        <v>0</v>
      </c>
      <c r="F28" s="3"/>
      <c r="G28" s="3">
        <v>0</v>
      </c>
      <c r="H28" s="2"/>
      <c r="I28" s="2">
        <f>H28+G28</f>
        <v>0</v>
      </c>
      <c r="J28" s="25"/>
      <c r="K28" s="12">
        <v>0</v>
      </c>
      <c r="L28" s="12"/>
      <c r="M28" s="12">
        <f>L28+K28</f>
        <v>0</v>
      </c>
      <c r="N28" s="14"/>
      <c r="O28" s="13"/>
      <c r="P28" s="6">
        <f>+M28+I28</f>
        <v>0</v>
      </c>
      <c r="Q28" s="57"/>
      <c r="R28" s="58"/>
      <c r="S28" s="67"/>
      <c r="T28" s="63">
        <f>M28</f>
        <v>0</v>
      </c>
      <c r="U28" s="14"/>
    </row>
    <row r="29" spans="1:21" ht="15">
      <c r="A29" s="56" t="s">
        <v>51</v>
      </c>
      <c r="B29" s="9" t="s">
        <v>52</v>
      </c>
      <c r="C29" s="10">
        <v>257718509</v>
      </c>
      <c r="D29" s="10"/>
      <c r="E29" s="2">
        <f>D29+C29</f>
        <v>257718509</v>
      </c>
      <c r="F29" s="3">
        <v>5832167</v>
      </c>
      <c r="G29" s="12">
        <v>5832167</v>
      </c>
      <c r="H29" s="5"/>
      <c r="I29" s="2">
        <f>H29+G29</f>
        <v>5832167</v>
      </c>
      <c r="J29" s="25"/>
      <c r="K29" s="12">
        <v>0</v>
      </c>
      <c r="L29" s="12"/>
      <c r="M29" s="12">
        <f>L29+K29</f>
        <v>0</v>
      </c>
      <c r="N29" s="13">
        <f>+K29/I29</f>
        <v>0</v>
      </c>
      <c r="O29" s="13">
        <f t="shared" si="3"/>
        <v>0</v>
      </c>
      <c r="P29" s="6">
        <f>+M29+I29</f>
        <v>5832167</v>
      </c>
      <c r="Q29" s="57">
        <f t="shared" si="5"/>
        <v>0</v>
      </c>
      <c r="R29" s="58"/>
      <c r="S29" s="67"/>
      <c r="T29" s="63">
        <f>M29</f>
        <v>0</v>
      </c>
      <c r="U29" s="14">
        <f>Q29</f>
        <v>0</v>
      </c>
    </row>
    <row r="30" spans="1:21" ht="15">
      <c r="A30" s="56" t="s">
        <v>53</v>
      </c>
      <c r="B30" s="5"/>
      <c r="C30" s="5"/>
      <c r="D30" s="5"/>
      <c r="E30" s="5"/>
      <c r="F30" s="12"/>
      <c r="G30" s="15"/>
      <c r="H30" s="4"/>
      <c r="I30" s="5"/>
      <c r="J30" s="20"/>
      <c r="K30" s="5"/>
      <c r="L30" s="5"/>
      <c r="M30" s="5"/>
      <c r="N30" s="5"/>
      <c r="O30" s="13"/>
      <c r="P30" s="5"/>
      <c r="Q30" s="57"/>
      <c r="R30" s="58"/>
      <c r="S30" s="67"/>
      <c r="T30" s="5"/>
      <c r="U30" s="5"/>
    </row>
    <row r="31" spans="1:21" ht="15">
      <c r="A31" s="60" t="s">
        <v>54</v>
      </c>
      <c r="B31" s="5"/>
      <c r="C31" s="5"/>
      <c r="D31" s="5"/>
      <c r="E31" s="17">
        <f>SUM(E26:E29)</f>
        <v>502393915</v>
      </c>
      <c r="F31" s="18">
        <f>SUM(F26:F29)</f>
        <v>20374487</v>
      </c>
      <c r="G31" s="12"/>
      <c r="H31" s="5"/>
      <c r="I31" s="16">
        <f>SUM(I26:I29)</f>
        <v>20374486</v>
      </c>
      <c r="J31" s="27"/>
      <c r="K31" s="24">
        <f>SUM(K26:K30)</f>
        <v>-1750895.8481685854</v>
      </c>
      <c r="L31" s="24">
        <f>SUM(L26:L30)</f>
        <v>0</v>
      </c>
      <c r="M31" s="24">
        <f>SUM(M26:M30)</f>
        <v>-1750895.8481685854</v>
      </c>
      <c r="N31" s="21">
        <f>M31/I31</f>
        <v>-0.08593570645996103</v>
      </c>
      <c r="O31" s="13">
        <f t="shared" si="3"/>
        <v>-0.9681542662516888</v>
      </c>
      <c r="P31" s="24">
        <f>SUM(P26:P29)</f>
        <v>18623590.151831415</v>
      </c>
      <c r="Q31" s="64">
        <f t="shared" si="5"/>
        <v>-0.08593570224215144</v>
      </c>
      <c r="R31" s="65"/>
      <c r="S31" s="69"/>
      <c r="T31" s="70">
        <f>SUM(T26:T30)</f>
        <v>-1750895.8481685854</v>
      </c>
      <c r="U31" s="71">
        <f>T31/F31</f>
        <v>-0.08593570224215144</v>
      </c>
    </row>
    <row r="32" spans="1:21" ht="17.25">
      <c r="A32" s="5"/>
      <c r="B32" s="5"/>
      <c r="C32" s="5"/>
      <c r="D32" s="5"/>
      <c r="E32" s="4"/>
      <c r="F32" s="15"/>
      <c r="G32" s="12"/>
      <c r="H32" s="5"/>
      <c r="I32" s="1"/>
      <c r="J32" s="28"/>
      <c r="K32" s="7"/>
      <c r="L32" s="7"/>
      <c r="M32" s="7"/>
      <c r="N32" s="5"/>
      <c r="O32" s="13"/>
      <c r="P32" s="7"/>
      <c r="Q32" s="57"/>
      <c r="R32" s="58"/>
      <c r="S32" s="67"/>
      <c r="T32" s="5"/>
      <c r="U32" s="5"/>
    </row>
    <row r="33" spans="1:21" ht="16.5">
      <c r="A33" s="60" t="s">
        <v>55</v>
      </c>
      <c r="B33" s="5"/>
      <c r="C33" s="5"/>
      <c r="D33" s="5"/>
      <c r="E33" s="22">
        <f>E31+E23</f>
        <v>701509442</v>
      </c>
      <c r="F33" s="23">
        <f>F31+F23</f>
        <v>252679289</v>
      </c>
      <c r="G33" s="23"/>
      <c r="H33" s="22"/>
      <c r="I33" s="19">
        <f>I31+I23</f>
        <v>69794787</v>
      </c>
      <c r="J33" s="29"/>
      <c r="K33" s="19">
        <f>K31+K23</f>
        <v>6218694.279749923</v>
      </c>
      <c r="L33" s="19">
        <f>M41-K33</f>
        <v>842841.7202500766</v>
      </c>
      <c r="M33" s="19">
        <f>M31+M23</f>
        <v>7061536.000000002</v>
      </c>
      <c r="N33" s="21">
        <f>M33/I33</f>
        <v>0.10117569382366626</v>
      </c>
      <c r="O33" s="13">
        <f t="shared" si="3"/>
        <v>1.1398484244962306</v>
      </c>
      <c r="P33" s="19">
        <f>P31+P23</f>
        <v>76856323</v>
      </c>
      <c r="Q33" s="57">
        <f t="shared" si="5"/>
        <v>0.027946635547165886</v>
      </c>
      <c r="R33" s="58"/>
      <c r="S33" s="67"/>
      <c r="T33" s="63"/>
      <c r="U33" s="5"/>
    </row>
    <row r="34" spans="1:21" ht="15">
      <c r="A34" s="56" t="s">
        <v>56</v>
      </c>
      <c r="B34" s="5"/>
      <c r="C34" s="5"/>
      <c r="D34" s="5"/>
      <c r="E34" s="2"/>
      <c r="F34" s="3"/>
      <c r="G34" s="3"/>
      <c r="H34" s="2"/>
      <c r="I34" s="2"/>
      <c r="J34" s="25"/>
      <c r="K34" s="5"/>
      <c r="L34" s="5"/>
      <c r="M34" s="5"/>
      <c r="N34" s="5"/>
      <c r="O34" s="5"/>
      <c r="P34" s="5"/>
      <c r="Q34" s="57"/>
      <c r="R34" s="58"/>
      <c r="S34" s="67"/>
      <c r="T34" s="5"/>
      <c r="U34" s="5"/>
    </row>
    <row r="35" spans="1:21" ht="17.25">
      <c r="A35" s="5" t="s">
        <v>57</v>
      </c>
      <c r="B35" s="5"/>
      <c r="C35" s="5"/>
      <c r="D35" s="5"/>
      <c r="E35" s="8"/>
      <c r="F35" s="3">
        <v>9760691</v>
      </c>
      <c r="G35" s="3"/>
      <c r="H35" s="2"/>
      <c r="I35" s="12">
        <v>9760691</v>
      </c>
      <c r="J35" s="28"/>
      <c r="K35" s="12"/>
      <c r="L35" s="12"/>
      <c r="M35" s="12">
        <f>K35</f>
        <v>0</v>
      </c>
      <c r="N35" s="5"/>
      <c r="O35" s="5"/>
      <c r="P35" s="12">
        <f>+K35+I35</f>
        <v>9760691</v>
      </c>
      <c r="Q35" s="57">
        <f>M35/F35</f>
        <v>0</v>
      </c>
      <c r="R35" s="58"/>
      <c r="S35" s="72">
        <v>1129498</v>
      </c>
      <c r="T35" s="5"/>
      <c r="U35" s="5"/>
    </row>
    <row r="36" spans="1:21" s="5" customFormat="1" ht="17.25" thickBot="1">
      <c r="A36" s="61" t="s">
        <v>58</v>
      </c>
      <c r="B36" s="31"/>
      <c r="C36" s="31"/>
      <c r="D36" s="31"/>
      <c r="E36" s="37">
        <f>+E33</f>
        <v>701509442</v>
      </c>
      <c r="F36" s="36">
        <f>F35+F33</f>
        <v>262439980</v>
      </c>
      <c r="G36" s="33"/>
      <c r="H36" s="31"/>
      <c r="I36" s="36">
        <f>+I35+I33</f>
        <v>79555478</v>
      </c>
      <c r="J36" s="34"/>
      <c r="K36" s="32">
        <f>+K35+K33</f>
        <v>6218694.279749923</v>
      </c>
      <c r="L36" s="32">
        <f>+L35+L33</f>
        <v>842841.7202500766</v>
      </c>
      <c r="M36" s="36">
        <f>+M35+M33</f>
        <v>7061536.000000002</v>
      </c>
      <c r="N36" s="35">
        <f>M36/I36</f>
        <v>0.0887624105532997</v>
      </c>
      <c r="O36" s="35"/>
      <c r="P36" s="36">
        <f>+P35+P33</f>
        <v>86617014</v>
      </c>
      <c r="Q36" s="35">
        <f>M36/F36</f>
        <v>0.026907241800582373</v>
      </c>
      <c r="R36" s="21"/>
      <c r="S36" s="75"/>
      <c r="T36" s="66">
        <f>M36-S35</f>
        <v>5932038.000000002</v>
      </c>
      <c r="U36" s="35">
        <f>T36/F36</f>
        <v>0.022603408215470838</v>
      </c>
    </row>
    <row r="37" ht="15.75" thickTop="1"/>
    <row r="39" spans="6:9" ht="15">
      <c r="F39" s="39" t="s">
        <v>62</v>
      </c>
      <c r="I39" s="59">
        <f>I33-I29</f>
        <v>63962620</v>
      </c>
    </row>
    <row r="41" spans="11:13" ht="15">
      <c r="K41" s="76" t="s">
        <v>64</v>
      </c>
      <c r="L41" s="62"/>
      <c r="M41" s="62">
        <v>7061536</v>
      </c>
    </row>
    <row r="42" ht="15">
      <c r="M42" s="57">
        <f>M41/I39</f>
        <v>0.11040098107300796</v>
      </c>
    </row>
    <row r="43" ht="15">
      <c r="L43" s="57"/>
    </row>
    <row r="44" spans="11:13" ht="15">
      <c r="K44" s="39" t="s">
        <v>65</v>
      </c>
      <c r="M44" s="59">
        <f>M41-(K26+K27)</f>
        <v>8812431.848168585</v>
      </c>
    </row>
    <row r="45" ht="15">
      <c r="M45" s="57">
        <f>M44/I39</f>
        <v>0.13777471667309102</v>
      </c>
    </row>
    <row r="47" ht="15">
      <c r="M47" s="59"/>
    </row>
  </sheetData>
  <mergeCells count="2">
    <mergeCell ref="A1:U1"/>
    <mergeCell ref="A2:U2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&amp;RDocket UG-060256
Settlement Agreement
Attachment C
Page &amp;P of &amp;N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Steward</dc:creator>
  <cp:keywords/>
  <dc:description/>
  <cp:lastModifiedBy>No Name</cp:lastModifiedBy>
  <cp:lastPrinted>2006-10-04T20:02:28Z</cp:lastPrinted>
  <dcterms:created xsi:type="dcterms:W3CDTF">2006-07-26T16:01:30Z</dcterms:created>
  <dcterms:modified xsi:type="dcterms:W3CDTF">2006-10-11T18:36:17Z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-903616501</vt:i4>
  </property>
  <property fmtid="{D5CDD505-2E9C-101B-9397-08002B2CF9AE}" pid="4" name="_EmailSubje">
    <vt:lpwstr>Docket No. UG-060256 -- Cascade Natural Gas Corporation</vt:lpwstr>
  </property>
  <property fmtid="{D5CDD505-2E9C-101B-9397-08002B2CF9AE}" pid="5" name="_AuthorEma">
    <vt:lpwstr>jvannostrand@perkinscoie.com</vt:lpwstr>
  </property>
  <property fmtid="{D5CDD505-2E9C-101B-9397-08002B2CF9AE}" pid="6" name="_AuthorEmailDisplayNa">
    <vt:lpwstr>Van Nostrand, James M.  (Perkins Coie)</vt:lpwstr>
  </property>
  <property fmtid="{D5CDD505-2E9C-101B-9397-08002B2CF9AE}" pid="7" name="DocumentSetTy">
    <vt:lpwstr>Document</vt:lpwstr>
  </property>
  <property fmtid="{D5CDD505-2E9C-101B-9397-08002B2CF9AE}" pid="8" name="IsHighlyConfidenti">
    <vt:lpwstr>0</vt:lpwstr>
  </property>
  <property fmtid="{D5CDD505-2E9C-101B-9397-08002B2CF9AE}" pid="9" name="DocketNumb">
    <vt:lpwstr>060256</vt:lpwstr>
  </property>
  <property fmtid="{D5CDD505-2E9C-101B-9397-08002B2CF9AE}" pid="10" name="IsConfidenti">
    <vt:lpwstr>0</vt:lpwstr>
  </property>
  <property fmtid="{D5CDD505-2E9C-101B-9397-08002B2CF9AE}" pid="11" name="Dat">
    <vt:lpwstr>2006-10-11T00:00:00Z</vt:lpwstr>
  </property>
  <property fmtid="{D5CDD505-2E9C-101B-9397-08002B2CF9AE}" pid="12" name="CaseTy">
    <vt:lpwstr>Tariff Revision</vt:lpwstr>
  </property>
  <property fmtid="{D5CDD505-2E9C-101B-9397-08002B2CF9AE}" pid="13" name="OpenedDa">
    <vt:lpwstr>2006-02-14T00:00:00Z</vt:lpwstr>
  </property>
  <property fmtid="{D5CDD505-2E9C-101B-9397-08002B2CF9AE}" pid="14" name="Pref">
    <vt:lpwstr>UG</vt:lpwstr>
  </property>
  <property fmtid="{D5CDD505-2E9C-101B-9397-08002B2CF9AE}" pid="15" name="CaseCompanyNam">
    <vt:lpwstr>Cascade Natural Gas Corporation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