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0370" windowHeight="10785"/>
  </bookViews>
  <sheets>
    <sheet name="2018 GRC-TRF Sales &amp; Rev Adj" sheetId="17" r:id="rId1"/>
    <sheet name="UE-180282 TRF Power Costs" sheetId="18" r:id="rId2"/>
    <sheet name="UE-180282 TRF Exhibit A-1" sheetId="20" r:id="rId3"/>
    <sheet name="UE-180282 TRF Prop Rev" sheetId="19" r:id="rId4"/>
    <sheet name="2017 Sales &amp; Revenue Adj" sheetId="15" r:id="rId5"/>
    <sheet name="UE-170033 2017 GRC COS Pow Cost" sheetId="13" r:id="rId6"/>
    <sheet name="UE-170033 2017 GRC Exh A-1" sheetId="14" r:id="rId7"/>
    <sheet name="UE-170033 2017 GRC Prop Rev" sheetId="16" r:id="rId8"/>
    <sheet name="2016 PCA Sales &amp; Revenue Adj." sheetId="11" r:id="rId9"/>
    <sheet name="Summary 2016 PCORC Rev Req" sheetId="9" r:id="rId10"/>
    <sheet name="2016 PCORC Exh A-1" sheetId="12" r:id="rId11"/>
    <sheet name="2016 PCORC Rate Spread" sheetId="10" r:id="rId12"/>
    <sheet name="2014 PCA Sales &amp; Revenue Adj." sheetId="5" r:id="rId13"/>
    <sheet name="Summary 2014 PCORC Rev Req" sheetId="6" r:id="rId14"/>
    <sheet name="2014 PCORC Exh A-1" sheetId="7" r:id="rId15"/>
    <sheet name="2014 PCORC Rate Spread (JAP-3)" sheetId="8" r:id="rId16"/>
    <sheet name="Summary 2013 PCORC Rev Req" sheetId="1" r:id="rId17"/>
    <sheet name="p14 2011 GRC ERF - COS" sheetId="2" r:id="rId18"/>
    <sheet name="2013 PCORC Att A p 2 (ExA1)" sheetId="3" r:id="rId19"/>
    <sheet name="2013 PCORC Rate Spread (JAP-3)" sheetId="4" r:id="rId20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8">{"'Sheet1'!$A$1:$J$121"}</definedName>
    <definedName name="HTML_Control" localSheetId="19">{"'Sheet1'!$A$1:$J$121"}</definedName>
    <definedName name="HTML_Control" localSheetId="12">{"'Sheet1'!$A$1:$J$121"}</definedName>
    <definedName name="HTML_Control" localSheetId="17">{"'Sheet1'!$A$1:$J$121"}</definedName>
    <definedName name="HTML_Control" localSheetId="16">{"'Sheet1'!$A$1:$J$121"}</definedName>
    <definedName name="HTML_Control" localSheetId="1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8">'2013 PCORC Att A p 2 (ExA1)'!$A$1:$I$48</definedName>
    <definedName name="_xlnm.Print_Area" localSheetId="19">'2013 PCORC Rate Spread (JAP-3)'!$A$1:$L$36</definedName>
    <definedName name="_xlnm.Print_Area" localSheetId="8">'2016 PCA Sales &amp; Revenue Adj.'!$A$1:$N$52</definedName>
    <definedName name="_xlnm.Print_Area" localSheetId="10">'2016 PCORC Exh A-1'!$A$1:$N$46</definedName>
    <definedName name="_xlnm.Print_Area" localSheetId="11">'2016 PCORC Rate Spread'!$A$1:$L$35</definedName>
    <definedName name="_xlnm.Print_Area" localSheetId="4">'2017 Sales &amp; Revenue Adj'!$A$1:$P$46</definedName>
    <definedName name="_xlnm.Print_Area" localSheetId="0">'2018 GRC-TRF Sales &amp; Rev Adj'!$A$1:$N$46</definedName>
    <definedName name="_xlnm.Print_Area" localSheetId="17">'p14 2011 GRC ERF - COS'!$A$1:$S$68</definedName>
    <definedName name="_xlnm.Print_Area" localSheetId="9">'Summary 2016 PCORC Rev Req'!$A$1:$Q$22</definedName>
    <definedName name="_xlnm.Print_Area" localSheetId="5">'UE-170033 2017 GRC COS Pow Cost'!$A$1:$Q$32</definedName>
    <definedName name="_xlnm.Print_Area" localSheetId="2">'UE-180282 TRF Exhibit A-1'!$A$1:$G$58</definedName>
    <definedName name="_xlnm.Print_Area" localSheetId="3">'UE-180282 TRF Prop Rev'!$A$1:$Q$47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C26" i="18" l="1"/>
  <c r="Q28" i="18"/>
  <c r="P28" i="18"/>
  <c r="M28" i="18"/>
  <c r="L28" i="18"/>
  <c r="K28" i="18"/>
  <c r="J28" i="18"/>
  <c r="I28" i="18"/>
  <c r="H28" i="18"/>
  <c r="G28" i="18"/>
  <c r="F28" i="18"/>
  <c r="E28" i="18"/>
  <c r="C27" i="18"/>
  <c r="C43" i="17" l="1"/>
  <c r="C44" i="17"/>
  <c r="C42" i="17"/>
  <c r="C40" i="17"/>
  <c r="C39" i="17"/>
  <c r="G41" i="17" s="1"/>
  <c r="C38" i="17"/>
  <c r="C37" i="17"/>
  <c r="C23" i="18"/>
  <c r="C21" i="18"/>
  <c r="C20" i="18"/>
  <c r="C41" i="17" l="1"/>
  <c r="C29" i="18"/>
  <c r="C28" i="18"/>
  <c r="C30" i="18" s="1"/>
  <c r="C22" i="18"/>
  <c r="C24" i="18"/>
  <c r="P18" i="18"/>
  <c r="O18" i="18"/>
  <c r="L18" i="18"/>
  <c r="K18" i="18"/>
  <c r="G18" i="18"/>
  <c r="Q17" i="18"/>
  <c r="P17" i="18"/>
  <c r="O17" i="18"/>
  <c r="N17" i="18"/>
  <c r="M17" i="18"/>
  <c r="L17" i="18"/>
  <c r="K17" i="18"/>
  <c r="J17" i="18"/>
  <c r="I17" i="18"/>
  <c r="H17" i="18"/>
  <c r="H18" i="18" s="1"/>
  <c r="G17" i="18"/>
  <c r="F17" i="18"/>
  <c r="C17" i="18" s="1"/>
  <c r="E17" i="18"/>
  <c r="Q16" i="18"/>
  <c r="Q18" i="18" s="1"/>
  <c r="P16" i="18"/>
  <c r="O16" i="18"/>
  <c r="N16" i="18"/>
  <c r="N18" i="18" s="1"/>
  <c r="M16" i="18"/>
  <c r="M18" i="18" s="1"/>
  <c r="L16" i="18"/>
  <c r="K16" i="18"/>
  <c r="J16" i="18"/>
  <c r="J18" i="18" s="1"/>
  <c r="I16" i="18"/>
  <c r="I18" i="18" s="1"/>
  <c r="H16" i="18"/>
  <c r="G16" i="18"/>
  <c r="F16" i="18"/>
  <c r="F18" i="18" s="1"/>
  <c r="E16" i="18"/>
  <c r="C16" i="18" s="1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C11" i="18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K24" i="18" l="1"/>
  <c r="K32" i="18" s="1"/>
  <c r="G44" i="17" s="1"/>
  <c r="F24" i="18"/>
  <c r="F32" i="18" s="1"/>
  <c r="G38" i="17" s="1"/>
  <c r="J24" i="18"/>
  <c r="N24" i="18"/>
  <c r="O24" i="18"/>
  <c r="G24" i="18"/>
  <c r="G32" i="18" s="1"/>
  <c r="G39" i="17" s="1"/>
  <c r="P24" i="18"/>
  <c r="I24" i="18"/>
  <c r="I32" i="18" s="1"/>
  <c r="G42" i="17" s="1"/>
  <c r="M24" i="18"/>
  <c r="Q24" i="18"/>
  <c r="Q32" i="18" s="1"/>
  <c r="H24" i="18"/>
  <c r="H32" i="18" s="1"/>
  <c r="G40" i="17" s="1"/>
  <c r="L24" i="18"/>
  <c r="L32" i="18" s="1"/>
  <c r="G43" i="17" s="1"/>
  <c r="E18" i="18"/>
  <c r="E24" i="13"/>
  <c r="C23" i="13"/>
  <c r="C22" i="13"/>
  <c r="C24" i="13"/>
  <c r="C21" i="13"/>
  <c r="C20" i="13"/>
  <c r="A20" i="13"/>
  <c r="A21" i="13" s="1"/>
  <c r="A22" i="13" s="1"/>
  <c r="A23" i="13" s="1"/>
  <c r="A24" i="13" s="1"/>
  <c r="A25" i="13" s="1"/>
  <c r="E24" i="18" l="1"/>
  <c r="E32" i="18" s="1"/>
  <c r="G37" i="17" s="1"/>
  <c r="C18" i="18"/>
  <c r="C16" i="17"/>
  <c r="D45" i="17"/>
  <c r="E45" i="17" s="1"/>
  <c r="F45" i="17" s="1"/>
  <c r="H45" i="17" s="1"/>
  <c r="I45" i="17" s="1"/>
  <c r="J45" i="17" s="1"/>
  <c r="K45" i="17" s="1"/>
  <c r="L45" i="17" s="1"/>
  <c r="M45" i="17" s="1"/>
  <c r="N45" i="17" s="1"/>
  <c r="N32" i="17"/>
  <c r="M32" i="17"/>
  <c r="L32" i="17"/>
  <c r="K32" i="17"/>
  <c r="J32" i="17"/>
  <c r="I32" i="17"/>
  <c r="H32" i="17"/>
  <c r="G32" i="17"/>
  <c r="F32" i="17"/>
  <c r="E32" i="17"/>
  <c r="D32" i="17"/>
  <c r="C32" i="17"/>
  <c r="B30" i="17"/>
  <c r="B28" i="17"/>
  <c r="B29" i="17"/>
  <c r="B27" i="17"/>
  <c r="B26" i="17"/>
  <c r="B25" i="17"/>
  <c r="B24" i="17"/>
  <c r="B23" i="17"/>
  <c r="B22" i="17"/>
  <c r="B32" i="17" l="1"/>
  <c r="D16" i="17"/>
  <c r="E16" i="17"/>
  <c r="F16" i="17"/>
  <c r="C45" i="15"/>
  <c r="C16" i="15" s="1"/>
  <c r="C43" i="15"/>
  <c r="D43" i="15" s="1"/>
  <c r="E43" i="15" s="1"/>
  <c r="F43" i="15" s="1"/>
  <c r="G43" i="15" s="1"/>
  <c r="H43" i="15" s="1"/>
  <c r="I43" i="15" s="1"/>
  <c r="J43" i="15" s="1"/>
  <c r="K43" i="15" s="1"/>
  <c r="L43" i="15" s="1"/>
  <c r="M43" i="15" s="1"/>
  <c r="C44" i="15"/>
  <c r="D44" i="15" s="1"/>
  <c r="E44" i="15" s="1"/>
  <c r="F44" i="15" s="1"/>
  <c r="G44" i="15" s="1"/>
  <c r="H44" i="15" s="1"/>
  <c r="I44" i="15" s="1"/>
  <c r="J44" i="15" s="1"/>
  <c r="K44" i="15" s="1"/>
  <c r="L44" i="15" s="1"/>
  <c r="M44" i="15" s="1"/>
  <c r="C42" i="15"/>
  <c r="D42" i="15" s="1"/>
  <c r="E42" i="15" s="1"/>
  <c r="F42" i="15" s="1"/>
  <c r="G42" i="15" s="1"/>
  <c r="H42" i="15" s="1"/>
  <c r="I42" i="15" s="1"/>
  <c r="J42" i="15" s="1"/>
  <c r="K42" i="15" s="1"/>
  <c r="L42" i="15" s="1"/>
  <c r="M42" i="15" s="1"/>
  <c r="C41" i="15"/>
  <c r="D41" i="15" s="1"/>
  <c r="E41" i="15" s="1"/>
  <c r="F41" i="15" s="1"/>
  <c r="G41" i="15" s="1"/>
  <c r="H41" i="15" s="1"/>
  <c r="I41" i="15" s="1"/>
  <c r="J41" i="15" s="1"/>
  <c r="K41" i="15" s="1"/>
  <c r="L41" i="15" s="1"/>
  <c r="M41" i="15" s="1"/>
  <c r="C40" i="15"/>
  <c r="D40" i="15" s="1"/>
  <c r="E40" i="15" s="1"/>
  <c r="F40" i="15" s="1"/>
  <c r="G40" i="15" s="1"/>
  <c r="H40" i="15" s="1"/>
  <c r="I40" i="15" s="1"/>
  <c r="J40" i="15" s="1"/>
  <c r="K40" i="15" s="1"/>
  <c r="L40" i="15" s="1"/>
  <c r="M40" i="15" s="1"/>
  <c r="C39" i="15"/>
  <c r="D39" i="15" s="1"/>
  <c r="E39" i="15" s="1"/>
  <c r="F39" i="15" s="1"/>
  <c r="G39" i="15" s="1"/>
  <c r="H39" i="15" s="1"/>
  <c r="I39" i="15" s="1"/>
  <c r="J39" i="15" s="1"/>
  <c r="K39" i="15" s="1"/>
  <c r="L39" i="15" s="1"/>
  <c r="M39" i="15" s="1"/>
  <c r="C38" i="15"/>
  <c r="D38" i="15" s="1"/>
  <c r="E38" i="15" s="1"/>
  <c r="F38" i="15" s="1"/>
  <c r="G38" i="15" s="1"/>
  <c r="H38" i="15" s="1"/>
  <c r="I38" i="15" s="1"/>
  <c r="J38" i="15" s="1"/>
  <c r="K38" i="15" s="1"/>
  <c r="L38" i="15" s="1"/>
  <c r="M38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2" i="15"/>
  <c r="M32" i="15"/>
  <c r="L32" i="15"/>
  <c r="K32" i="15"/>
  <c r="J32" i="15"/>
  <c r="I32" i="15"/>
  <c r="H32" i="15"/>
  <c r="G32" i="15"/>
  <c r="F32" i="15"/>
  <c r="E32" i="15"/>
  <c r="D32" i="15"/>
  <c r="C32" i="15"/>
  <c r="B30" i="15"/>
  <c r="B28" i="15"/>
  <c r="B29" i="15"/>
  <c r="B27" i="15"/>
  <c r="B26" i="15"/>
  <c r="B25" i="15"/>
  <c r="B24" i="15"/>
  <c r="B23" i="15"/>
  <c r="B22" i="15"/>
  <c r="Q28" i="13"/>
  <c r="P28" i="13"/>
  <c r="M28" i="13"/>
  <c r="L28" i="13"/>
  <c r="K28" i="13"/>
  <c r="J28" i="13"/>
  <c r="I28" i="13"/>
  <c r="H28" i="13"/>
  <c r="G28" i="13"/>
  <c r="F28" i="13"/>
  <c r="E28" i="13"/>
  <c r="C27" i="13"/>
  <c r="C26" i="13"/>
  <c r="C29" i="13"/>
  <c r="C9" i="15" l="1"/>
  <c r="C14" i="15"/>
  <c r="C13" i="15"/>
  <c r="D45" i="15"/>
  <c r="E45" i="15" s="1"/>
  <c r="F45" i="15" s="1"/>
  <c r="G45" i="15" s="1"/>
  <c r="H45" i="15" s="1"/>
  <c r="I45" i="15" s="1"/>
  <c r="J45" i="15" s="1"/>
  <c r="K45" i="15" s="1"/>
  <c r="L45" i="15" s="1"/>
  <c r="M45" i="15" s="1"/>
  <c r="N45" i="15" s="1"/>
  <c r="B32" i="15"/>
  <c r="G16" i="17"/>
  <c r="D11" i="15"/>
  <c r="D10" i="15"/>
  <c r="E10" i="15"/>
  <c r="E15" i="15"/>
  <c r="D15" i="15"/>
  <c r="C10" i="15"/>
  <c r="D13" i="15"/>
  <c r="C15" i="15"/>
  <c r="F13" i="15"/>
  <c r="E9" i="15"/>
  <c r="C8" i="15"/>
  <c r="C12" i="15"/>
  <c r="C11" i="15"/>
  <c r="D14" i="15"/>
  <c r="D9" i="15"/>
  <c r="E13" i="15"/>
  <c r="H16" i="17" l="1"/>
  <c r="D16" i="15"/>
  <c r="E14" i="15"/>
  <c r="D12" i="15"/>
  <c r="D8" i="15"/>
  <c r="F15" i="15"/>
  <c r="E11" i="15"/>
  <c r="G13" i="15"/>
  <c r="F10" i="15"/>
  <c r="F9" i="15"/>
  <c r="C18" i="15"/>
  <c r="I16" i="17" l="1"/>
  <c r="E16" i="15"/>
  <c r="G15" i="15"/>
  <c r="E8" i="15"/>
  <c r="F14" i="15"/>
  <c r="G10" i="15"/>
  <c r="H13" i="15"/>
  <c r="E12" i="15"/>
  <c r="G9" i="15"/>
  <c r="F11" i="15"/>
  <c r="D18" i="15"/>
  <c r="J16" i="17" l="1"/>
  <c r="F16" i="15"/>
  <c r="E18" i="15"/>
  <c r="H9" i="15"/>
  <c r="H10" i="15"/>
  <c r="F8" i="15"/>
  <c r="G11" i="15"/>
  <c r="F12" i="15"/>
  <c r="I13" i="15"/>
  <c r="G14" i="15"/>
  <c r="H15" i="15"/>
  <c r="K16" i="17" l="1"/>
  <c r="G16" i="15"/>
  <c r="H14" i="15"/>
  <c r="J13" i="15"/>
  <c r="H11" i="15"/>
  <c r="I10" i="15"/>
  <c r="I9" i="15"/>
  <c r="I15" i="15"/>
  <c r="G12" i="15"/>
  <c r="F18" i="15"/>
  <c r="G8" i="15"/>
  <c r="L16" i="17" l="1"/>
  <c r="H16" i="15"/>
  <c r="H8" i="15"/>
  <c r="H12" i="15"/>
  <c r="J9" i="15"/>
  <c r="J10" i="15"/>
  <c r="J15" i="15"/>
  <c r="I11" i="15"/>
  <c r="G18" i="15"/>
  <c r="I14" i="15"/>
  <c r="K13" i="15"/>
  <c r="M16" i="17" l="1"/>
  <c r="N16" i="17"/>
  <c r="I16" i="15"/>
  <c r="J11" i="15"/>
  <c r="J14" i="15"/>
  <c r="K10" i="15"/>
  <c r="I12" i="15"/>
  <c r="K9" i="15"/>
  <c r="H18" i="15"/>
  <c r="M13" i="15"/>
  <c r="L13" i="15"/>
  <c r="K15" i="15"/>
  <c r="I8" i="15"/>
  <c r="B16" i="17" l="1"/>
  <c r="J16" i="15"/>
  <c r="M15" i="15"/>
  <c r="L15" i="15"/>
  <c r="I18" i="15"/>
  <c r="M9" i="15"/>
  <c r="L9" i="15"/>
  <c r="J12" i="15"/>
  <c r="J8" i="15"/>
  <c r="K11" i="15"/>
  <c r="L10" i="15"/>
  <c r="M10" i="15"/>
  <c r="K14" i="15"/>
  <c r="J18" i="15" l="1"/>
  <c r="K16" i="15"/>
  <c r="M14" i="15"/>
  <c r="L14" i="15"/>
  <c r="K8" i="15"/>
  <c r="K12" i="15"/>
  <c r="L11" i="15"/>
  <c r="M11" i="15"/>
  <c r="L16" i="15" l="1"/>
  <c r="K18" i="15"/>
  <c r="M8" i="15"/>
  <c r="L8" i="15"/>
  <c r="M12" i="15"/>
  <c r="L12" i="15"/>
  <c r="N16" i="15" l="1"/>
  <c r="M16" i="15"/>
  <c r="M18" i="15" s="1"/>
  <c r="L18" i="15"/>
  <c r="B16" i="15" l="1"/>
  <c r="F56" i="14" l="1"/>
  <c r="F55" i="14"/>
  <c r="F54" i="14"/>
  <c r="F53" i="14"/>
  <c r="F52" i="14"/>
  <c r="F51" i="14"/>
  <c r="F50" i="14"/>
  <c r="D57" i="14"/>
  <c r="D37" i="14"/>
  <c r="F37" i="14" s="1"/>
  <c r="G37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F33" i="14"/>
  <c r="D33" i="14"/>
  <c r="F32" i="14"/>
  <c r="D32" i="14"/>
  <c r="F31" i="14"/>
  <c r="G30" i="14"/>
  <c r="G29" i="14"/>
  <c r="D29" i="14"/>
  <c r="F28" i="14"/>
  <c r="D28" i="14"/>
  <c r="F27" i="14"/>
  <c r="G26" i="14"/>
  <c r="G25" i="14"/>
  <c r="D25" i="14"/>
  <c r="G24" i="14"/>
  <c r="D24" i="14"/>
  <c r="F23" i="14"/>
  <c r="G22" i="14"/>
  <c r="F21" i="14"/>
  <c r="D21" i="14"/>
  <c r="F20" i="14"/>
  <c r="D20" i="14"/>
  <c r="F19" i="14"/>
  <c r="G18" i="14"/>
  <c r="G17" i="14"/>
  <c r="D17" i="14"/>
  <c r="C15" i="14"/>
  <c r="F15" i="14" s="1"/>
  <c r="G14" i="14"/>
  <c r="C8" i="14"/>
  <c r="C16" i="14"/>
  <c r="C13" i="14"/>
  <c r="C28" i="13" l="1"/>
  <c r="C30" i="13" s="1"/>
  <c r="F13" i="14"/>
  <c r="D13" i="14"/>
  <c r="G36" i="14"/>
  <c r="D16" i="14"/>
  <c r="F16" i="14"/>
  <c r="D15" i="14"/>
  <c r="D19" i="14"/>
  <c r="D23" i="14"/>
  <c r="D27" i="14"/>
  <c r="D31" i="14"/>
  <c r="F49" i="14"/>
  <c r="F57" i="14" s="1"/>
  <c r="D14" i="14"/>
  <c r="D18" i="14"/>
  <c r="D22" i="14"/>
  <c r="D26" i="14"/>
  <c r="D30" i="14"/>
  <c r="F58" i="14" l="1"/>
  <c r="C34" i="14"/>
  <c r="G42" i="14"/>
  <c r="G38" i="14"/>
  <c r="G43" i="14" l="1"/>
  <c r="F34" i="14"/>
  <c r="F36" i="14" s="1"/>
  <c r="D34" i="14"/>
  <c r="D36" i="14" s="1"/>
  <c r="D38" i="14" s="1"/>
  <c r="C36" i="14"/>
  <c r="C38" i="14" s="1"/>
  <c r="F42" i="14" l="1"/>
  <c r="D42" i="14" s="1"/>
  <c r="F38" i="14"/>
  <c r="F43" i="14" s="1"/>
  <c r="D43" i="14" s="1"/>
  <c r="Q17" i="13" l="1"/>
  <c r="P17" i="13"/>
  <c r="O17" i="13"/>
  <c r="N17" i="13"/>
  <c r="M17" i="13"/>
  <c r="L17" i="13"/>
  <c r="K17" i="13"/>
  <c r="J17" i="13"/>
  <c r="I17" i="13"/>
  <c r="H17" i="13"/>
  <c r="G17" i="13"/>
  <c r="F17" i="13"/>
  <c r="E17" i="13"/>
  <c r="Q16" i="13"/>
  <c r="P16" i="13"/>
  <c r="O16" i="13"/>
  <c r="O18" i="13" s="1"/>
  <c r="O24" i="13" s="1"/>
  <c r="N16" i="13"/>
  <c r="M16" i="13"/>
  <c r="L16" i="13"/>
  <c r="K16" i="13"/>
  <c r="K18" i="13" s="1"/>
  <c r="K24" i="13" s="1"/>
  <c r="K32" i="13" s="1"/>
  <c r="J16" i="13"/>
  <c r="I16" i="13"/>
  <c r="H16" i="13"/>
  <c r="G16" i="13"/>
  <c r="G18" i="13" s="1"/>
  <c r="G24" i="13" s="1"/>
  <c r="G32" i="13" s="1"/>
  <c r="F16" i="13"/>
  <c r="E16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A10" i="13"/>
  <c r="A11" i="13" s="1"/>
  <c r="A12" i="13" s="1"/>
  <c r="P39" i="15" l="1"/>
  <c r="N39" i="15" s="1"/>
  <c r="N10" i="15" s="1"/>
  <c r="B10" i="15" s="1"/>
  <c r="P44" i="15"/>
  <c r="N44" i="15" s="1"/>
  <c r="N15" i="15" s="1"/>
  <c r="B15" i="15" s="1"/>
  <c r="A13" i="13"/>
  <c r="A14" i="13" s="1"/>
  <c r="A15" i="13" s="1"/>
  <c r="A16" i="13" s="1"/>
  <c r="A17" i="13" s="1"/>
  <c r="A18" i="13" s="1"/>
  <c r="A19" i="13" s="1"/>
  <c r="A26" i="13" s="1"/>
  <c r="A27" i="13" s="1"/>
  <c r="A28" i="13" s="1"/>
  <c r="A29" i="13" s="1"/>
  <c r="A30" i="13" s="1"/>
  <c r="A31" i="13" s="1"/>
  <c r="A32" i="13" s="1"/>
  <c r="A33" i="13" s="1"/>
  <c r="J18" i="13"/>
  <c r="J24" i="13" s="1"/>
  <c r="H18" i="13"/>
  <c r="H24" i="13" s="1"/>
  <c r="H32" i="13" s="1"/>
  <c r="L18" i="13"/>
  <c r="L24" i="13" s="1"/>
  <c r="L32" i="13" s="1"/>
  <c r="P18" i="13"/>
  <c r="P24" i="13" s="1"/>
  <c r="I18" i="13"/>
  <c r="I24" i="13" s="1"/>
  <c r="I32" i="13" s="1"/>
  <c r="Q18" i="13"/>
  <c r="Q24" i="13" s="1"/>
  <c r="Q32" i="13" s="1"/>
  <c r="F18" i="13"/>
  <c r="F24" i="13" s="1"/>
  <c r="F32" i="13" s="1"/>
  <c r="N18" i="13"/>
  <c r="N24" i="13" s="1"/>
  <c r="E18" i="13"/>
  <c r="E32" i="13" s="1"/>
  <c r="M18" i="13"/>
  <c r="M24" i="13" s="1"/>
  <c r="C17" i="13"/>
  <c r="C11" i="13"/>
  <c r="C16" i="13"/>
  <c r="P41" i="15" l="1"/>
  <c r="N41" i="15" s="1"/>
  <c r="N12" i="15" s="1"/>
  <c r="B12" i="15" s="1"/>
  <c r="P38" i="15"/>
  <c r="N38" i="15" s="1"/>
  <c r="N9" i="15" s="1"/>
  <c r="B9" i="15" s="1"/>
  <c r="P43" i="15"/>
  <c r="N43" i="15" s="1"/>
  <c r="N14" i="15" s="1"/>
  <c r="B14" i="15" s="1"/>
  <c r="P40" i="15"/>
  <c r="N40" i="15" s="1"/>
  <c r="N11" i="15" s="1"/>
  <c r="B11" i="15" s="1"/>
  <c r="C15" i="17"/>
  <c r="D44" i="17"/>
  <c r="P37" i="15"/>
  <c r="N37" i="15" s="1"/>
  <c r="N8" i="15" s="1"/>
  <c r="B8" i="15" s="1"/>
  <c r="P42" i="15"/>
  <c r="N42" i="15" s="1"/>
  <c r="N13" i="15" s="1"/>
  <c r="B13" i="15" s="1"/>
  <c r="C10" i="17"/>
  <c r="D39" i="17"/>
  <c r="C18" i="13"/>
  <c r="D42" i="17" l="1"/>
  <c r="C13" i="17"/>
  <c r="E44" i="17"/>
  <c r="D15" i="17"/>
  <c r="C14" i="17"/>
  <c r="D43" i="17"/>
  <c r="D41" i="17"/>
  <c r="C12" i="17"/>
  <c r="E39" i="17"/>
  <c r="D10" i="17"/>
  <c r="D37" i="17"/>
  <c r="C8" i="17"/>
  <c r="C11" i="17"/>
  <c r="D40" i="17"/>
  <c r="D38" i="17"/>
  <c r="C9" i="17"/>
  <c r="N51" i="11"/>
  <c r="N48" i="11"/>
  <c r="N47" i="11"/>
  <c r="N46" i="11"/>
  <c r="N45" i="11"/>
  <c r="N44" i="11"/>
  <c r="N43" i="11"/>
  <c r="N42" i="11"/>
  <c r="N41" i="11"/>
  <c r="B19" i="9"/>
  <c r="B10" i="9"/>
  <c r="B9" i="9"/>
  <c r="B8" i="9"/>
  <c r="B7" i="9"/>
  <c r="I70" i="12"/>
  <c r="K66" i="12"/>
  <c r="K62" i="12"/>
  <c r="K59" i="12"/>
  <c r="K69" i="12" s="1"/>
  <c r="I56" i="12"/>
  <c r="K55" i="12"/>
  <c r="K54" i="12"/>
  <c r="K53" i="12"/>
  <c r="K52" i="12"/>
  <c r="K51" i="12"/>
  <c r="K50" i="12"/>
  <c r="K56" i="12" s="1"/>
  <c r="K57" i="12" s="1"/>
  <c r="D38" i="12"/>
  <c r="F38" i="12" s="1"/>
  <c r="G38" i="12" s="1"/>
  <c r="M36" i="12"/>
  <c r="I36" i="12"/>
  <c r="F36" i="12"/>
  <c r="D36" i="12"/>
  <c r="I35" i="12"/>
  <c r="A35" i="12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M34" i="12"/>
  <c r="I34" i="12"/>
  <c r="K34" i="12" s="1"/>
  <c r="F34" i="12"/>
  <c r="D34" i="12"/>
  <c r="M33" i="12"/>
  <c r="K33" i="12"/>
  <c r="I33" i="12"/>
  <c r="F33" i="12"/>
  <c r="D33" i="12"/>
  <c r="M32" i="12"/>
  <c r="I32" i="12"/>
  <c r="K32" i="12" s="1"/>
  <c r="F32" i="12"/>
  <c r="D32" i="12"/>
  <c r="M31" i="12"/>
  <c r="I31" i="12"/>
  <c r="G31" i="12"/>
  <c r="D31" i="12"/>
  <c r="M30" i="12"/>
  <c r="I30" i="12"/>
  <c r="G30" i="12"/>
  <c r="D30" i="12"/>
  <c r="M29" i="12"/>
  <c r="I29" i="12"/>
  <c r="M28" i="12"/>
  <c r="K28" i="12"/>
  <c r="I28" i="12"/>
  <c r="F28" i="12"/>
  <c r="D28" i="12"/>
  <c r="M27" i="12"/>
  <c r="I27" i="12"/>
  <c r="F27" i="12"/>
  <c r="D27" i="12"/>
  <c r="M26" i="12"/>
  <c r="I26" i="12"/>
  <c r="G26" i="12"/>
  <c r="D26" i="12"/>
  <c r="M25" i="12"/>
  <c r="I25" i="12"/>
  <c r="G25" i="12"/>
  <c r="D25" i="12"/>
  <c r="M24" i="12"/>
  <c r="I24" i="12"/>
  <c r="K24" i="12" s="1"/>
  <c r="G24" i="12"/>
  <c r="D24" i="12"/>
  <c r="C24" i="12"/>
  <c r="M23" i="12"/>
  <c r="I23" i="12"/>
  <c r="K23" i="12" s="1"/>
  <c r="F23" i="12"/>
  <c r="D23" i="12"/>
  <c r="M22" i="12"/>
  <c r="K22" i="12"/>
  <c r="I22" i="12"/>
  <c r="G22" i="12"/>
  <c r="D22" i="12"/>
  <c r="M21" i="12"/>
  <c r="I21" i="12"/>
  <c r="K21" i="12" s="1"/>
  <c r="F21" i="12"/>
  <c r="D21" i="12"/>
  <c r="M20" i="12"/>
  <c r="I20" i="12"/>
  <c r="K20" i="12" s="1"/>
  <c r="F20" i="12"/>
  <c r="D20" i="12"/>
  <c r="M19" i="12"/>
  <c r="I19" i="12"/>
  <c r="K19" i="12" s="1"/>
  <c r="F19" i="12"/>
  <c r="D19" i="12"/>
  <c r="M18" i="12"/>
  <c r="I18" i="12"/>
  <c r="G18" i="12"/>
  <c r="D18" i="12"/>
  <c r="M17" i="12"/>
  <c r="I17" i="12"/>
  <c r="G17" i="12"/>
  <c r="D17" i="12"/>
  <c r="H16" i="12"/>
  <c r="I16" i="12" s="1"/>
  <c r="K16" i="12" s="1"/>
  <c r="F16" i="12"/>
  <c r="C16" i="12"/>
  <c r="D16" i="12" s="1"/>
  <c r="M15" i="12"/>
  <c r="H15" i="12"/>
  <c r="I15" i="12" s="1"/>
  <c r="K15" i="12" s="1"/>
  <c r="F15" i="12"/>
  <c r="D15" i="12"/>
  <c r="C15" i="12"/>
  <c r="M14" i="12"/>
  <c r="I14" i="12"/>
  <c r="G14" i="12"/>
  <c r="G37" i="12" s="1"/>
  <c r="D14" i="12"/>
  <c r="H13" i="12"/>
  <c r="H37" i="12" s="1"/>
  <c r="H39" i="12" s="1"/>
  <c r="C13" i="12"/>
  <c r="F13" i="12" s="1"/>
  <c r="G11" i="12"/>
  <c r="H8" i="12"/>
  <c r="B18" i="15" l="1"/>
  <c r="D9" i="17"/>
  <c r="E38" i="17"/>
  <c r="D8" i="17"/>
  <c r="E37" i="17"/>
  <c r="E41" i="17"/>
  <c r="D12" i="17"/>
  <c r="E40" i="17"/>
  <c r="D11" i="17"/>
  <c r="F44" i="17"/>
  <c r="E15" i="17"/>
  <c r="F39" i="17"/>
  <c r="E10" i="17"/>
  <c r="D14" i="17"/>
  <c r="E43" i="17"/>
  <c r="D13" i="17"/>
  <c r="E42" i="17"/>
  <c r="K37" i="12"/>
  <c r="L16" i="12"/>
  <c r="G43" i="12"/>
  <c r="G39" i="12"/>
  <c r="G44" i="12" s="1"/>
  <c r="L34" i="12"/>
  <c r="I13" i="12"/>
  <c r="I37" i="12" s="1"/>
  <c r="M16" i="12"/>
  <c r="K63" i="12"/>
  <c r="K67" i="12"/>
  <c r="D13" i="12"/>
  <c r="M13" i="12"/>
  <c r="K60" i="12"/>
  <c r="K64" i="12"/>
  <c r="K68" i="12"/>
  <c r="K61" i="12"/>
  <c r="K65" i="12"/>
  <c r="N18" i="15" l="1"/>
  <c r="F42" i="17"/>
  <c r="E13" i="17"/>
  <c r="F38" i="17"/>
  <c r="E9" i="17"/>
  <c r="F41" i="17"/>
  <c r="E12" i="17"/>
  <c r="F10" i="17"/>
  <c r="F15" i="17"/>
  <c r="F37" i="17"/>
  <c r="E8" i="17"/>
  <c r="F43" i="17"/>
  <c r="E14" i="17"/>
  <c r="F40" i="17"/>
  <c r="E11" i="17"/>
  <c r="K70" i="12"/>
  <c r="L37" i="12"/>
  <c r="F14" i="17" l="1"/>
  <c r="H44" i="17"/>
  <c r="G15" i="17"/>
  <c r="F12" i="17"/>
  <c r="F9" i="17"/>
  <c r="F13" i="17"/>
  <c r="F11" i="17"/>
  <c r="C18" i="17"/>
  <c r="F8" i="17"/>
  <c r="H39" i="17"/>
  <c r="G10" i="17"/>
  <c r="D18" i="17"/>
  <c r="K71" i="12"/>
  <c r="C35" i="12"/>
  <c r="E18" i="17" l="1"/>
  <c r="H41" i="17"/>
  <c r="G12" i="17"/>
  <c r="H43" i="17"/>
  <c r="G14" i="17"/>
  <c r="I39" i="17"/>
  <c r="H10" i="17"/>
  <c r="H40" i="17"/>
  <c r="G11" i="17"/>
  <c r="H38" i="17"/>
  <c r="G9" i="17"/>
  <c r="I44" i="17"/>
  <c r="H15" i="17"/>
  <c r="H37" i="17"/>
  <c r="G8" i="17"/>
  <c r="H42" i="17"/>
  <c r="G13" i="17"/>
  <c r="M35" i="12"/>
  <c r="M37" i="12" s="1"/>
  <c r="C37" i="12"/>
  <c r="C39" i="12" s="1"/>
  <c r="F35" i="12"/>
  <c r="F37" i="12" s="1"/>
  <c r="D35" i="12"/>
  <c r="D37" i="12" s="1"/>
  <c r="D39" i="12" s="1"/>
  <c r="I38" i="17" l="1"/>
  <c r="H9" i="17"/>
  <c r="J39" i="17"/>
  <c r="I10" i="17"/>
  <c r="I43" i="17"/>
  <c r="H14" i="17"/>
  <c r="J44" i="17"/>
  <c r="I15" i="17"/>
  <c r="I40" i="17"/>
  <c r="H11" i="17"/>
  <c r="I41" i="17"/>
  <c r="H12" i="17"/>
  <c r="I37" i="17"/>
  <c r="H8" i="17"/>
  <c r="I42" i="17"/>
  <c r="H13" i="17"/>
  <c r="F39" i="12"/>
  <c r="F44" i="12" s="1"/>
  <c r="D44" i="12" s="1"/>
  <c r="F43" i="12"/>
  <c r="D43" i="12" s="1"/>
  <c r="J43" i="17" l="1"/>
  <c r="I14" i="17"/>
  <c r="J38" i="17"/>
  <c r="I9" i="17"/>
  <c r="J41" i="17"/>
  <c r="I12" i="17"/>
  <c r="J40" i="17"/>
  <c r="I11" i="17"/>
  <c r="F18" i="17"/>
  <c r="G18" i="17"/>
  <c r="K39" i="17"/>
  <c r="J10" i="17"/>
  <c r="J37" i="17"/>
  <c r="I8" i="17"/>
  <c r="K44" i="17"/>
  <c r="J15" i="17"/>
  <c r="J42" i="17"/>
  <c r="I13" i="17"/>
  <c r="B17" i="9"/>
  <c r="B16" i="9"/>
  <c r="K27" i="10"/>
  <c r="K31" i="10" s="1"/>
  <c r="C18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8" i="10"/>
  <c r="F27" i="10"/>
  <c r="L44" i="17" l="1"/>
  <c r="K15" i="17"/>
  <c r="K37" i="17"/>
  <c r="J8" i="17"/>
  <c r="H18" i="17"/>
  <c r="K40" i="17"/>
  <c r="J11" i="17"/>
  <c r="K38" i="17"/>
  <c r="J9" i="17"/>
  <c r="K42" i="17"/>
  <c r="J13" i="17"/>
  <c r="L39" i="17"/>
  <c r="K10" i="17"/>
  <c r="K41" i="17"/>
  <c r="J12" i="17"/>
  <c r="K43" i="17"/>
  <c r="J14" i="17"/>
  <c r="F31" i="10"/>
  <c r="H12" i="10"/>
  <c r="J12" i="10" s="1"/>
  <c r="L12" i="10" s="1"/>
  <c r="D27" i="10"/>
  <c r="L41" i="17" l="1"/>
  <c r="K12" i="17"/>
  <c r="L38" i="17"/>
  <c r="K9" i="17"/>
  <c r="I18" i="17"/>
  <c r="M44" i="17"/>
  <c r="L15" i="17"/>
  <c r="L43" i="17"/>
  <c r="K14" i="17"/>
  <c r="M39" i="17"/>
  <c r="L10" i="17"/>
  <c r="L42" i="17"/>
  <c r="K13" i="17"/>
  <c r="L40" i="17"/>
  <c r="K11" i="17"/>
  <c r="L37" i="17"/>
  <c r="K8" i="17"/>
  <c r="H7" i="10"/>
  <c r="G27" i="10"/>
  <c r="D31" i="10"/>
  <c r="H18" i="10"/>
  <c r="H25" i="10"/>
  <c r="J25" i="10" s="1"/>
  <c r="L25" i="10" s="1"/>
  <c r="H21" i="10"/>
  <c r="J21" i="10" s="1"/>
  <c r="L21" i="10" s="1"/>
  <c r="L18" i="10" s="1"/>
  <c r="H13" i="10"/>
  <c r="J13" i="10" s="1"/>
  <c r="L13" i="10" s="1"/>
  <c r="H11" i="10"/>
  <c r="J11" i="10" s="1"/>
  <c r="L11" i="10" s="1"/>
  <c r="H9" i="10"/>
  <c r="J9" i="10" s="1"/>
  <c r="L9" i="10" s="1"/>
  <c r="H20" i="10"/>
  <c r="J20" i="10" s="1"/>
  <c r="L20" i="10" s="1"/>
  <c r="H17" i="10"/>
  <c r="J17" i="10" s="1"/>
  <c r="L17" i="10" s="1"/>
  <c r="H14" i="10"/>
  <c r="J14" i="10" s="1"/>
  <c r="L14" i="10" s="1"/>
  <c r="H10" i="10"/>
  <c r="J10" i="10" s="1"/>
  <c r="L10" i="10" s="1"/>
  <c r="H8" i="10"/>
  <c r="J8" i="10" s="1"/>
  <c r="L8" i="10" s="1"/>
  <c r="H23" i="10"/>
  <c r="J23" i="10" s="1"/>
  <c r="L23" i="10" s="1"/>
  <c r="M43" i="17" l="1"/>
  <c r="L14" i="17"/>
  <c r="J18" i="17"/>
  <c r="M40" i="17"/>
  <c r="L11" i="17"/>
  <c r="N39" i="17"/>
  <c r="N10" i="17" s="1"/>
  <c r="M10" i="17"/>
  <c r="N44" i="17"/>
  <c r="N15" i="17" s="1"/>
  <c r="M15" i="17"/>
  <c r="M38" i="17"/>
  <c r="L9" i="17"/>
  <c r="M41" i="17"/>
  <c r="L12" i="17"/>
  <c r="M37" i="17"/>
  <c r="L8" i="17"/>
  <c r="M42" i="17"/>
  <c r="L13" i="17"/>
  <c r="H27" i="10"/>
  <c r="J7" i="10"/>
  <c r="E27" i="10"/>
  <c r="N40" i="17" l="1"/>
  <c r="N11" i="17" s="1"/>
  <c r="M11" i="17"/>
  <c r="K18" i="17"/>
  <c r="N37" i="17"/>
  <c r="N8" i="17" s="1"/>
  <c r="M8" i="17"/>
  <c r="N38" i="17"/>
  <c r="N9" i="17" s="1"/>
  <c r="M9" i="17"/>
  <c r="B10" i="17"/>
  <c r="N43" i="17"/>
  <c r="N14" i="17" s="1"/>
  <c r="M14" i="17"/>
  <c r="N42" i="17"/>
  <c r="N13" i="17" s="1"/>
  <c r="M13" i="17"/>
  <c r="N41" i="17"/>
  <c r="N12" i="17" s="1"/>
  <c r="M12" i="17"/>
  <c r="B15" i="17"/>
  <c r="J27" i="10"/>
  <c r="L27" i="10" s="1"/>
  <c r="L7" i="10"/>
  <c r="B8" i="17" l="1"/>
  <c r="B11" i="17"/>
  <c r="B12" i="17"/>
  <c r="B14" i="17"/>
  <c r="B9" i="17"/>
  <c r="L18" i="17"/>
  <c r="B13" i="17"/>
  <c r="Q18" i="9"/>
  <c r="O18" i="9"/>
  <c r="M18" i="9"/>
  <c r="L18" i="9"/>
  <c r="K18" i="9"/>
  <c r="J18" i="9"/>
  <c r="I18" i="9"/>
  <c r="H18" i="9"/>
  <c r="G18" i="9"/>
  <c r="D18" i="9" s="1"/>
  <c r="F18" i="9"/>
  <c r="E18" i="9"/>
  <c r="B18" i="9"/>
  <c r="B20" i="9" s="1"/>
  <c r="B11" i="9"/>
  <c r="B14" i="9" s="1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E51" i="11"/>
  <c r="F51" i="11" s="1"/>
  <c r="G51" i="11" s="1"/>
  <c r="H51" i="11" s="1"/>
  <c r="I51" i="11" s="1"/>
  <c r="J51" i="11" s="1"/>
  <c r="K51" i="11" s="1"/>
  <c r="L51" i="11" s="1"/>
  <c r="M51" i="11" s="1"/>
  <c r="D51" i="11"/>
  <c r="D43" i="11"/>
  <c r="E43" i="11" s="1"/>
  <c r="F43" i="11" s="1"/>
  <c r="G43" i="11" s="1"/>
  <c r="H43" i="11" s="1"/>
  <c r="I43" i="11" s="1"/>
  <c r="J43" i="11" s="1"/>
  <c r="K43" i="11" s="1"/>
  <c r="L43" i="11" s="1"/>
  <c r="M43" i="11" s="1"/>
  <c r="D41" i="11"/>
  <c r="E41" i="11" s="1"/>
  <c r="F41" i="11" s="1"/>
  <c r="G41" i="11" s="1"/>
  <c r="H41" i="11" s="1"/>
  <c r="I41" i="11" s="1"/>
  <c r="J41" i="11" s="1"/>
  <c r="K41" i="11" s="1"/>
  <c r="L41" i="11" s="1"/>
  <c r="M41" i="11" s="1"/>
  <c r="C41" i="11"/>
  <c r="C8" i="11" s="1"/>
  <c r="C42" i="11"/>
  <c r="D42" i="11" s="1"/>
  <c r="E42" i="11" s="1"/>
  <c r="F42" i="11" s="1"/>
  <c r="G42" i="11" s="1"/>
  <c r="H42" i="11" s="1"/>
  <c r="I42" i="11" s="1"/>
  <c r="J42" i="11" s="1"/>
  <c r="K42" i="11" s="1"/>
  <c r="L42" i="11" s="1"/>
  <c r="M42" i="11" s="1"/>
  <c r="C43" i="11"/>
  <c r="C44" i="11"/>
  <c r="D44" i="11" s="1"/>
  <c r="E44" i="11" s="1"/>
  <c r="F44" i="11" s="1"/>
  <c r="G44" i="11" s="1"/>
  <c r="H44" i="11" s="1"/>
  <c r="I44" i="11" s="1"/>
  <c r="J44" i="11" s="1"/>
  <c r="K44" i="11" s="1"/>
  <c r="L44" i="11" s="1"/>
  <c r="M44" i="11" s="1"/>
  <c r="C45" i="11"/>
  <c r="D45" i="11" s="1"/>
  <c r="E45" i="11" s="1"/>
  <c r="F45" i="11" s="1"/>
  <c r="G45" i="11" s="1"/>
  <c r="H45" i="11" s="1"/>
  <c r="I45" i="11" s="1"/>
  <c r="J45" i="11" s="1"/>
  <c r="K45" i="11" s="1"/>
  <c r="L45" i="11" s="1"/>
  <c r="M45" i="11" s="1"/>
  <c r="C46" i="11"/>
  <c r="D46" i="11" s="1"/>
  <c r="E46" i="11" s="1"/>
  <c r="F46" i="11" s="1"/>
  <c r="G46" i="11" s="1"/>
  <c r="H46" i="11" s="1"/>
  <c r="I46" i="11" s="1"/>
  <c r="J46" i="11" s="1"/>
  <c r="K46" i="11" s="1"/>
  <c r="L46" i="11" s="1"/>
  <c r="M46" i="11" s="1"/>
  <c r="C47" i="11"/>
  <c r="D47" i="11" s="1"/>
  <c r="E47" i="11" s="1"/>
  <c r="F47" i="11" s="1"/>
  <c r="G47" i="11" s="1"/>
  <c r="H47" i="11" s="1"/>
  <c r="I47" i="11" s="1"/>
  <c r="J47" i="11" s="1"/>
  <c r="K47" i="11" s="1"/>
  <c r="L47" i="11" s="1"/>
  <c r="M47" i="11" s="1"/>
  <c r="C48" i="11"/>
  <c r="D48" i="11" s="1"/>
  <c r="E48" i="11" s="1"/>
  <c r="F48" i="11" s="1"/>
  <c r="G48" i="11" s="1"/>
  <c r="H48" i="11" s="1"/>
  <c r="I48" i="11" s="1"/>
  <c r="J48" i="11" s="1"/>
  <c r="K48" i="11" s="1"/>
  <c r="L48" i="11" s="1"/>
  <c r="M48" i="11" s="1"/>
  <c r="C49" i="11"/>
  <c r="D49" i="11" s="1"/>
  <c r="E49" i="11" s="1"/>
  <c r="F49" i="11" s="1"/>
  <c r="G49" i="11" s="1"/>
  <c r="H49" i="11" s="1"/>
  <c r="I49" i="11" s="1"/>
  <c r="J49" i="11" s="1"/>
  <c r="K49" i="11" s="1"/>
  <c r="L49" i="11" s="1"/>
  <c r="M49" i="11" s="1"/>
  <c r="C50" i="11"/>
  <c r="D50" i="11" s="1"/>
  <c r="E50" i="11" s="1"/>
  <c r="F50" i="11" s="1"/>
  <c r="G50" i="11" s="1"/>
  <c r="H50" i="11" s="1"/>
  <c r="I50" i="11" s="1"/>
  <c r="J50" i="11" s="1"/>
  <c r="K50" i="11" s="1"/>
  <c r="L50" i="11" s="1"/>
  <c r="M50" i="11" s="1"/>
  <c r="N49" i="11"/>
  <c r="N14" i="11"/>
  <c r="N13" i="11"/>
  <c r="N11" i="11"/>
  <c r="N10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4" i="11"/>
  <c r="B33" i="11"/>
  <c r="B32" i="11"/>
  <c r="B31" i="11"/>
  <c r="B30" i="11"/>
  <c r="B29" i="11"/>
  <c r="B28" i="11"/>
  <c r="B27" i="11"/>
  <c r="B26" i="11"/>
  <c r="B25" i="11"/>
  <c r="B24" i="11"/>
  <c r="C18" i="11"/>
  <c r="N12" i="11"/>
  <c r="C12" i="11"/>
  <c r="N9" i="11"/>
  <c r="N8" i="11"/>
  <c r="M18" i="17" l="1"/>
  <c r="N15" i="11"/>
  <c r="H14" i="9"/>
  <c r="H22" i="9" s="1"/>
  <c r="L14" i="9"/>
  <c r="L22" i="9" s="1"/>
  <c r="P14" i="9"/>
  <c r="F14" i="9"/>
  <c r="F22" i="9" s="1"/>
  <c r="J14" i="9"/>
  <c r="J22" i="9" s="1"/>
  <c r="N14" i="9"/>
  <c r="E14" i="9"/>
  <c r="I14" i="9"/>
  <c r="I22" i="9" s="1"/>
  <c r="M14" i="9"/>
  <c r="M22" i="9" s="1"/>
  <c r="Q14" i="9"/>
  <c r="Q22" i="9" s="1"/>
  <c r="E22" i="9"/>
  <c r="G14" i="9"/>
  <c r="G22" i="9" s="1"/>
  <c r="K14" i="9"/>
  <c r="K22" i="9" s="1"/>
  <c r="O14" i="9"/>
  <c r="O22" i="9" s="1"/>
  <c r="N50" i="11"/>
  <c r="N17" i="11" s="1"/>
  <c r="N16" i="11"/>
  <c r="C11" i="11"/>
  <c r="C15" i="11"/>
  <c r="B36" i="11"/>
  <c r="E11" i="11"/>
  <c r="E10" i="11"/>
  <c r="C14" i="11"/>
  <c r="C10" i="11"/>
  <c r="D8" i="11"/>
  <c r="D12" i="11"/>
  <c r="C16" i="11"/>
  <c r="D10" i="11"/>
  <c r="C9" i="11"/>
  <c r="C13" i="11"/>
  <c r="D15" i="11"/>
  <c r="C17" i="11"/>
  <c r="D11" i="11"/>
  <c r="N51" i="5"/>
  <c r="N50" i="5"/>
  <c r="N49" i="5"/>
  <c r="N48" i="5"/>
  <c r="N47" i="5"/>
  <c r="N46" i="5"/>
  <c r="N45" i="5"/>
  <c r="N44" i="5"/>
  <c r="N43" i="5"/>
  <c r="N42" i="5"/>
  <c r="N41" i="5"/>
  <c r="Q18" i="1"/>
  <c r="O18" i="1"/>
  <c r="Q18" i="6"/>
  <c r="B20" i="6"/>
  <c r="O18" i="6"/>
  <c r="M18" i="6"/>
  <c r="L18" i="6"/>
  <c r="K18" i="6"/>
  <c r="J18" i="6"/>
  <c r="I18" i="6"/>
  <c r="H18" i="6"/>
  <c r="G18" i="6"/>
  <c r="F18" i="6"/>
  <c r="E18" i="6"/>
  <c r="B17" i="6"/>
  <c r="B16" i="6"/>
  <c r="B18" i="17" l="1"/>
  <c r="N18" i="17"/>
  <c r="D14" i="9"/>
  <c r="F11" i="11"/>
  <c r="D16" i="11"/>
  <c r="E8" i="11"/>
  <c r="D9" i="11"/>
  <c r="D14" i="11"/>
  <c r="E15" i="11"/>
  <c r="E12" i="11"/>
  <c r="F10" i="11"/>
  <c r="D17" i="11"/>
  <c r="D13" i="11"/>
  <c r="C20" i="11"/>
  <c r="D18" i="6"/>
  <c r="G10" i="11" l="1"/>
  <c r="F12" i="11"/>
  <c r="E13" i="11"/>
  <c r="E9" i="11"/>
  <c r="E16" i="11"/>
  <c r="G11" i="11"/>
  <c r="E17" i="11"/>
  <c r="F15" i="11"/>
  <c r="E14" i="11"/>
  <c r="F8" i="11"/>
  <c r="B19" i="6"/>
  <c r="B10" i="6"/>
  <c r="B9" i="6"/>
  <c r="B8" i="6"/>
  <c r="B7" i="6"/>
  <c r="F17" i="11" l="1"/>
  <c r="G8" i="11"/>
  <c r="G15" i="11"/>
  <c r="H11" i="11"/>
  <c r="F16" i="11"/>
  <c r="F14" i="11"/>
  <c r="H10" i="11"/>
  <c r="F13" i="11"/>
  <c r="F9" i="11"/>
  <c r="G12" i="11"/>
  <c r="B18" i="6"/>
  <c r="B11" i="6"/>
  <c r="B14" i="6" s="1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0" i="5"/>
  <c r="D50" i="5" s="1"/>
  <c r="C49" i="5"/>
  <c r="C16" i="5" s="1"/>
  <c r="C48" i="5"/>
  <c r="C47" i="5"/>
  <c r="C14" i="5" s="1"/>
  <c r="C46" i="5"/>
  <c r="D46" i="5" s="1"/>
  <c r="C45" i="5"/>
  <c r="C12" i="5" s="1"/>
  <c r="C44" i="5"/>
  <c r="D44" i="5" s="1"/>
  <c r="C43" i="5"/>
  <c r="C42" i="5"/>
  <c r="D42" i="5" s="1"/>
  <c r="C41" i="5"/>
  <c r="C8" i="5" s="1"/>
  <c r="E51" i="5"/>
  <c r="F51" i="5" s="1"/>
  <c r="D51" i="5"/>
  <c r="D49" i="5"/>
  <c r="E49" i="5" s="1"/>
  <c r="D48" i="5"/>
  <c r="E48" i="5" s="1"/>
  <c r="D47" i="5"/>
  <c r="E47" i="5" s="1"/>
  <c r="D45" i="5"/>
  <c r="E45" i="5" s="1"/>
  <c r="D43" i="5"/>
  <c r="E43" i="5" s="1"/>
  <c r="D41" i="5"/>
  <c r="E41" i="5" s="1"/>
  <c r="B34" i="5"/>
  <c r="B33" i="5"/>
  <c r="B32" i="5"/>
  <c r="B31" i="5"/>
  <c r="B30" i="5"/>
  <c r="B29" i="5"/>
  <c r="B28" i="5"/>
  <c r="B27" i="5"/>
  <c r="B26" i="5"/>
  <c r="B25" i="5"/>
  <c r="N36" i="5"/>
  <c r="M36" i="5"/>
  <c r="L36" i="5"/>
  <c r="K36" i="5"/>
  <c r="J36" i="5"/>
  <c r="I36" i="5"/>
  <c r="H36" i="5"/>
  <c r="G36" i="5"/>
  <c r="F36" i="5"/>
  <c r="E36" i="5"/>
  <c r="D36" i="5"/>
  <c r="C36" i="5"/>
  <c r="N18" i="5"/>
  <c r="E18" i="5"/>
  <c r="D18" i="5"/>
  <c r="C18" i="5"/>
  <c r="N17" i="5"/>
  <c r="N16" i="5"/>
  <c r="D16" i="5"/>
  <c r="N15" i="5"/>
  <c r="C15" i="5"/>
  <c r="N14" i="5"/>
  <c r="D14" i="5"/>
  <c r="N13" i="5"/>
  <c r="N12" i="5"/>
  <c r="D12" i="5"/>
  <c r="N11" i="5"/>
  <c r="C11" i="5"/>
  <c r="N10" i="5"/>
  <c r="C10" i="5"/>
  <c r="N9" i="5"/>
  <c r="N8" i="5"/>
  <c r="D8" i="5"/>
  <c r="M18" i="1"/>
  <c r="L18" i="1"/>
  <c r="K18" i="1"/>
  <c r="J18" i="1"/>
  <c r="I18" i="1"/>
  <c r="H18" i="1"/>
  <c r="G18" i="1"/>
  <c r="F18" i="1"/>
  <c r="E18" i="1"/>
  <c r="B19" i="1"/>
  <c r="B17" i="1"/>
  <c r="B16" i="1"/>
  <c r="K32" i="4"/>
  <c r="F32" i="4"/>
  <c r="D32" i="4"/>
  <c r="K27" i="4"/>
  <c r="H27" i="4"/>
  <c r="G27" i="4"/>
  <c r="F27" i="4"/>
  <c r="E27" i="4"/>
  <c r="D27" i="4"/>
  <c r="L25" i="4"/>
  <c r="J25" i="4"/>
  <c r="H25" i="4"/>
  <c r="J23" i="4"/>
  <c r="L23" i="4" s="1"/>
  <c r="H23" i="4"/>
  <c r="L21" i="4"/>
  <c r="L18" i="4" s="1"/>
  <c r="J21" i="4"/>
  <c r="H21" i="4"/>
  <c r="L20" i="4"/>
  <c r="J20" i="4"/>
  <c r="H20" i="4"/>
  <c r="H18" i="4"/>
  <c r="L17" i="4"/>
  <c r="J17" i="4"/>
  <c r="H17" i="4"/>
  <c r="L14" i="4"/>
  <c r="J14" i="4"/>
  <c r="H14" i="4"/>
  <c r="L13" i="4"/>
  <c r="J13" i="4"/>
  <c r="H13" i="4"/>
  <c r="L12" i="4"/>
  <c r="J12" i="4"/>
  <c r="H12" i="4"/>
  <c r="L11" i="4"/>
  <c r="J11" i="4"/>
  <c r="H11" i="4"/>
  <c r="L10" i="4"/>
  <c r="J10" i="4"/>
  <c r="H10" i="4"/>
  <c r="L9" i="4"/>
  <c r="J9" i="4"/>
  <c r="H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L8" i="4"/>
  <c r="J8" i="4"/>
  <c r="H8" i="4"/>
  <c r="A8" i="4"/>
  <c r="L7" i="4"/>
  <c r="J7" i="4"/>
  <c r="H7" i="4"/>
  <c r="B10" i="1"/>
  <c r="B9" i="1"/>
  <c r="B8" i="1"/>
  <c r="B7" i="1"/>
  <c r="H76" i="3"/>
  <c r="E73" i="3"/>
  <c r="H73" i="3" s="1"/>
  <c r="D73" i="3"/>
  <c r="H72" i="3"/>
  <c r="E72" i="3"/>
  <c r="H71" i="3"/>
  <c r="E71" i="3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E63" i="3"/>
  <c r="E60" i="3"/>
  <c r="D60" i="3"/>
  <c r="H59" i="3"/>
  <c r="E59" i="3"/>
  <c r="H58" i="3"/>
  <c r="E58" i="3"/>
  <c r="H57" i="3"/>
  <c r="E57" i="3"/>
  <c r="H56" i="3"/>
  <c r="E56" i="3"/>
  <c r="H55" i="3"/>
  <c r="E55" i="3"/>
  <c r="H54" i="3"/>
  <c r="E54" i="3"/>
  <c r="H53" i="3"/>
  <c r="H60" i="3" s="1"/>
  <c r="E53" i="3"/>
  <c r="E46" i="3"/>
  <c r="D46" i="3"/>
  <c r="L38" i="3"/>
  <c r="M38" i="3" s="1"/>
  <c r="K38" i="3"/>
  <c r="D35" i="3"/>
  <c r="D37" i="3" s="1"/>
  <c r="M34" i="3"/>
  <c r="L34" i="3"/>
  <c r="K34" i="3"/>
  <c r="E34" i="3"/>
  <c r="M33" i="3"/>
  <c r="L33" i="3"/>
  <c r="K33" i="3"/>
  <c r="H33" i="3"/>
  <c r="E33" i="3"/>
  <c r="M32" i="3"/>
  <c r="L32" i="3"/>
  <c r="K32" i="3"/>
  <c r="H32" i="3"/>
  <c r="E32" i="3"/>
  <c r="M31" i="3"/>
  <c r="L31" i="3"/>
  <c r="K31" i="3"/>
  <c r="E31" i="3"/>
  <c r="M30" i="3"/>
  <c r="L30" i="3"/>
  <c r="K30" i="3"/>
  <c r="H30" i="3"/>
  <c r="E30" i="3"/>
  <c r="M29" i="3"/>
  <c r="L29" i="3"/>
  <c r="K29" i="3"/>
  <c r="H29" i="3"/>
  <c r="E29" i="3"/>
  <c r="M28" i="3"/>
  <c r="L28" i="3"/>
  <c r="K28" i="3"/>
  <c r="H28" i="3"/>
  <c r="E28" i="3"/>
  <c r="M27" i="3"/>
  <c r="L27" i="3"/>
  <c r="K27" i="3"/>
  <c r="E27" i="3"/>
  <c r="M26" i="3"/>
  <c r="L26" i="3"/>
  <c r="K26" i="3"/>
  <c r="E26" i="3"/>
  <c r="M25" i="3"/>
  <c r="L25" i="3"/>
  <c r="K25" i="3"/>
  <c r="H25" i="3"/>
  <c r="E25" i="3"/>
  <c r="M24" i="3"/>
  <c r="L24" i="3"/>
  <c r="K24" i="3"/>
  <c r="E24" i="3"/>
  <c r="M23" i="3"/>
  <c r="L23" i="3"/>
  <c r="K23" i="3"/>
  <c r="E23" i="3"/>
  <c r="M22" i="3"/>
  <c r="L22" i="3"/>
  <c r="K22" i="3"/>
  <c r="E22" i="3"/>
  <c r="M21" i="3"/>
  <c r="L21" i="3"/>
  <c r="K21" i="3"/>
  <c r="H21" i="3"/>
  <c r="E21" i="3"/>
  <c r="M20" i="3"/>
  <c r="L20" i="3"/>
  <c r="K20" i="3"/>
  <c r="H20" i="3"/>
  <c r="E20" i="3"/>
  <c r="M19" i="3"/>
  <c r="L19" i="3"/>
  <c r="K19" i="3"/>
  <c r="H19" i="3"/>
  <c r="E19" i="3"/>
  <c r="M18" i="3"/>
  <c r="L18" i="3"/>
  <c r="K18" i="3"/>
  <c r="H18" i="3"/>
  <c r="I30" i="3" s="1"/>
  <c r="E18" i="3"/>
  <c r="M17" i="3"/>
  <c r="L17" i="3"/>
  <c r="K17" i="3"/>
  <c r="H17" i="3"/>
  <c r="E17" i="3"/>
  <c r="M16" i="3"/>
  <c r="L16" i="3"/>
  <c r="K16" i="3"/>
  <c r="E16" i="3"/>
  <c r="M15" i="3"/>
  <c r="L15" i="3"/>
  <c r="K15" i="3"/>
  <c r="E15" i="3"/>
  <c r="M14" i="3"/>
  <c r="K14" i="3"/>
  <c r="E14" i="3"/>
  <c r="D44" i="3" s="1"/>
  <c r="D14" i="3"/>
  <c r="C14" i="3"/>
  <c r="M13" i="3"/>
  <c r="L13" i="3"/>
  <c r="K13" i="3"/>
  <c r="H13" i="3"/>
  <c r="E13" i="3"/>
  <c r="D13" i="3"/>
  <c r="C13" i="3"/>
  <c r="M12" i="3"/>
  <c r="M35" i="3" s="1"/>
  <c r="L12" i="3"/>
  <c r="K12" i="3"/>
  <c r="K35" i="3" s="1"/>
  <c r="E12" i="3"/>
  <c r="D12" i="3"/>
  <c r="C12" i="3"/>
  <c r="C8" i="3"/>
  <c r="D7" i="3"/>
  <c r="Q5" i="1"/>
  <c r="P5" i="1"/>
  <c r="O5" i="1"/>
  <c r="N5" i="1"/>
  <c r="M5" i="1"/>
  <c r="L5" i="1"/>
  <c r="K5" i="1"/>
  <c r="J5" i="1"/>
  <c r="I5" i="1"/>
  <c r="H5" i="1"/>
  <c r="G5" i="1"/>
  <c r="F5" i="1"/>
  <c r="E5" i="1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D62" i="2"/>
  <c r="Q60" i="2"/>
  <c r="Q66" i="2" s="1"/>
  <c r="P60" i="2"/>
  <c r="P66" i="2" s="1"/>
  <c r="O60" i="2"/>
  <c r="O66" i="2" s="1"/>
  <c r="N60" i="2"/>
  <c r="N66" i="2" s="1"/>
  <c r="M60" i="2"/>
  <c r="M66" i="2" s="1"/>
  <c r="L60" i="2"/>
  <c r="L66" i="2" s="1"/>
  <c r="K60" i="2"/>
  <c r="K66" i="2" s="1"/>
  <c r="J60" i="2"/>
  <c r="J66" i="2" s="1"/>
  <c r="I60" i="2"/>
  <c r="I66" i="2" s="1"/>
  <c r="H60" i="2"/>
  <c r="H66" i="2" s="1"/>
  <c r="G60" i="2"/>
  <c r="G66" i="2" s="1"/>
  <c r="F60" i="2"/>
  <c r="F66" i="2" s="1"/>
  <c r="D68" i="2" s="1"/>
  <c r="E60" i="2"/>
  <c r="E66" i="2" s="1"/>
  <c r="D60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S50" i="2"/>
  <c r="Q35" i="2"/>
  <c r="O35" i="2"/>
  <c r="N35" i="2"/>
  <c r="M35" i="2"/>
  <c r="L35" i="2"/>
  <c r="K35" i="2"/>
  <c r="J35" i="2"/>
  <c r="I35" i="2"/>
  <c r="H35" i="2"/>
  <c r="G35" i="2"/>
  <c r="F35" i="2"/>
  <c r="E35" i="2"/>
  <c r="D35" i="2"/>
  <c r="S10" i="2"/>
  <c r="B18" i="1"/>
  <c r="B20" i="1" s="1"/>
  <c r="B11" i="1"/>
  <c r="B14" i="1" s="1"/>
  <c r="O14" i="1" s="1"/>
  <c r="O22" i="1" s="1"/>
  <c r="H8" i="11" l="1"/>
  <c r="G9" i="11"/>
  <c r="G17" i="11"/>
  <c r="I10" i="11"/>
  <c r="I11" i="11"/>
  <c r="H15" i="11"/>
  <c r="H12" i="11"/>
  <c r="G13" i="11"/>
  <c r="G14" i="11"/>
  <c r="G16" i="11"/>
  <c r="N20" i="5"/>
  <c r="Q14" i="6"/>
  <c r="Q22" i="6" s="1"/>
  <c r="O14" i="6"/>
  <c r="O22" i="6" s="1"/>
  <c r="M14" i="6"/>
  <c r="M22" i="6" s="1"/>
  <c r="K14" i="6"/>
  <c r="K22" i="6" s="1"/>
  <c r="I14" i="6"/>
  <c r="I22" i="6" s="1"/>
  <c r="G14" i="6"/>
  <c r="G22" i="6" s="1"/>
  <c r="E14" i="6"/>
  <c r="P14" i="6"/>
  <c r="N14" i="6"/>
  <c r="L14" i="6"/>
  <c r="L22" i="6" s="1"/>
  <c r="J14" i="6"/>
  <c r="J22" i="6" s="1"/>
  <c r="H14" i="6"/>
  <c r="H22" i="6" s="1"/>
  <c r="F14" i="6"/>
  <c r="F22" i="6" s="1"/>
  <c r="E50" i="5"/>
  <c r="D17" i="5"/>
  <c r="C17" i="5"/>
  <c r="F49" i="5"/>
  <c r="E16" i="5"/>
  <c r="F48" i="5"/>
  <c r="E15" i="5"/>
  <c r="D15" i="5"/>
  <c r="F47" i="5"/>
  <c r="E14" i="5"/>
  <c r="E46" i="5"/>
  <c r="D13" i="5"/>
  <c r="C13" i="5"/>
  <c r="F45" i="5"/>
  <c r="E12" i="5"/>
  <c r="E44" i="5"/>
  <c r="D11" i="5"/>
  <c r="F43" i="5"/>
  <c r="E10" i="5"/>
  <c r="D10" i="5"/>
  <c r="E42" i="5"/>
  <c r="D9" i="5"/>
  <c r="D20" i="5"/>
  <c r="C9" i="5"/>
  <c r="C20" i="5"/>
  <c r="F41" i="5"/>
  <c r="E8" i="5"/>
  <c r="G47" i="5"/>
  <c r="F14" i="5"/>
  <c r="G48" i="5"/>
  <c r="F15" i="5"/>
  <c r="G49" i="5"/>
  <c r="F16" i="5"/>
  <c r="G51" i="5"/>
  <c r="F18" i="5"/>
  <c r="B24" i="5"/>
  <c r="B36" i="5" s="1"/>
  <c r="D18" i="1"/>
  <c r="J27" i="4"/>
  <c r="L27" i="4" s="1"/>
  <c r="N14" i="1"/>
  <c r="F14" i="1"/>
  <c r="F22" i="1" s="1"/>
  <c r="I14" i="1"/>
  <c r="I22" i="1" s="1"/>
  <c r="M14" i="1"/>
  <c r="M22" i="1" s="1"/>
  <c r="P14" i="1"/>
  <c r="G14" i="1"/>
  <c r="G22" i="1" s="1"/>
  <c r="K14" i="1"/>
  <c r="K22" i="1" s="1"/>
  <c r="Q14" i="1"/>
  <c r="Q22" i="1" s="1"/>
  <c r="E14" i="1"/>
  <c r="D14" i="1" s="1"/>
  <c r="H14" i="1"/>
  <c r="H22" i="1" s="1"/>
  <c r="J14" i="1"/>
  <c r="J22" i="1" s="1"/>
  <c r="L14" i="1"/>
  <c r="L22" i="1" s="1"/>
  <c r="K39" i="3"/>
  <c r="K40" i="3" s="1"/>
  <c r="K36" i="3"/>
  <c r="M39" i="3"/>
  <c r="M40" i="3" s="1"/>
  <c r="M36" i="3"/>
  <c r="M37" i="3" s="1"/>
  <c r="E44" i="3"/>
  <c r="H75" i="3"/>
  <c r="L14" i="3"/>
  <c r="L35" i="3" s="1"/>
  <c r="H14" i="3"/>
  <c r="H35" i="3" s="1"/>
  <c r="I35" i="3" s="1"/>
  <c r="E35" i="3"/>
  <c r="D5" i="1"/>
  <c r="D67" i="2"/>
  <c r="D66" i="2"/>
  <c r="E22" i="1"/>
  <c r="H14" i="11" l="1"/>
  <c r="I12" i="11"/>
  <c r="I8" i="11"/>
  <c r="H16" i="11"/>
  <c r="H13" i="11"/>
  <c r="I15" i="11"/>
  <c r="J10" i="11"/>
  <c r="J11" i="11"/>
  <c r="H17" i="11"/>
  <c r="H9" i="11"/>
  <c r="E22" i="6"/>
  <c r="D14" i="6"/>
  <c r="F50" i="5"/>
  <c r="E17" i="5"/>
  <c r="F46" i="5"/>
  <c r="E13" i="5"/>
  <c r="G45" i="5"/>
  <c r="F12" i="5"/>
  <c r="F44" i="5"/>
  <c r="E11" i="5"/>
  <c r="G43" i="5"/>
  <c r="F10" i="5"/>
  <c r="F42" i="5"/>
  <c r="E9" i="5"/>
  <c r="E20" i="5" s="1"/>
  <c r="G41" i="5"/>
  <c r="F8" i="5"/>
  <c r="G18" i="5"/>
  <c r="H51" i="5"/>
  <c r="G16" i="5"/>
  <c r="H49" i="5"/>
  <c r="H48" i="5"/>
  <c r="G15" i="5"/>
  <c r="G14" i="5"/>
  <c r="H47" i="5"/>
  <c r="L39" i="3"/>
  <c r="L40" i="3" s="1"/>
  <c r="L41" i="3" s="1"/>
  <c r="L36" i="3"/>
  <c r="I77" i="3"/>
  <c r="I76" i="3"/>
  <c r="D45" i="3"/>
  <c r="E43" i="3"/>
  <c r="D43" i="3"/>
  <c r="K37" i="3" s="1"/>
  <c r="I14" i="3"/>
  <c r="M41" i="3"/>
  <c r="J40" i="3"/>
  <c r="K41" i="3"/>
  <c r="I17" i="11" l="1"/>
  <c r="I16" i="11"/>
  <c r="I14" i="11"/>
  <c r="K11" i="11"/>
  <c r="K10" i="11"/>
  <c r="I9" i="11"/>
  <c r="I13" i="11"/>
  <c r="J8" i="11"/>
  <c r="J12" i="11"/>
  <c r="J15" i="11"/>
  <c r="G50" i="5"/>
  <c r="F17" i="5"/>
  <c r="G46" i="5"/>
  <c r="F13" i="5"/>
  <c r="H45" i="5"/>
  <c r="G12" i="5"/>
  <c r="G44" i="5"/>
  <c r="F11" i="5"/>
  <c r="H43" i="5"/>
  <c r="G10" i="5"/>
  <c r="G42" i="5"/>
  <c r="F9" i="5"/>
  <c r="F20" i="5" s="1"/>
  <c r="H41" i="5"/>
  <c r="G8" i="5"/>
  <c r="I47" i="5"/>
  <c r="H14" i="5"/>
  <c r="I49" i="5"/>
  <c r="H16" i="5"/>
  <c r="I51" i="5"/>
  <c r="H18" i="5"/>
  <c r="I48" i="5"/>
  <c r="H15" i="5"/>
  <c r="J36" i="3"/>
  <c r="L37" i="3"/>
  <c r="E45" i="3"/>
  <c r="C44" i="3"/>
  <c r="K8" i="11" l="1"/>
  <c r="J9" i="11"/>
  <c r="M10" i="11"/>
  <c r="L10" i="11"/>
  <c r="J14" i="11"/>
  <c r="J17" i="11"/>
  <c r="K15" i="11"/>
  <c r="J13" i="11"/>
  <c r="M11" i="11"/>
  <c r="L11" i="11"/>
  <c r="J16" i="11"/>
  <c r="K12" i="11"/>
  <c r="H50" i="5"/>
  <c r="G17" i="5"/>
  <c r="H46" i="5"/>
  <c r="G13" i="5"/>
  <c r="I45" i="5"/>
  <c r="H12" i="5"/>
  <c r="H44" i="5"/>
  <c r="G11" i="5"/>
  <c r="G20" i="5" s="1"/>
  <c r="I43" i="5"/>
  <c r="H10" i="5"/>
  <c r="H42" i="5"/>
  <c r="G9" i="5"/>
  <c r="I41" i="5"/>
  <c r="H8" i="5"/>
  <c r="J48" i="5"/>
  <c r="I15" i="5"/>
  <c r="I18" i="5"/>
  <c r="J51" i="5"/>
  <c r="I16" i="5"/>
  <c r="J49" i="5"/>
  <c r="I14" i="5"/>
  <c r="J47" i="5"/>
  <c r="K17" i="11" l="1"/>
  <c r="B10" i="11"/>
  <c r="M8" i="11"/>
  <c r="L8" i="11"/>
  <c r="M12" i="11"/>
  <c r="L12" i="11"/>
  <c r="B11" i="11"/>
  <c r="M15" i="11"/>
  <c r="L15" i="11"/>
  <c r="K14" i="11"/>
  <c r="K16" i="11"/>
  <c r="K13" i="11"/>
  <c r="K9" i="11"/>
  <c r="H17" i="5"/>
  <c r="I50" i="5"/>
  <c r="I46" i="5"/>
  <c r="H13" i="5"/>
  <c r="J45" i="5"/>
  <c r="I12" i="5"/>
  <c r="I44" i="5"/>
  <c r="H11" i="5"/>
  <c r="J43" i="5"/>
  <c r="I10" i="5"/>
  <c r="I42" i="5"/>
  <c r="H9" i="5"/>
  <c r="J41" i="5"/>
  <c r="I8" i="5"/>
  <c r="K48" i="5"/>
  <c r="J15" i="5"/>
  <c r="K47" i="5"/>
  <c r="J14" i="5"/>
  <c r="K49" i="5"/>
  <c r="J16" i="5"/>
  <c r="K51" i="5"/>
  <c r="J18" i="5"/>
  <c r="M13" i="11" l="1"/>
  <c r="L13" i="11"/>
  <c r="B8" i="11"/>
  <c r="M14" i="11"/>
  <c r="L14" i="11"/>
  <c r="M9" i="11"/>
  <c r="L9" i="11"/>
  <c r="M16" i="11"/>
  <c r="L16" i="11"/>
  <c r="B12" i="11"/>
  <c r="B15" i="11"/>
  <c r="M17" i="11"/>
  <c r="L17" i="11"/>
  <c r="H20" i="5"/>
  <c r="I17" i="5"/>
  <c r="J50" i="5"/>
  <c r="J46" i="5"/>
  <c r="I13" i="5"/>
  <c r="K45" i="5"/>
  <c r="J12" i="5"/>
  <c r="J44" i="5"/>
  <c r="I11" i="5"/>
  <c r="K43" i="5"/>
  <c r="J10" i="5"/>
  <c r="J42" i="5"/>
  <c r="I9" i="5"/>
  <c r="I20" i="5" s="1"/>
  <c r="K41" i="5"/>
  <c r="J8" i="5"/>
  <c r="K18" i="5"/>
  <c r="L51" i="5"/>
  <c r="K16" i="5"/>
  <c r="L49" i="5"/>
  <c r="K14" i="5"/>
  <c r="L47" i="5"/>
  <c r="L48" i="5"/>
  <c r="K15" i="5"/>
  <c r="B9" i="11" l="1"/>
  <c r="B13" i="11"/>
  <c r="B17" i="11"/>
  <c r="B16" i="11"/>
  <c r="B14" i="11"/>
  <c r="J17" i="5"/>
  <c r="K50" i="5"/>
  <c r="K46" i="5"/>
  <c r="J13" i="5"/>
  <c r="L45" i="5"/>
  <c r="K12" i="5"/>
  <c r="K44" i="5"/>
  <c r="J11" i="5"/>
  <c r="L43" i="5"/>
  <c r="K10" i="5"/>
  <c r="K42" i="5"/>
  <c r="J9" i="5"/>
  <c r="L41" i="5"/>
  <c r="K8" i="5"/>
  <c r="M47" i="5"/>
  <c r="M14" i="5" s="1"/>
  <c r="L14" i="5"/>
  <c r="M49" i="5"/>
  <c r="M16" i="5" s="1"/>
  <c r="L16" i="5"/>
  <c r="M51" i="5"/>
  <c r="M18" i="5" s="1"/>
  <c r="L18" i="5"/>
  <c r="M48" i="5"/>
  <c r="M15" i="5" s="1"/>
  <c r="L15" i="5"/>
  <c r="J20" i="5" l="1"/>
  <c r="L50" i="5"/>
  <c r="K17" i="5"/>
  <c r="K13" i="5"/>
  <c r="L46" i="5"/>
  <c r="M45" i="5"/>
  <c r="M12" i="5" s="1"/>
  <c r="B12" i="5" s="1"/>
  <c r="L12" i="5"/>
  <c r="L44" i="5"/>
  <c r="K11" i="5"/>
  <c r="M43" i="5"/>
  <c r="M10" i="5" s="1"/>
  <c r="B10" i="5" s="1"/>
  <c r="L10" i="5"/>
  <c r="L42" i="5"/>
  <c r="K9" i="5"/>
  <c r="M41" i="5"/>
  <c r="M8" i="5" s="1"/>
  <c r="B8" i="5" s="1"/>
  <c r="L8" i="5"/>
  <c r="B15" i="5"/>
  <c r="B18" i="5"/>
  <c r="B16" i="5"/>
  <c r="B14" i="5"/>
  <c r="L17" i="5" l="1"/>
  <c r="B17" i="5" s="1"/>
  <c r="M50" i="5"/>
  <c r="M17" i="5" s="1"/>
  <c r="K20" i="5"/>
  <c r="L13" i="5"/>
  <c r="M46" i="5"/>
  <c r="M13" i="5" s="1"/>
  <c r="B13" i="5" s="1"/>
  <c r="B20" i="5" s="1"/>
  <c r="M44" i="5"/>
  <c r="M11" i="5" s="1"/>
  <c r="B11" i="5" s="1"/>
  <c r="L11" i="5"/>
  <c r="M42" i="5"/>
  <c r="M9" i="5" s="1"/>
  <c r="B9" i="5" s="1"/>
  <c r="L9" i="5"/>
  <c r="L20" i="5" s="1"/>
  <c r="M20" i="5" l="1"/>
  <c r="L18" i="11" l="1"/>
  <c r="L20" i="11" s="1"/>
  <c r="D18" i="11"/>
  <c r="D20" i="11" s="1"/>
  <c r="F18" i="11"/>
  <c r="F20" i="11" s="1"/>
  <c r="H18" i="11"/>
  <c r="H20" i="11" s="1"/>
  <c r="J18" i="11"/>
  <c r="J20" i="11" s="1"/>
  <c r="E18" i="11"/>
  <c r="E20" i="11" s="1"/>
  <c r="G18" i="11"/>
  <c r="G20" i="11" s="1"/>
  <c r="I18" i="11"/>
  <c r="I20" i="11" s="1"/>
  <c r="K18" i="11"/>
  <c r="K20" i="11" s="1"/>
  <c r="N18" i="11"/>
  <c r="N20" i="11" s="1"/>
  <c r="M18" i="11"/>
  <c r="M20" i="11" s="1"/>
  <c r="B18" i="11" l="1"/>
  <c r="B20" i="11" s="1"/>
</calcChain>
</file>

<file path=xl/sharedStrings.xml><?xml version="1.0" encoding="utf-8"?>
<sst xmlns="http://schemas.openxmlformats.org/spreadsheetml/2006/main" count="1364" uniqueCount="504">
  <si>
    <t>Allocate on GRC PCA</t>
  </si>
  <si>
    <t>Total</t>
  </si>
  <si>
    <t>Residential</t>
  </si>
  <si>
    <t>Secondary Voltage Schedule 24</t>
  </si>
  <si>
    <t>Secondary Voltage Schedules 25 &amp; 29</t>
  </si>
  <si>
    <t>Secondary Voltage Schedule 26</t>
  </si>
  <si>
    <t>Primary Voltage Schedule 31</t>
  </si>
  <si>
    <t>Primary Voltage Schedule 35</t>
  </si>
  <si>
    <t>Primary Voltage Schedule 43</t>
  </si>
  <si>
    <t>Campus Schedule 40</t>
  </si>
  <si>
    <t>High Voltage Schedules
46 &amp; 49</t>
  </si>
  <si>
    <t>Retail Wheeling Schedules
449 &amp; 459</t>
  </si>
  <si>
    <t>Lighting Schedules
50-59</t>
  </si>
  <si>
    <t>Special Contract</t>
  </si>
  <si>
    <t>Firm Resale</t>
  </si>
  <si>
    <t>2011 GRC Peak Credit</t>
  </si>
  <si>
    <t>Baseline Rate</t>
  </si>
  <si>
    <t>Sales to Other Utilities</t>
  </si>
  <si>
    <t>Transmission Income</t>
  </si>
  <si>
    <t>Purch/Sales of Non-Core Gas</t>
  </si>
  <si>
    <t>Total PCA Revenues</t>
  </si>
  <si>
    <t>Less Property Taxes in above</t>
  </si>
  <si>
    <t>Total used for ERF</t>
  </si>
  <si>
    <t>kWh YE Sept 2012</t>
  </si>
  <si>
    <t>Retail wheeling YE Sept 2012</t>
  </si>
  <si>
    <t>Net kWh YE Sept 2012</t>
  </si>
  <si>
    <t>Exh A-1 YE Sept 2012</t>
  </si>
  <si>
    <t>Check</t>
  </si>
  <si>
    <t>$ / kWh - PCA</t>
  </si>
  <si>
    <t>Line No.</t>
  </si>
  <si>
    <t>Calculation</t>
  </si>
  <si>
    <t>Description</t>
  </si>
  <si>
    <t>Total PCA Costs for Decoupling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</si>
  <si>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</si>
  <si>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</si>
  <si>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</si>
  <si>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</si>
  <si>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</si>
  <si>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</si>
  <si>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</si>
  <si>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</si>
  <si>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</si>
  <si>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</si>
  <si>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</si>
  <si>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</si>
  <si>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</si>
  <si>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</si>
  <si>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2011 GRC</t>
  </si>
  <si>
    <t>Peak Credit Allocation Factors</t>
  </si>
  <si>
    <t>ENERGY-2</t>
  </si>
  <si>
    <t>DEM-2B</t>
  </si>
  <si>
    <t>PC-3 [19% Demand &amp; 81% Energy]</t>
  </si>
  <si>
    <t>PCA Costs [JHS-13.01 Exh A-1 excluding property taxes]</t>
  </si>
  <si>
    <t xml:space="preserve"> = 4*6</t>
  </si>
  <si>
    <t>Allocate PCA Costs on PC-3</t>
  </si>
  <si>
    <t>PCA Prop Tax</t>
  </si>
  <si>
    <t xml:space="preserve"> = 18*9</t>
  </si>
  <si>
    <t>Allocate PCA Prop Tax on Property Tax from 2011 GRC</t>
  </si>
  <si>
    <t>Other Operating Revenue from 2011 Compliance</t>
  </si>
  <si>
    <t>Other Operating Revenue from 2011 GRC Compliance %</t>
  </si>
  <si>
    <t>Other Operating Revenue from Rev Req</t>
  </si>
  <si>
    <t xml:space="preserve"> = 13 * 14</t>
  </si>
  <si>
    <t>Allocate 2011 Other Operating Revenue</t>
  </si>
  <si>
    <t>Property Tax from 2011 GRC Compliance [includes PCA P/Ts]</t>
  </si>
  <si>
    <t>Property Tax from 2011 GRC Compliance %</t>
  </si>
  <si>
    <t>Property Tax from Rev Req</t>
  </si>
  <si>
    <t xml:space="preserve"> = 18 * 19</t>
  </si>
  <si>
    <t>Allocate 2011 ERF Property Tax</t>
  </si>
  <si>
    <t xml:space="preserve"> = 7+10+15+20</t>
  </si>
  <si>
    <t>Subtotal  Non-ERF Costs</t>
  </si>
  <si>
    <t>Total Cost of Service</t>
  </si>
  <si>
    <t xml:space="preserve"> = 23-22</t>
  </si>
  <si>
    <t>2011 GRC Non PCA &amp; Property Tax Revenue Requirement</t>
  </si>
  <si>
    <t>% to Total</t>
  </si>
  <si>
    <t xml:space="preserve">ERF Revenue Requirement </t>
  </si>
  <si>
    <t xml:space="preserve"> = 25 * 26</t>
  </si>
  <si>
    <t>Allocate ERF Revenue Requirement to Class</t>
  </si>
  <si>
    <t xml:space="preserve"> = 24- 27</t>
  </si>
  <si>
    <t>2011 GRC Non-ERF,  Non-PCA &amp; Property Tax Rev Req</t>
  </si>
  <si>
    <t>kWh Sales - 2011 GRC (YE2010)</t>
  </si>
  <si>
    <t xml:space="preserve"> = 7 / 31</t>
  </si>
  <si>
    <t>2011 GRC Unit Cost - PCA</t>
  </si>
  <si>
    <t xml:space="preserve"> = 10 / 31</t>
  </si>
  <si>
    <t>2011 GRC Unit Cost - Property Tax - PCA</t>
  </si>
  <si>
    <t xml:space="preserve"> = 20 / 31</t>
  </si>
  <si>
    <t>2011 GRC Unit Cost - Property Tax  - Other</t>
  </si>
  <si>
    <t xml:space="preserve"> = 15 / 31</t>
  </si>
  <si>
    <t>2011 GRC Unit Cost - Other Operating Revenue</t>
  </si>
  <si>
    <t xml:space="preserve"> = 27 / 31</t>
  </si>
  <si>
    <t>2011 GRC Unit Cost - ERF</t>
  </si>
  <si>
    <t xml:space="preserve"> = 29 / 31</t>
  </si>
  <si>
    <t>2011 GRC Unit Cost - Non ERF, Non PCA, Non Prop Tax</t>
  </si>
  <si>
    <t>2012 CBR</t>
  </si>
  <si>
    <t>June 2012 Billed Sales</t>
  </si>
  <si>
    <t>Sch 40 Adjustment</t>
  </si>
  <si>
    <t>Change in Unbilled Sales</t>
  </si>
  <si>
    <t>Weather Normalization</t>
  </si>
  <si>
    <t>Delivered 6-2012 kWh Sales</t>
  </si>
  <si>
    <t>Remove Transportation</t>
  </si>
  <si>
    <t xml:space="preserve"> = 43</t>
  </si>
  <si>
    <t>June 2012 kWh Sales</t>
  </si>
  <si>
    <t xml:space="preserve"> = 32 * 46</t>
  </si>
  <si>
    <t>June 2012 CBR Cost - PCA</t>
  </si>
  <si>
    <t xml:space="preserve"> = 33 * 46</t>
  </si>
  <si>
    <t>June 2012 CBR Cost - Property Tax - PCA</t>
  </si>
  <si>
    <t xml:space="preserve"> = 34 * 46</t>
  </si>
  <si>
    <t>June 2012 CBR Cost - Property Tax - Other</t>
  </si>
  <si>
    <t xml:space="preserve"> = 35 * 46</t>
  </si>
  <si>
    <t>June 2012 CBR Cost - Other Operating Revenue</t>
  </si>
  <si>
    <t xml:space="preserve"> = 36 * 46</t>
  </si>
  <si>
    <t>June 2012 CBR Cost - ERF</t>
  </si>
  <si>
    <t xml:space="preserve"> = 37 * 46</t>
  </si>
  <si>
    <t>June 2012 CBR Cost - Non ERF, Non PCA, Non Property Tax</t>
  </si>
  <si>
    <t>PCA Costs</t>
  </si>
  <si>
    <t>PCA Property Tax</t>
  </si>
  <si>
    <t>Subtotal</t>
  </si>
  <si>
    <t>Less:  Non Firm Revenue</t>
  </si>
  <si>
    <t>Less:  Other Op Rev - PCA Related</t>
  </si>
  <si>
    <t>Allocate Other Op Rev - PCA Related</t>
  </si>
  <si>
    <t>Exhibit A-1 Power Costs</t>
  </si>
  <si>
    <t>Residential Related</t>
  </si>
  <si>
    <t>Non-Res Related</t>
  </si>
  <si>
    <t>Exhibit A-1 Power Cost Baseline Rate</t>
  </si>
  <si>
    <t xml:space="preserve"> </t>
  </si>
  <si>
    <t>Row</t>
  </si>
  <si>
    <t xml:space="preserve">Test Year </t>
  </si>
  <si>
    <t>Regulatory Assets (1) (Variable)</t>
  </si>
  <si>
    <t>Transmission Rate Base (Fixed)</t>
  </si>
  <si>
    <t>Production Rate Base (Fixed)</t>
  </si>
  <si>
    <t>REVISED</t>
  </si>
  <si>
    <t>Production</t>
  </si>
  <si>
    <t>Net of tax rate of return</t>
  </si>
  <si>
    <t>Factor</t>
  </si>
  <si>
    <t>Test Yr</t>
  </si>
  <si>
    <t>Proof</t>
  </si>
  <si>
    <t>$/MWh</t>
  </si>
  <si>
    <t>Rate Year</t>
  </si>
  <si>
    <t>Monthly</t>
  </si>
  <si>
    <t>Total  =</t>
  </si>
  <si>
    <t>Fixed      +</t>
  </si>
  <si>
    <t>Var</t>
  </si>
  <si>
    <t>9A</t>
  </si>
  <si>
    <t>(I)</t>
  </si>
  <si>
    <t>(II)</t>
  </si>
  <si>
    <t>(III)</t>
  </si>
  <si>
    <t>Regulatory Asset Recovery (on Row 3)</t>
  </si>
  <si>
    <t>(c)</t>
  </si>
  <si>
    <t>Fixed Asset Recovery Other (on Row 4)</t>
  </si>
  <si>
    <t>(a)</t>
  </si>
  <si>
    <t>Fixed Asset Recovery-Prod Factored (on Row 5)</t>
  </si>
  <si>
    <t>501-Steam Fuel</t>
  </si>
  <si>
    <t>555-Purchased power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</si>
  <si>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</si>
  <si>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</si>
  <si>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</si>
  <si>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</si>
  <si>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</si>
  <si>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</si>
  <si>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</si>
  <si>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</si>
  <si>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</si>
  <si>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547-Fuel</t>
  </si>
  <si>
    <t>565-Wheeling</t>
  </si>
  <si>
    <t>Variable Transmission Income</t>
  </si>
  <si>
    <t>Production O&amp;M</t>
  </si>
  <si>
    <t>447-Sales to Others</t>
  </si>
  <si>
    <t>Purch/Sales Non-Core Gas</t>
  </si>
  <si>
    <t>Transmission Exp - 500KV</t>
  </si>
  <si>
    <t>Depreciation-Production (FERC 403)</t>
  </si>
  <si>
    <t>Depreciation-Transmission</t>
  </si>
  <si>
    <t>Amortization  - Regulatory Assets (1)</t>
  </si>
  <si>
    <t>Property Taxes-Production</t>
  </si>
  <si>
    <t>Property Taxes-Transmission</t>
  </si>
  <si>
    <t>Hedging Line of Credit</t>
  </si>
  <si>
    <t>Subtotal &amp; Baseline Rate</t>
  </si>
  <si>
    <t>(b)</t>
  </si>
  <si>
    <t>Revenue Sensitive Items</t>
  </si>
  <si>
    <t>Test Year DELIVERED Load (MWH's)</t>
  </si>
  <si>
    <t xml:space="preserve"> &lt;-- includes Firm Wholesale</t>
  </si>
  <si>
    <t>Before Rev.</t>
  </si>
  <si>
    <t>After Rev.</t>
  </si>
  <si>
    <t>Sensitive Items</t>
  </si>
  <si>
    <t>Power Cost in Rates with Revenue Sensitive</t>
  </si>
  <si>
    <t>Rev Req (Column (I) )</t>
  </si>
  <si>
    <t>Items (the adjusted baseline)</t>
  </si>
  <si>
    <t xml:space="preserve">sum of (a) = Fixed Rate Component </t>
  </si>
  <si>
    <t>(b) = Power Cost Rate</t>
  </si>
  <si>
    <t>sum of (c) = Variable Power Rate Component</t>
  </si>
  <si>
    <t>(1) - Regulatory Assets are shown in detail on Exhibit D.</t>
  </si>
  <si>
    <t>POWER COST OR PROD O&amp;M RELATED</t>
  </si>
  <si>
    <t>FERC</t>
  </si>
  <si>
    <t>BEP</t>
  </si>
  <si>
    <t>WESTCOAST PIPELINE CAPACITY - UE-082013 (FB ENERGY)</t>
  </si>
  <si>
    <t>WESTCOAST PIPELINE CAPACITY - UE-100503 (BNP PARIBUS)</t>
  </si>
  <si>
    <t>CHELAN PUD CONTRACT INITITATION</t>
  </si>
  <si>
    <t>COLSTRIP 1&amp;2 (WECo) PREPAYMENT</t>
  </si>
  <si>
    <t>LOWER SNAKE RIVER PREPAID TRANSM PRINCIPAL</t>
  </si>
  <si>
    <t>MINT FARM APRIL 2013 HOT GAS PATH INSPECTION</t>
  </si>
  <si>
    <t>o&amp;m</t>
  </si>
  <si>
    <t>TOTAL POWER COST RELATED</t>
  </si>
  <si>
    <t>NON POWER COST RELATED</t>
  </si>
  <si>
    <t>ADJ. NO. 9 -   FERNDALE DEFERRAL (NEW)</t>
  </si>
  <si>
    <t>ADJ. NO. 5 -   SNOQUALMIE DEFERRAL (NEW)</t>
  </si>
  <si>
    <t>ADJ. NO. 7 -   BAKER DEFERRAL (NEW)</t>
  </si>
  <si>
    <t>ADJ. NO. 12 -   ELECTRON UNRECOVERED COSTS</t>
  </si>
  <si>
    <t>ADJ.NO.16 - WHITE RIVER PLANT COSTS</t>
  </si>
  <si>
    <t>ADJ.NO.17 - MINT FARM DEFFRED - UE-090704</t>
  </si>
  <si>
    <t>ADJ.NO.17 - LOWER SNAKE RIVER PLANT DEFERRAL</t>
  </si>
  <si>
    <t>ADJ.NO.20 - FERC PART 12 COSTS UE-070074</t>
  </si>
  <si>
    <t>ADJ.NO.21 - CARRYING CHARG ON LSR PREPAID TRANS</t>
  </si>
  <si>
    <t>TOTAL NON POWER COST RELATED</t>
  </si>
  <si>
    <t>Total Amortization on Reg Assets</t>
  </si>
  <si>
    <t>CHECK</t>
  </si>
  <si>
    <t>Ck</t>
  </si>
  <si>
    <t>Amortization  - Regulatory Assets (1) Line 25 on A-1</t>
  </si>
  <si>
    <t>Amortization  - Regulatory Assets Production Adjustment</t>
  </si>
  <si>
    <t>Puget Sound Energy</t>
  </si>
  <si>
    <t>Calculation of Schedule 95 Rate</t>
  </si>
  <si>
    <t>Customer Class</t>
  </si>
  <si>
    <t>Rate Schedule</t>
  </si>
  <si>
    <t>Docket No.
UE-111048
Energy
Allocator
(Note 1)</t>
  </si>
  <si>
    <t>81%
Energy
(Note 2)</t>
  </si>
  <si>
    <t>Docket No.
UE-111048
Demand
Allocator
(Note 3)</t>
  </si>
  <si>
    <t>19%
Demand
(Note 2)</t>
  </si>
  <si>
    <t>Weighted Allocation</t>
  </si>
  <si>
    <t>2013 Revenue Surplus</t>
  </si>
  <si>
    <t>Delivered kWh Test Year Ending  September 2012</t>
  </si>
  <si>
    <t>Proposed Schedule 95 ¢ per kWh Effective November 2013</t>
  </si>
  <si>
    <t>a</t>
  </si>
  <si>
    <t>b = 81% * a / sum(a)</t>
  </si>
  <si>
    <t>c</t>
  </si>
  <si>
    <t>d = 19% * c / sum(c)</t>
  </si>
  <si>
    <t>e = b + d</t>
  </si>
  <si>
    <t xml:space="preserve">f </t>
  </si>
  <si>
    <t>g = e * f</t>
  </si>
  <si>
    <t>h</t>
  </si>
  <si>
    <t>i = g / h * 100</t>
  </si>
  <si>
    <t>Sec Gen Svc - Small</t>
  </si>
  <si>
    <t>Sec Gen Svc - Medium</t>
  </si>
  <si>
    <t>25 &amp; 7A</t>
  </si>
  <si>
    <t>Sec Gen Svc - Large</t>
  </si>
  <si>
    <t>26 &amp; 26P</t>
  </si>
  <si>
    <t>Sec Irrigation Svc</t>
  </si>
  <si>
    <t>Pri Gen Svc</t>
  </si>
  <si>
    <t>Pri Irrigation Svc</t>
  </si>
  <si>
    <t>Pri Interruptible Svc</t>
  </si>
  <si>
    <t>Campus Rate - Primary &amp; Secondary Voltage</t>
  </si>
  <si>
    <t>Campus Rate - High Voltage</t>
  </si>
  <si>
    <t>High Voltage Interruptible</t>
  </si>
  <si>
    <t>High Voltage General Service</t>
  </si>
  <si>
    <t>Lights</t>
  </si>
  <si>
    <t>50-59</t>
  </si>
  <si>
    <t>Transportation Primary Voltage</t>
  </si>
  <si>
    <t>449 / 459</t>
  </si>
  <si>
    <t>Transportation High Voltage</t>
  </si>
  <si>
    <t>Note 1 Source:  Docket No. UE-111048 Compliance Cost of Service Workpapers, pages 37 &amp; 47, "Energy 2" Allocator</t>
  </si>
  <si>
    <t>Note 2 Source:  Docket No. UE-111048 Compliance Cost of Service Workpapers, pages 4 &amp; 21, "Peak Credit %" Allocator</t>
  </si>
  <si>
    <t>Note 3 Source:  Docket No. UE-111048 Compliance Cost of Service Workpapers, pages 37-41, "DEM-2B" Allocator</t>
  </si>
  <si>
    <t>Revenue Adj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</si>
  <si>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</si>
  <si>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</si>
  <si>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</si>
  <si>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</si>
  <si>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</si>
  <si>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</si>
  <si>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</si>
  <si>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Schedule 40 - Med Sec Voltage</t>
  </si>
  <si>
    <t>Schedule 40 - Large Sec Voltage</t>
  </si>
  <si>
    <t>Schedule 40 - Primary Voltage</t>
  </si>
  <si>
    <t>Total Temp Adj</t>
  </si>
  <si>
    <t>kWh - Commission Basis</t>
  </si>
  <si>
    <t>Actual Rates in Effect</t>
  </si>
  <si>
    <t>Schedule 40 Med Sec Voltage</t>
  </si>
  <si>
    <t>Schedule 40 Large Sec Voltage</t>
  </si>
  <si>
    <t>Schedule 40 Primary Voltage</t>
  </si>
  <si>
    <t>PUGET SOUND ENERGY-ELECTRIC SYSTEM</t>
  </si>
  <si>
    <t xml:space="preserve">TEMPERATURE NORMALIZATION </t>
  </si>
  <si>
    <t>FOR THE TWELVE MONTHS ENDED DECEMBER, 2014</t>
  </si>
  <si>
    <t>Effective November 1, 2013 &amp; December 1, 2014
New PCA Rates Only
(Decoupling Covers Margin Revenue)</t>
  </si>
  <si>
    <t/>
  </si>
  <si>
    <t>10a</t>
  </si>
  <si>
    <t>Equity Adder Centralia Coal Transition PPA</t>
  </si>
  <si>
    <t>456-Purch/Sales Non-Core Gas</t>
  </si>
  <si>
    <t>2014 PCA Revenue Surplus</t>
  </si>
  <si>
    <t>Delivered kWh Test Year Ending  December 2013</t>
  </si>
  <si>
    <t>2014 PCA $ per kWh Effective December 2014</t>
  </si>
  <si>
    <t>b = 19% * a / sum(a)</t>
  </si>
  <si>
    <t>i = g / h</t>
  </si>
  <si>
    <t>8 &amp; 24</t>
  </si>
  <si>
    <t>11, 25 &amp; 7A</t>
  </si>
  <si>
    <t>12, 26 &amp; 26P</t>
  </si>
  <si>
    <t>10 &amp; 31</t>
  </si>
  <si>
    <t>kWh YE Dec 2013</t>
  </si>
  <si>
    <t>Retail wheeling YE Dec 2013</t>
  </si>
  <si>
    <t>Net kWh YE Dec 2013</t>
  </si>
  <si>
    <t>Exh A-1 YE Dec 2013</t>
  </si>
  <si>
    <t>Effective December 1, 2014 &amp; December 1, 2016
New PCA Rates Only
(Decoupling Covers Margin Revenue)</t>
  </si>
  <si>
    <t>FOR THE TWELVE MONTHS ENDED DECEMBER, 2016</t>
  </si>
  <si>
    <t>2016 PCA Revenue Surplus</t>
  </si>
  <si>
    <t>2016 PCA $ per kWh Effective December 2016</t>
  </si>
  <si>
    <t>Transportation</t>
  </si>
  <si>
    <t xml:space="preserve">Use Full Baseline Rate (but Fixed Costs from </t>
  </si>
  <si>
    <t>December 2016 Power Cost Update - Prices at 8.26.16</t>
  </si>
  <si>
    <r>
      <t xml:space="preserve">Original 2014 PCORC BLR) for </t>
    </r>
    <r>
      <rPr>
        <b/>
        <i/>
        <sz val="10"/>
        <color rgb="FF0000FF"/>
        <rFont val="Arial"/>
        <family val="2"/>
      </rPr>
      <t xml:space="preserve">December 2016 </t>
    </r>
  </si>
  <si>
    <r>
      <t xml:space="preserve">Use these Fixed Costs through </t>
    </r>
    <r>
      <rPr>
        <b/>
        <i/>
        <sz val="10"/>
        <color rgb="FF0000FF"/>
        <rFont val="Arial"/>
        <family val="2"/>
      </rPr>
      <t>December 2016</t>
    </r>
  </si>
  <si>
    <r>
      <t xml:space="preserve">Use Variable Baseline Rate from </t>
    </r>
    <r>
      <rPr>
        <b/>
        <i/>
        <sz val="10"/>
        <color rgb="FF0000FF"/>
        <rFont val="Arial"/>
        <family val="2"/>
      </rPr>
      <t>January 2017</t>
    </r>
    <r>
      <rPr>
        <b/>
        <i/>
        <sz val="10"/>
        <color rgb="FFFF0000"/>
        <rFont val="Arial"/>
        <family val="2"/>
      </rPr>
      <t xml:space="preserve"> forward</t>
    </r>
    <r>
      <rPr>
        <b/>
        <i/>
        <sz val="10"/>
        <color rgb="FF0000FF"/>
        <rFont val="Arial"/>
        <family val="2"/>
      </rPr>
      <t xml:space="preserve"> </t>
    </r>
  </si>
  <si>
    <t>December 2016 Compliance Update</t>
  </si>
  <si>
    <t>14PCORC from UE-141141</t>
  </si>
  <si>
    <t>requested to be incl</t>
  </si>
  <si>
    <t>Continue to be</t>
  </si>
  <si>
    <t>in PCA Fix Cst Dfrl</t>
  </si>
  <si>
    <t xml:space="preserve">tracked in </t>
  </si>
  <si>
    <t>eff 1/1/17</t>
  </si>
  <si>
    <t>PCA mechanism</t>
  </si>
  <si>
    <t xml:space="preserve">Fixed </t>
  </si>
  <si>
    <t xml:space="preserve">Variable </t>
  </si>
  <si>
    <t>Difference</t>
  </si>
  <si>
    <t>December 2016</t>
  </si>
  <si>
    <t>Pwr Cost Update</t>
  </si>
  <si>
    <t>Costs</t>
  </si>
  <si>
    <t>14PCORC</t>
  </si>
  <si>
    <t>vs</t>
  </si>
  <si>
    <t>December 1, 2016</t>
  </si>
  <si>
    <t>F/V</t>
  </si>
  <si>
    <t>Test Year</t>
  </si>
  <si>
    <t>(IV)</t>
  </si>
  <si>
    <t>(V)</t>
  </si>
  <si>
    <t>(VI)</t>
  </si>
  <si>
    <t>(VII)</t>
  </si>
  <si>
    <t>(VIII)</t>
  </si>
  <si>
    <t>(IX)</t>
  </si>
  <si>
    <t>(X)</t>
  </si>
  <si>
    <t>V</t>
  </si>
  <si>
    <t xml:space="preserve">F </t>
  </si>
  <si>
    <r>
      <t xml:space="preserve">501-Steam Fuel </t>
    </r>
    <r>
      <rPr>
        <sz val="10"/>
        <color rgb="FFFF0000"/>
        <rFont val="Arial"/>
        <family val="2"/>
      </rPr>
      <t>Incl PC Reg Amort</t>
    </r>
  </si>
  <si>
    <r>
      <t xml:space="preserve">555-Purchased power </t>
    </r>
    <r>
      <rPr>
        <sz val="10"/>
        <color rgb="FFFF0000"/>
        <rFont val="Arial"/>
        <family val="2"/>
      </rPr>
      <t>Incl PC Reg Amort</t>
    </r>
  </si>
  <si>
    <r>
      <t xml:space="preserve">557-Other Power Exp </t>
    </r>
    <r>
      <rPr>
        <sz val="10"/>
        <color rgb="FFFF0000"/>
        <rFont val="Arial"/>
        <family val="2"/>
      </rPr>
      <t>excluding brokerage fees - now in Line 15e</t>
    </r>
  </si>
  <si>
    <t>15e</t>
  </si>
  <si>
    <r>
      <t xml:space="preserve">Brokerage Fees 55700003 </t>
    </r>
    <r>
      <rPr>
        <sz val="10"/>
        <color rgb="FFFF0000"/>
        <rFont val="Arial"/>
        <family val="2"/>
      </rPr>
      <t>Used to be in Line 15</t>
    </r>
  </si>
  <si>
    <r>
      <t xml:space="preserve">547-Fuel </t>
    </r>
    <r>
      <rPr>
        <sz val="10"/>
        <color rgb="FFFF0000"/>
        <rFont val="Arial"/>
        <family val="2"/>
      </rPr>
      <t>Incl PC Reg Amort</t>
    </r>
  </si>
  <si>
    <r>
      <t xml:space="preserve">565-Wheeling </t>
    </r>
    <r>
      <rPr>
        <sz val="10"/>
        <color rgb="FFFF0000"/>
        <rFont val="Arial"/>
        <family val="2"/>
      </rPr>
      <t>Incl PC Reg Amort</t>
    </r>
  </si>
  <si>
    <t>Transmission Revenue 456.1</t>
  </si>
  <si>
    <t>19a</t>
  </si>
  <si>
    <t>N/A (this line formerly Colstrip Major Maintenance)</t>
  </si>
  <si>
    <r>
      <t xml:space="preserve">Amortization  - Regulatory Assets &amp; Liab - </t>
    </r>
    <r>
      <rPr>
        <sz val="10"/>
        <color rgb="FFFF0000"/>
        <rFont val="Arial"/>
        <family val="2"/>
      </rPr>
      <t>Non PC Only</t>
    </r>
    <r>
      <rPr>
        <sz val="10"/>
        <rFont val="Arial"/>
        <family val="2"/>
      </rPr>
      <t xml:space="preserve"> (1)</t>
    </r>
  </si>
  <si>
    <t>N/A - Hedging Line of Credit will be in COC in next GRC; incl here to tie to BLR</t>
  </si>
  <si>
    <t>&lt;=See Impact on Rev Req for reconciliation</t>
  </si>
  <si>
    <t>&lt;=ties</t>
  </si>
  <si>
    <t>Grossed up for RSI</t>
  </si>
  <si>
    <t>Fixed (Decoupling)</t>
  </si>
  <si>
    <t>Variable (PCA)</t>
  </si>
  <si>
    <t>Baseline Rate Summarized</t>
  </si>
  <si>
    <t>BLR Before RSI</t>
  </si>
  <si>
    <t>BLR Net of RSI</t>
  </si>
  <si>
    <t>(1) - Amortization is picked up in Regulatory Assets and Liabilities Adjustment.</t>
  </si>
  <si>
    <t>PF</t>
  </si>
  <si>
    <t>(Pre-PF)</t>
  </si>
  <si>
    <t>BEP in Line 14</t>
  </si>
  <si>
    <t>WESTCOAST PIPELINE CAPACITY - UE-082013 (FB ENERGY) in Line 16</t>
  </si>
  <si>
    <t>WESTCOAST PIPELINE CAPACITY - UE-100503 (BNP PARIBUS) in Line 16</t>
  </si>
  <si>
    <t>CHELAN PUD CONTRACT INITITATION in Line 14</t>
  </si>
  <si>
    <t>COLSTRIP 1&amp;2 (WECo) PREPAYMENT in Line 13</t>
  </si>
  <si>
    <t>LOWER SNAKE RIVER PREPAID TRANSM PRINCIPAL in Line 17</t>
  </si>
  <si>
    <t>Check=&gt;</t>
  </si>
  <si>
    <t>WHITE RIVER PLANT COSTS</t>
  </si>
  <si>
    <t>FERC PART 12 STUDY NON-CONSTRUCTION COSTS UE-070074</t>
  </si>
  <si>
    <t>CARRYING CHARGES ON LSR PREPAID TRANSM</t>
  </si>
  <si>
    <t>MINT FARM DEFFRED - UE-090704 (ends Mar 2025)</t>
  </si>
  <si>
    <t>LOWER SNAKE RIVER PLANT DEFERRAL (ends Apr 2016)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</si>
  <si>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</si>
  <si>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</si>
  <si>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</si>
  <si>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</si>
  <si>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</si>
  <si>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</si>
  <si>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ELECTRIC COST OF SERVICE SUMMARY</t>
  </si>
  <si>
    <t>Adjusted Test Year Twelve Months ended September 2016 @ Proforma Rev Requirement</t>
  </si>
  <si>
    <t>Delivery Costs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</si>
  <si>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</si>
  <si>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</si>
  <si>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</si>
  <si>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</si>
  <si>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</si>
  <si>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</si>
  <si>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</si>
  <si>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</si>
  <si>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</si>
  <si>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</si>
  <si>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</si>
  <si>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</si>
  <si>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</si>
  <si>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</si>
  <si>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</si>
  <si>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</si>
  <si>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</si>
  <si>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</si>
  <si>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</si>
  <si>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</si>
  <si>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</si>
  <si>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</si>
  <si>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</si>
  <si>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</si>
  <si>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</si>
  <si>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</si>
  <si>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kWh</t>
  </si>
  <si>
    <t>Demand</t>
  </si>
  <si>
    <t>PC-3</t>
  </si>
  <si>
    <t>NRG</t>
  </si>
  <si>
    <t>DEM</t>
  </si>
  <si>
    <t>Peak Credit Allocation</t>
  </si>
  <si>
    <t>% Applicable to Energy</t>
  </si>
  <si>
    <t>% Applicable to Demand</t>
  </si>
  <si>
    <t>Total Allocation to Class</t>
  </si>
  <si>
    <t>Exhibit H to Settlement Agreement</t>
  </si>
  <si>
    <t>2017 GRC (Per Settlement)</t>
  </si>
  <si>
    <t>Regulatory Assets (1) (Fixed)</t>
  </si>
  <si>
    <t>Prod Cost</t>
  </si>
  <si>
    <t>In Decoupling</t>
  </si>
  <si>
    <t>In PCA</t>
  </si>
  <si>
    <t>501-Steam Fuel Incl PC Reg Amort</t>
  </si>
  <si>
    <t>555-Purchased power Incl PC Reg Amort</t>
  </si>
  <si>
    <t>Brokerage Fees 55700003</t>
  </si>
  <si>
    <t>547-Fuel Incl PC Reg Amort</t>
  </si>
  <si>
    <t>565-Wheeling Incl PC Reg Amort</t>
  </si>
  <si>
    <t>Amortization  - Regulatory Assets &amp; Liab - Non PC Only (1)</t>
  </si>
  <si>
    <t>N/A (formerly hedging line of credit)</t>
  </si>
  <si>
    <t>Variable</t>
  </si>
  <si>
    <t>(1) - Amortization is picked up in Regulatory Assets and Liabilities Adjustment and White River Adjustment.</t>
  </si>
  <si>
    <t>PF'd</t>
  </si>
  <si>
    <t>NON POWER COST RELATED REG ASSETS &amp; LIAB</t>
  </si>
  <si>
    <t>TABLE A. PRESENT AND PROPOSED RATES</t>
  </si>
  <si>
    <t>PUGET SOUND ENERGY</t>
  </si>
  <si>
    <t>ESTIMATED EFFECT OF PROPOSED BASE RATE INCREASE</t>
  </si>
  <si>
    <t>ON REVENUES FROM ELECTRIC SALES</t>
  </si>
  <si>
    <t>12 MONTHS ENDED SEPTEMBER 2016</t>
  </si>
  <si>
    <t>Effective December 2017</t>
  </si>
  <si>
    <t>Present</t>
  </si>
  <si>
    <t>Proposed</t>
  </si>
  <si>
    <t>Current</t>
  </si>
  <si>
    <t>Base</t>
  </si>
  <si>
    <t>Line</t>
  </si>
  <si>
    <t>Sch.</t>
  </si>
  <si>
    <t>Avg.</t>
  </si>
  <si>
    <t>Revenues</t>
  </si>
  <si>
    <t>Increase</t>
  </si>
  <si>
    <t>No.</t>
  </si>
  <si>
    <t>Cust.</t>
  </si>
  <si>
    <t>MWH</t>
  </si>
  <si>
    <t>($000)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</si>
  <si>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</si>
  <si>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</si>
  <si>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</si>
  <si>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</si>
  <si>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</si>
  <si>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</si>
  <si>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</si>
  <si>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</si>
  <si>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</si>
  <si>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(6)-(5)</t>
  </si>
  <si>
    <t>(7)/(5)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</si>
  <si>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</si>
  <si>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</si>
  <si>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</si>
  <si>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</si>
  <si>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</si>
  <si>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</si>
  <si>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</si>
  <si>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</si>
  <si>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</si>
  <si>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</si>
  <si>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</si>
  <si>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</si>
  <si>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</si>
  <si>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</si>
  <si>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</si>
  <si>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</si>
  <si>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</si>
  <si>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</si>
  <si>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</si>
  <si>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</si>
  <si>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</si>
  <si>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</si>
  <si>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</si>
  <si>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</si>
  <si>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</si>
  <si>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</si>
  <si>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MWh YE Sept 2016</t>
  </si>
  <si>
    <t>MWh Retail wheeling YE Sept 2016</t>
  </si>
  <si>
    <t>Net MWh YE Sept 2016</t>
  </si>
  <si>
    <t>Exh A-1 YE Sept 2016 MWh</t>
  </si>
  <si>
    <t>Total used for GRC Variable PCA</t>
  </si>
  <si>
    <t>Variable PCA Effective
12-19-2017</t>
  </si>
  <si>
    <t>Effective December 1, 2016 &amp; December 19, 2017
New PCA Rates Only
(Decoupling Covers Margin Revenue8</t>
  </si>
  <si>
    <t>FOR THE TWELVE MONTHS ENDED DECEMBER, 2018</t>
  </si>
  <si>
    <t>FOR THE TWELVE MONTHS ENDED DECEMBER, 2017</t>
  </si>
  <si>
    <t>GRC Variable PCA</t>
  </si>
  <si>
    <t>ELECTRIC COST OF SERVICE SUMMARY (TAX REFORM FILING UE-180282)</t>
  </si>
  <si>
    <t>Effective December 19, 2017 &amp; May 1, 2018 (they are identical)
Variable PCA Rates Only
(Decoupling Covers Fixed Production &amp; Margin Revenue)</t>
  </si>
  <si>
    <t>Effective May 1, 2018</t>
  </si>
  <si>
    <t>Schedule 40</t>
  </si>
  <si>
    <t>Schedule 8, 24</t>
  </si>
  <si>
    <t>Schedule 7A, 11, 25</t>
  </si>
  <si>
    <t>Schedule 12, 26</t>
  </si>
  <si>
    <t>Schedule 10,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</si>
</sst>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00_);_(&quot;$&quot;* \(#,##0.000000\);_(&quot;$&quot;* &quot;-&quot;??_);_(@_)"/>
    <numFmt numFmtId="169" formatCode="_(* #,##0.000_);_(* \(#,##0.000\);_(* &quot;-&quot;??_);_(@_)"/>
    <numFmt numFmtId="170" formatCode="_(&quot;$&quot;* #,##0.000_);_(&quot;$&quot;* \(#,##0.000\);_(&quot;$&quot;* &quot;-&quot;??_);_(@_)"/>
    <numFmt numFmtId="171" formatCode="0.0%"/>
    <numFmt numFmtId="172" formatCode="_(* #,##0.000000_);_(* \(#,##0.000000\);_(* &quot;-&quot;??_);_(@_)"/>
    <numFmt numFmtId="173" formatCode="_(* #,##0.0000_);_(* \(#,##0.0000\);_(* &quot;-&quot;??_);_(@_)"/>
    <numFmt numFmtId="174" formatCode="_(* #,##0.0000_);_(* \(#,##0.0000\);_(* &quot;-&quot;????_);_(@_)"/>
    <numFmt numFmtId="175" formatCode="0.00000"/>
    <numFmt numFmtId="176" formatCode="&quot;$&quot;#,##0"/>
    <numFmt numFmtId="177" formatCode="_(* #,##0.0000000_);_(* \(#,##0.0000000\);_(* &quot;-&quot;??_);_(@_)"/>
    <numFmt numFmtId="178" formatCode="0.000"/>
    <numFmt numFmtId="179" formatCode="0.0000\ \¢"/>
    <numFmt numFmtId="180" formatCode="_(&quot;$&quot;* #,##0.0000_);_(&quot;$&quot;* \(#,##0.0000\);_(&quot;$&quot;* &quot;-&quot;??_);_(@_)"/>
    <numFmt numFmtId="181" formatCode="&quot;Adj.&quot;\ 0.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b/>
      <sz val="10"/>
      <color rgb="FFFF5050"/>
      <name val="Arial"/>
      <family val="2"/>
    </font>
    <font>
      <sz val="10"/>
      <color rgb="FFFF5050"/>
      <name val="Arial"/>
      <family val="2"/>
    </font>
    <font>
      <sz val="10"/>
      <color rgb="FFFF0000"/>
      <name val="Arial"/>
      <family val="2"/>
    </font>
    <font>
      <sz val="9"/>
      <name val="Palatino Linotype"/>
      <family val="1"/>
    </font>
    <font>
      <u/>
      <sz val="9"/>
      <name val="Arial"/>
      <family val="2"/>
    </font>
    <font>
      <u/>
      <sz val="9"/>
      <color rgb="FFFF5050"/>
      <name val="Arial"/>
      <family val="2"/>
    </font>
    <font>
      <b/>
      <u/>
      <sz val="10"/>
      <name val="Arial"/>
      <family val="2"/>
    </font>
    <font>
      <b/>
      <u/>
      <sz val="10"/>
      <color rgb="FFFF5050"/>
      <name val="Arial"/>
      <family val="2"/>
    </font>
    <font>
      <u/>
      <sz val="10"/>
      <name val="Arial"/>
      <family val="2"/>
    </font>
    <font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8"/>
      <color rgb="FF0000FF"/>
      <name val="Times New Roman"/>
      <family val="1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sz val="8"/>
      <color rgb="FF0000FF"/>
      <name val="Times New Roman"/>
      <family val="1"/>
    </font>
    <font>
      <sz val="8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i/>
      <sz val="10"/>
      <color rgb="FFFF0000"/>
      <name val="Arial"/>
      <family val="2"/>
    </font>
    <font>
      <b/>
      <sz val="14"/>
      <color rgb="FF0000FF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Times New Roman"/>
      <family val="1"/>
    </font>
    <font>
      <b/>
      <sz val="11"/>
      <name val="TimesNewRomanPS"/>
    </font>
    <font>
      <sz val="12"/>
      <color indexed="8"/>
      <name val="Times New Roman"/>
      <family val="1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thick">
        <color rgb="FFFF0000"/>
      </right>
      <top/>
      <bottom style="mediumDashed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6">
    <xf numFmtId="0" fontId="0" fillId="0" borderId="0" xfId="0"/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 wrapText="1"/>
    </xf>
    <xf numFmtId="41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left" wrapText="1"/>
    </xf>
    <xf numFmtId="165" fontId="4" fillId="0" borderId="0" xfId="0" applyNumberFormat="1" applyFont="1" applyAlignment="1"/>
    <xf numFmtId="42" fontId="4" fillId="0" borderId="0" xfId="0" applyNumberFormat="1" applyFont="1" applyAlignment="1"/>
    <xf numFmtId="41" fontId="4" fillId="0" borderId="0" xfId="0" applyNumberFormat="1" applyFont="1" applyAlignment="1"/>
    <xf numFmtId="41" fontId="4" fillId="0" borderId="1" xfId="0" applyNumberFormat="1" applyFont="1" applyBorder="1" applyAlignment="1"/>
    <xf numFmtId="166" fontId="4" fillId="0" borderId="0" xfId="0" applyNumberFormat="1" applyFont="1" applyAlignment="1"/>
    <xf numFmtId="166" fontId="4" fillId="0" borderId="1" xfId="0" applyNumberFormat="1" applyFont="1" applyBorder="1" applyAlignment="1"/>
    <xf numFmtId="42" fontId="4" fillId="0" borderId="2" xfId="0" applyNumberFormat="1" applyFont="1" applyBorder="1" applyAlignment="1"/>
    <xf numFmtId="167" fontId="4" fillId="0" borderId="0" xfId="0" applyNumberFormat="1" applyFont="1" applyAlignment="1"/>
    <xf numFmtId="0" fontId="4" fillId="0" borderId="0" xfId="0" quotePrefix="1" applyNumberFormat="1" applyFont="1" applyAlignment="1">
      <alignment horizontal="left"/>
    </xf>
    <xf numFmtId="166" fontId="4" fillId="0" borderId="0" xfId="0" applyNumberFormat="1" applyFont="1" applyAlignment="1"/>
    <xf numFmtId="168" fontId="4" fillId="0" borderId="0" xfId="0" applyNumberFormat="1" applyFont="1" applyAlignment="1"/>
    <xf numFmtId="0" fontId="5" fillId="0" borderId="0" xfId="0" applyFont="1" applyFill="1"/>
    <xf numFmtId="43" fontId="5" fillId="0" borderId="0" xfId="0" applyNumberFormat="1" applyFont="1" applyFill="1"/>
    <xf numFmtId="166" fontId="5" fillId="0" borderId="0" xfId="0" applyNumberFormat="1" applyFont="1" applyFill="1"/>
    <xf numFmtId="0" fontId="16" fillId="0" borderId="5" xfId="0" applyFont="1" applyFill="1" applyBorder="1" applyAlignment="1">
      <alignment horizontal="center" wrapText="1"/>
    </xf>
    <xf numFmtId="0" fontId="16" fillId="0" borderId="5" xfId="0" quotePrefix="1" applyFont="1" applyFill="1" applyBorder="1" applyAlignment="1">
      <alignment horizontal="center" wrapText="1"/>
    </xf>
    <xf numFmtId="0" fontId="16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indent="1"/>
    </xf>
    <xf numFmtId="166" fontId="16" fillId="0" borderId="0" xfId="0" applyNumberFormat="1" applyFont="1" applyFill="1"/>
    <xf numFmtId="166" fontId="16" fillId="0" borderId="0" xfId="0" applyNumberFormat="1" applyFont="1" applyFill="1"/>
    <xf numFmtId="0" fontId="16" fillId="0" borderId="0" xfId="0" quotePrefix="1" applyFont="1" applyFill="1" applyAlignment="1">
      <alignment horizontal="left" indent="1"/>
    </xf>
    <xf numFmtId="0" fontId="16" fillId="0" borderId="0" xfId="0" quotePrefix="1" applyFont="1" applyFill="1" applyAlignment="1">
      <alignment horizontal="left" indent="2"/>
    </xf>
    <xf numFmtId="172" fontId="16" fillId="0" borderId="0" xfId="0" applyNumberFormat="1" applyFont="1" applyFill="1"/>
    <xf numFmtId="165" fontId="16" fillId="0" borderId="0" xfId="0" applyNumberFormat="1" applyFont="1" applyFill="1"/>
    <xf numFmtId="0" fontId="16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left" indent="1"/>
    </xf>
    <xf numFmtId="167" fontId="11" fillId="0" borderId="0" xfId="0" applyNumberFormat="1" applyFont="1" applyFill="1"/>
    <xf numFmtId="0" fontId="16" fillId="5" borderId="0" xfId="0" applyFont="1" applyFill="1" applyAlignment="1">
      <alignment horizontal="center"/>
    </xf>
    <xf numFmtId="0" fontId="16" fillId="5" borderId="0" xfId="0" quotePrefix="1" applyFont="1" applyFill="1" applyAlignment="1">
      <alignment horizontal="left"/>
    </xf>
    <xf numFmtId="0" fontId="16" fillId="5" borderId="0" xfId="0" applyFont="1" applyFill="1" applyAlignment="1">
      <alignment horizontal="left" indent="1"/>
    </xf>
    <xf numFmtId="167" fontId="16" fillId="5" borderId="0" xfId="0" applyNumberFormat="1" applyFont="1" applyFill="1"/>
    <xf numFmtId="167" fontId="5" fillId="0" borderId="0" xfId="0" applyNumberFormat="1" applyFont="1" applyFill="1"/>
    <xf numFmtId="167" fontId="16" fillId="0" borderId="0" xfId="0" applyNumberFormat="1" applyFont="1" applyFill="1"/>
    <xf numFmtId="167" fontId="16" fillId="0" borderId="0" xfId="0" applyNumberFormat="1" applyFont="1" applyFill="1"/>
    <xf numFmtId="0" fontId="16" fillId="0" borderId="0" xfId="0" applyFont="1" applyFill="1" applyAlignment="1">
      <alignment horizontal="left"/>
    </xf>
    <xf numFmtId="0" fontId="11" fillId="0" borderId="0" xfId="0" applyFont="1" applyFill="1"/>
    <xf numFmtId="0" fontId="5" fillId="0" borderId="0" xfId="0" applyFont="1" applyFill="1"/>
    <xf numFmtId="0" fontId="5" fillId="0" borderId="0" xfId="0" applyFont="1"/>
    <xf numFmtId="165" fontId="16" fillId="0" borderId="0" xfId="0" applyNumberFormat="1" applyFont="1" applyFill="1"/>
    <xf numFmtId="0" fontId="5" fillId="0" borderId="0" xfId="0" quotePrefix="1" applyFont="1" applyFill="1" applyAlignment="1">
      <alignment horizontal="left"/>
    </xf>
    <xf numFmtId="167" fontId="5" fillId="0" borderId="0" xfId="0" applyNumberFormat="1" applyFont="1" applyFill="1" applyAlignment="1">
      <alignment horizontal="left" wrapText="1"/>
    </xf>
    <xf numFmtId="173" fontId="5" fillId="0" borderId="0" xfId="0" applyNumberFormat="1" applyFont="1" applyFill="1"/>
    <xf numFmtId="174" fontId="5" fillId="0" borderId="0" xfId="0" applyNumberFormat="1" applyFont="1" applyFill="1"/>
    <xf numFmtId="0" fontId="5" fillId="6" borderId="0" xfId="0" applyFont="1" applyFill="1"/>
    <xf numFmtId="0" fontId="11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5" borderId="0" xfId="0" applyFont="1" applyFill="1"/>
    <xf numFmtId="166" fontId="5" fillId="5" borderId="0" xfId="0" applyNumberFormat="1" applyFont="1" applyFill="1"/>
    <xf numFmtId="166" fontId="16" fillId="5" borderId="0" xfId="0" applyNumberFormat="1" applyFont="1" applyFill="1"/>
    <xf numFmtId="173" fontId="16" fillId="5" borderId="0" xfId="0" applyNumberFormat="1" applyFont="1" applyFill="1"/>
    <xf numFmtId="173" fontId="16" fillId="0" borderId="0" xfId="0" applyNumberFormat="1" applyFont="1" applyFill="1"/>
    <xf numFmtId="167" fontId="5" fillId="0" borderId="0" xfId="0" applyNumberFormat="1" applyFont="1" applyFill="1"/>
    <xf numFmtId="167" fontId="16" fillId="0" borderId="0" xfId="0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Fill="1" applyAlignment="1">
      <alignment horizontal="left" indent="1"/>
    </xf>
    <xf numFmtId="167" fontId="17" fillId="0" borderId="0" xfId="0" applyNumberFormat="1" applyFont="1" applyFill="1"/>
    <xf numFmtId="167" fontId="11" fillId="0" borderId="0" xfId="0" applyNumberFormat="1" applyFont="1" applyFill="1"/>
    <xf numFmtId="0" fontId="5" fillId="0" borderId="13" xfId="0" applyFont="1" applyFill="1" applyBorder="1"/>
    <xf numFmtId="0" fontId="5" fillId="0" borderId="14" xfId="0" applyFont="1" applyFill="1" applyBorder="1"/>
    <xf numFmtId="167" fontId="16" fillId="0" borderId="14" xfId="0" applyNumberFormat="1" applyFont="1" applyFill="1" applyBorder="1"/>
    <xf numFmtId="167" fontId="5" fillId="0" borderId="14" xfId="0" applyNumberFormat="1" applyFont="1" applyFill="1" applyBorder="1"/>
    <xf numFmtId="167" fontId="5" fillId="0" borderId="15" xfId="0" applyNumberFormat="1" applyFont="1" applyFill="1" applyBorder="1"/>
    <xf numFmtId="0" fontId="5" fillId="0" borderId="16" xfId="0" applyFont="1" applyFill="1" applyBorder="1"/>
    <xf numFmtId="0" fontId="5" fillId="0" borderId="0" xfId="0" applyFont="1" applyFill="1" applyBorder="1"/>
    <xf numFmtId="0" fontId="5" fillId="0" borderId="0" xfId="0" quotePrefix="1" applyFont="1" applyFill="1" applyBorder="1" applyAlignment="1">
      <alignment horizontal="left"/>
    </xf>
    <xf numFmtId="167" fontId="16" fillId="0" borderId="0" xfId="0" applyNumberFormat="1" applyFont="1" applyFill="1" applyBorder="1"/>
    <xf numFmtId="167" fontId="5" fillId="0" borderId="0" xfId="0" applyNumberFormat="1" applyFont="1" applyFill="1" applyBorder="1"/>
    <xf numFmtId="167" fontId="5" fillId="0" borderId="17" xfId="0" applyNumberFormat="1" applyFont="1" applyFill="1" applyBorder="1"/>
    <xf numFmtId="167" fontId="5" fillId="0" borderId="0" xfId="0" applyNumberFormat="1" applyFont="1" applyFill="1" applyBorder="1"/>
    <xf numFmtId="167" fontId="5" fillId="0" borderId="17" xfId="0" applyNumberFormat="1" applyFont="1" applyFill="1" applyBorder="1"/>
    <xf numFmtId="0" fontId="5" fillId="0" borderId="17" xfId="0" applyFont="1" applyFill="1" applyBorder="1"/>
    <xf numFmtId="166" fontId="5" fillId="0" borderId="0" xfId="0" applyNumberFormat="1" applyFont="1" applyFill="1" applyBorder="1"/>
    <xf numFmtId="166" fontId="5" fillId="0" borderId="17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16" xfId="0" applyFont="1" applyBorder="1"/>
    <xf numFmtId="0" fontId="11" fillId="0" borderId="0" xfId="0" applyFont="1" applyBorder="1"/>
    <xf numFmtId="167" fontId="17" fillId="0" borderId="0" xfId="0" applyNumberFormat="1" applyFont="1" applyFill="1" applyBorder="1"/>
    <xf numFmtId="43" fontId="11" fillId="0" borderId="0" xfId="0" applyNumberFormat="1" applyFont="1" applyBorder="1"/>
    <xf numFmtId="43" fontId="11" fillId="0" borderId="17" xfId="0" applyNumberFormat="1" applyFont="1" applyBorder="1"/>
    <xf numFmtId="0" fontId="11" fillId="0" borderId="0" xfId="0" applyFont="1"/>
    <xf numFmtId="0" fontId="11" fillId="0" borderId="17" xfId="0" applyFont="1" applyBorder="1"/>
    <xf numFmtId="0" fontId="11" fillId="0" borderId="18" xfId="0" applyFont="1" applyBorder="1"/>
    <xf numFmtId="0" fontId="11" fillId="0" borderId="5" xfId="0" applyFont="1" applyBorder="1"/>
    <xf numFmtId="43" fontId="11" fillId="0" borderId="5" xfId="0" applyNumberFormat="1" applyFont="1" applyBorder="1"/>
    <xf numFmtId="0" fontId="11" fillId="0" borderId="19" xfId="0" applyFont="1" applyBorder="1"/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8" fillId="0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Fill="1" applyBorder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19" fillId="0" borderId="0" xfId="0" applyFont="1" applyFill="1"/>
    <xf numFmtId="0" fontId="14" fillId="0" borderId="0" xfId="0" applyFont="1" applyFill="1" applyAlignment="1">
      <alignment horizontal="center"/>
    </xf>
    <xf numFmtId="43" fontId="5" fillId="0" borderId="0" xfId="0" applyNumberFormat="1" applyFont="1"/>
    <xf numFmtId="0" fontId="20" fillId="0" borderId="0" xfId="0" applyFont="1" applyAlignment="1">
      <alignment horizontal="right"/>
    </xf>
    <xf numFmtId="0" fontId="12" fillId="0" borderId="0" xfId="0" quotePrefix="1" applyFont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167" fontId="5" fillId="0" borderId="0" xfId="0" applyNumberFormat="1" applyFont="1" applyFill="1" applyBorder="1"/>
    <xf numFmtId="167" fontId="24" fillId="0" borderId="0" xfId="0" applyNumberFormat="1" applyFont="1" applyFill="1" applyBorder="1"/>
    <xf numFmtId="167" fontId="23" fillId="0" borderId="0" xfId="0" applyNumberFormat="1" applyFont="1" applyFill="1" applyBorder="1"/>
    <xf numFmtId="166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6" fontId="24" fillId="0" borderId="0" xfId="0" applyNumberFormat="1" applyFont="1" applyFill="1" applyBorder="1" applyAlignment="1">
      <alignment horizontal="right"/>
    </xf>
    <xf numFmtId="166" fontId="23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/>
    <xf numFmtId="167" fontId="5" fillId="0" borderId="1" xfId="0" applyNumberFormat="1" applyFont="1" applyFill="1" applyBorder="1" applyAlignment="1">
      <alignment horizontal="right"/>
    </xf>
    <xf numFmtId="166" fontId="5" fillId="0" borderId="0" xfId="0" applyNumberFormat="1" applyFont="1" applyFill="1" applyAlignment="1">
      <alignment horizontal="center"/>
    </xf>
    <xf numFmtId="167" fontId="24" fillId="0" borderId="0" xfId="0" applyNumberFormat="1" applyFont="1" applyFill="1" applyBorder="1" applyAlignment="1">
      <alignment horizontal="right"/>
    </xf>
    <xf numFmtId="167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43" fontId="12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right"/>
    </xf>
    <xf numFmtId="43" fontId="12" fillId="0" borderId="0" xfId="0" applyNumberFormat="1" applyFont="1" applyFill="1" applyAlignment="1">
      <alignment horizontal="right"/>
    </xf>
    <xf numFmtId="10" fontId="24" fillId="0" borderId="0" xfId="0" applyNumberFormat="1" applyFont="1" applyFill="1" applyBorder="1" applyAlignment="1">
      <alignment horizontal="right"/>
    </xf>
    <xf numFmtId="10" fontId="23" fillId="0" borderId="0" xfId="0" applyNumberFormat="1" applyFont="1" applyFill="1" applyBorder="1" applyAlignment="1">
      <alignment horizontal="right"/>
    </xf>
    <xf numFmtId="43" fontId="23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Alignment="1">
      <alignment horizontal="left"/>
    </xf>
    <xf numFmtId="10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75" fontId="5" fillId="0" borderId="0" xfId="0" applyNumberFormat="1" applyFont="1" applyFill="1" applyAlignment="1">
      <alignment horizontal="center"/>
    </xf>
    <xf numFmtId="0" fontId="12" fillId="4" borderId="20" xfId="0" applyFont="1" applyFill="1" applyBorder="1" applyAlignment="1">
      <alignment horizontal="center"/>
    </xf>
    <xf numFmtId="43" fontId="0" fillId="0" borderId="0" xfId="0" applyNumberFormat="1" applyFont="1" applyFill="1" applyAlignment="1">
      <alignment horizontal="left"/>
    </xf>
    <xf numFmtId="0" fontId="11" fillId="0" borderId="12" xfId="0" applyFont="1" applyFill="1" applyBorder="1" applyAlignment="1">
      <alignment horizontal="center"/>
    </xf>
    <xf numFmtId="166" fontId="11" fillId="0" borderId="12" xfId="0" applyNumberFormat="1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166" fontId="23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6" fontId="12" fillId="0" borderId="0" xfId="0" applyNumberFormat="1" applyFont="1" applyFill="1"/>
    <xf numFmtId="170" fontId="5" fillId="0" borderId="0" xfId="0" applyNumberFormat="1" applyFont="1" applyFill="1"/>
    <xf numFmtId="0" fontId="5" fillId="0" borderId="0" xfId="0" applyFont="1" applyFill="1"/>
    <xf numFmtId="166" fontId="5" fillId="0" borderId="0" xfId="0" applyNumberFormat="1" applyFont="1" applyFill="1"/>
    <xf numFmtId="176" fontId="12" fillId="0" borderId="0" xfId="0" applyNumberFormat="1" applyFont="1" applyFill="1"/>
    <xf numFmtId="176" fontId="25" fillId="4" borderId="0" xfId="0" applyNumberFormat="1" applyFont="1" applyFill="1" applyAlignment="1">
      <alignment horizontal="right"/>
    </xf>
    <xf numFmtId="0" fontId="5" fillId="0" borderId="0" xfId="0" applyFont="1" applyFill="1"/>
    <xf numFmtId="166" fontId="5" fillId="0" borderId="0" xfId="0" applyNumberFormat="1" applyFont="1" applyFill="1" applyBorder="1"/>
    <xf numFmtId="167" fontId="5" fillId="0" borderId="0" xfId="0" applyNumberFormat="1" applyFont="1" applyFill="1"/>
    <xf numFmtId="41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41" fontId="5" fillId="0" borderId="0" xfId="0" applyNumberFormat="1" applyFont="1" applyFill="1" applyBorder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indent="1"/>
    </xf>
    <xf numFmtId="39" fontId="12" fillId="0" borderId="0" xfId="0" applyNumberFormat="1" applyFont="1" applyFill="1" applyAlignment="1">
      <alignment vertical="center"/>
    </xf>
    <xf numFmtId="167" fontId="5" fillId="0" borderId="22" xfId="0" applyNumberFormat="1" applyFont="1" applyFill="1" applyBorder="1" applyAlignment="1">
      <alignment vertical="center"/>
    </xf>
    <xf numFmtId="170" fontId="11" fillId="0" borderId="20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vertical="center"/>
    </xf>
    <xf numFmtId="176" fontId="25" fillId="4" borderId="11" xfId="0" applyNumberFormat="1" applyFont="1" applyFill="1" applyBorder="1" applyAlignment="1">
      <alignment horizontal="right"/>
    </xf>
    <xf numFmtId="177" fontId="5" fillId="0" borderId="12" xfId="0" applyNumberFormat="1" applyFont="1" applyFill="1" applyBorder="1"/>
    <xf numFmtId="177" fontId="5" fillId="0" borderId="0" xfId="0" applyNumberFormat="1" applyFont="1" applyFill="1" applyBorder="1"/>
    <xf numFmtId="177" fontId="24" fillId="0" borderId="0" xfId="0" applyNumberFormat="1" applyFont="1" applyFill="1" applyBorder="1"/>
    <xf numFmtId="178" fontId="12" fillId="4" borderId="12" xfId="0" applyNumberFormat="1" applyFont="1" applyFill="1" applyBorder="1"/>
    <xf numFmtId="166" fontId="5" fillId="0" borderId="0" xfId="0" applyNumberFormat="1" applyFont="1" applyFill="1" applyBorder="1"/>
    <xf numFmtId="178" fontId="12" fillId="3" borderId="0" xfId="0" applyNumberFormat="1" applyFont="1" applyFill="1" applyBorder="1"/>
    <xf numFmtId="166" fontId="24" fillId="0" borderId="0" xfId="0" applyNumberFormat="1" applyFont="1" applyFill="1" applyBorder="1"/>
    <xf numFmtId="0" fontId="12" fillId="4" borderId="0" xfId="0" applyFont="1" applyFill="1"/>
    <xf numFmtId="177" fontId="25" fillId="4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left"/>
    </xf>
    <xf numFmtId="166" fontId="25" fillId="4" borderId="0" xfId="0" applyNumberFormat="1" applyFont="1" applyFill="1" applyAlignment="1">
      <alignment horizontal="center"/>
    </xf>
    <xf numFmtId="169" fontId="26" fillId="0" borderId="0" xfId="0" applyNumberFormat="1" applyFont="1" applyFill="1" applyAlignment="1">
      <alignment horizontal="right"/>
    </xf>
    <xf numFmtId="169" fontId="26" fillId="0" borderId="0" xfId="0" applyNumberFormat="1" applyFont="1" applyFill="1" applyBorder="1" applyAlignment="1">
      <alignment horizontal="left"/>
    </xf>
    <xf numFmtId="169" fontId="12" fillId="4" borderId="7" xfId="0" applyNumberFormat="1" applyFont="1" applyFill="1" applyBorder="1"/>
    <xf numFmtId="169" fontId="25" fillId="4" borderId="7" xfId="0" applyNumberFormat="1" applyFont="1" applyFill="1" applyBorder="1" applyAlignment="1">
      <alignment horizontal="center"/>
    </xf>
    <xf numFmtId="169" fontId="27" fillId="0" borderId="0" xfId="0" applyNumberFormat="1" applyFont="1" applyFill="1" applyBorder="1" applyAlignment="1">
      <alignment horizontal="right"/>
    </xf>
    <xf numFmtId="169" fontId="27" fillId="0" borderId="0" xfId="0" applyNumberFormat="1" applyFont="1" applyFill="1" applyBorder="1" applyAlignment="1">
      <alignment horizontal="left"/>
    </xf>
    <xf numFmtId="0" fontId="26" fillId="0" borderId="0" xfId="0" applyFont="1" applyFill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/>
    <xf numFmtId="169" fontId="28" fillId="0" borderId="0" xfId="0" applyNumberFormat="1" applyFont="1" applyFill="1" applyAlignment="1">
      <alignment horizontal="center"/>
    </xf>
    <xf numFmtId="169" fontId="3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70" fontId="5" fillId="0" borderId="0" xfId="0" applyNumberFormat="1" applyFont="1" applyFill="1" applyBorder="1"/>
    <xf numFmtId="170" fontId="5" fillId="0" borderId="0" xfId="0" applyNumberFormat="1" applyFont="1" applyFill="1"/>
    <xf numFmtId="170" fontId="5" fillId="0" borderId="0" xfId="0" applyNumberFormat="1" applyFont="1" applyFill="1" applyBorder="1"/>
    <xf numFmtId="170" fontId="23" fillId="0" borderId="0" xfId="0" applyNumberFormat="1" applyFont="1" applyFill="1" applyBorder="1"/>
    <xf numFmtId="0" fontId="12" fillId="0" borderId="0" xfId="0" applyFont="1" applyFill="1" applyAlignment="1">
      <alignment wrapText="1"/>
    </xf>
    <xf numFmtId="0" fontId="12" fillId="0" borderId="0" xfId="0" applyFont="1" applyBorder="1"/>
    <xf numFmtId="0" fontId="12" fillId="0" borderId="0" xfId="0" applyFont="1" applyFill="1" applyAlignment="1"/>
    <xf numFmtId="170" fontId="12" fillId="0" borderId="0" xfId="0" applyNumberFormat="1" applyFont="1" applyFill="1"/>
    <xf numFmtId="169" fontId="5" fillId="0" borderId="0" xfId="0" applyNumberFormat="1" applyFont="1" applyFill="1"/>
    <xf numFmtId="169" fontId="12" fillId="0" borderId="0" xfId="0" applyNumberFormat="1" applyFont="1" applyFill="1"/>
    <xf numFmtId="43" fontId="12" fillId="0" borderId="0" xfId="0" applyNumberFormat="1" applyFont="1" applyFill="1"/>
    <xf numFmtId="0" fontId="12" fillId="0" borderId="0" xfId="0" applyFont="1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164" fontId="33" fillId="0" borderId="24" xfId="0" applyNumberFormat="1" applyFont="1" applyFill="1" applyBorder="1" applyAlignment="1">
      <alignment horizontal="left"/>
    </xf>
    <xf numFmtId="0" fontId="34" fillId="0" borderId="4" xfId="0" applyFont="1" applyFill="1" applyBorder="1"/>
    <xf numFmtId="0" fontId="35" fillId="0" borderId="4" xfId="0" applyFont="1" applyFill="1" applyBorder="1"/>
    <xf numFmtId="0" fontId="12" fillId="0" borderId="14" xfId="0" applyFont="1" applyBorder="1"/>
    <xf numFmtId="0" fontId="35" fillId="0" borderId="25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4" fontId="37" fillId="0" borderId="23" xfId="0" applyNumberFormat="1" applyFont="1" applyFill="1" applyBorder="1" applyAlignment="1">
      <alignment horizontal="left"/>
    </xf>
    <xf numFmtId="0" fontId="34" fillId="0" borderId="1" xfId="0" applyFont="1" applyFill="1" applyBorder="1"/>
    <xf numFmtId="41" fontId="34" fillId="0" borderId="1" xfId="0" applyNumberFormat="1" applyFont="1" applyBorder="1"/>
    <xf numFmtId="166" fontId="34" fillId="0" borderId="1" xfId="0" applyNumberFormat="1" applyFont="1" applyFill="1" applyBorder="1"/>
    <xf numFmtId="41" fontId="34" fillId="0" borderId="17" xfId="0" applyNumberFormat="1" applyFont="1" applyBorder="1"/>
    <xf numFmtId="0" fontId="32" fillId="0" borderId="0" xfId="0" applyFont="1" applyFill="1" applyBorder="1" applyAlignment="1">
      <alignment horizontal="center"/>
    </xf>
    <xf numFmtId="164" fontId="37" fillId="0" borderId="16" xfId="0" applyNumberFormat="1" applyFont="1" applyFill="1" applyBorder="1" applyAlignment="1">
      <alignment horizontal="left"/>
    </xf>
    <xf numFmtId="0" fontId="34" fillId="0" borderId="0" xfId="0" applyFont="1" applyFill="1" applyBorder="1"/>
    <xf numFmtId="41" fontId="34" fillId="0" borderId="0" xfId="0" applyNumberFormat="1" applyFont="1" applyBorder="1"/>
    <xf numFmtId="166" fontId="34" fillId="0" borderId="0" xfId="0" applyNumberFormat="1" applyFont="1" applyFill="1" applyBorder="1"/>
    <xf numFmtId="0" fontId="34" fillId="0" borderId="0" xfId="0" applyFont="1" applyBorder="1"/>
    <xf numFmtId="41" fontId="34" fillId="0" borderId="11" xfId="0" applyNumberFormat="1" applyFont="1" applyBorder="1"/>
    <xf numFmtId="41" fontId="34" fillId="0" borderId="26" xfId="0" applyNumberFormat="1" applyFont="1" applyBorder="1"/>
    <xf numFmtId="0" fontId="32" fillId="0" borderId="0" xfId="0" applyFont="1" applyBorder="1"/>
    <xf numFmtId="164" fontId="37" fillId="0" borderId="18" xfId="0" applyNumberFormat="1" applyFont="1" applyFill="1" applyBorder="1" applyAlignment="1">
      <alignment horizontal="left"/>
    </xf>
    <xf numFmtId="0" fontId="34" fillId="0" borderId="5" xfId="0" applyFont="1" applyBorder="1"/>
    <xf numFmtId="41" fontId="34" fillId="0" borderId="5" xfId="0" applyNumberFormat="1" applyFont="1" applyBorder="1"/>
    <xf numFmtId="43" fontId="34" fillId="0" borderId="5" xfId="0" applyNumberFormat="1" applyFont="1" applyFill="1" applyBorder="1"/>
    <xf numFmtId="0" fontId="12" fillId="0" borderId="5" xfId="0" applyFont="1" applyBorder="1"/>
    <xf numFmtId="0" fontId="34" fillId="0" borderId="19" xfId="0" applyFont="1" applyBorder="1"/>
    <xf numFmtId="164" fontId="37" fillId="0" borderId="0" xfId="0" applyNumberFormat="1" applyFont="1" applyFill="1" applyBorder="1" applyAlignment="1">
      <alignment horizontal="left"/>
    </xf>
    <xf numFmtId="41" fontId="34" fillId="0" borderId="0" xfId="0" applyNumberFormat="1" applyFont="1"/>
    <xf numFmtId="43" fontId="34" fillId="0" borderId="0" xfId="0" applyNumberFormat="1" applyFont="1" applyFill="1" applyBorder="1"/>
    <xf numFmtId="0" fontId="7" fillId="0" borderId="4" xfId="0" applyFont="1" applyBorder="1"/>
    <xf numFmtId="41" fontId="7" fillId="0" borderId="4" xfId="0" applyNumberFormat="1" applyFont="1" applyBorder="1"/>
    <xf numFmtId="0" fontId="7" fillId="0" borderId="0" xfId="0" applyFont="1" applyBorder="1"/>
    <xf numFmtId="41" fontId="34" fillId="0" borderId="17" xfId="0" applyNumberFormat="1" applyFont="1" applyFill="1" applyBorder="1"/>
    <xf numFmtId="41" fontId="34" fillId="0" borderId="0" xfId="0" applyNumberFormat="1" applyFont="1" applyFill="1" applyBorder="1"/>
    <xf numFmtId="0" fontId="37" fillId="0" borderId="16" xfId="0" applyFont="1" applyBorder="1"/>
    <xf numFmtId="41" fontId="34" fillId="0" borderId="12" xfId="0" applyNumberFormat="1" applyFont="1" applyFill="1" applyBorder="1"/>
    <xf numFmtId="166" fontId="34" fillId="0" borderId="12" xfId="0" applyNumberFormat="1" applyFont="1" applyFill="1" applyBorder="1"/>
    <xf numFmtId="41" fontId="34" fillId="0" borderId="27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35" fillId="0" borderId="18" xfId="0" applyFont="1" applyBorder="1"/>
    <xf numFmtId="0" fontId="7" fillId="0" borderId="5" xfId="0" applyFont="1" applyBorder="1"/>
    <xf numFmtId="41" fontId="35" fillId="0" borderId="20" xfId="0" applyNumberFormat="1" applyFont="1" applyBorder="1"/>
    <xf numFmtId="0" fontId="38" fillId="0" borderId="28" xfId="0" applyFont="1" applyBorder="1"/>
    <xf numFmtId="166" fontId="34" fillId="0" borderId="29" xfId="0" applyNumberFormat="1" applyFont="1" applyBorder="1"/>
    <xf numFmtId="166" fontId="38" fillId="0" borderId="9" xfId="0" applyNumberFormat="1" applyFont="1" applyBorder="1"/>
    <xf numFmtId="166" fontId="34" fillId="0" borderId="30" xfId="0" applyNumberFormat="1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0" fontId="5" fillId="0" borderId="17" xfId="0" applyFont="1" applyBorder="1"/>
    <xf numFmtId="0" fontId="5" fillId="0" borderId="0" xfId="0" applyFont="1" applyBorder="1" applyAlignment="1">
      <alignment horizontal="center" wrapText="1"/>
    </xf>
    <xf numFmtId="0" fontId="11" fillId="0" borderId="18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0" quotePrefix="1" applyFont="1" applyFill="1" applyBorder="1" applyAlignment="1">
      <alignment horizontal="center" wrapText="1"/>
    </xf>
    <xf numFmtId="166" fontId="11" fillId="0" borderId="5" xfId="0" quotePrefix="1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1" fillId="0" borderId="19" xfId="0" quotePrefix="1" applyFont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quotePrefix="1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quotePrefix="1" applyFont="1" applyBorder="1" applyAlignment="1">
      <alignment horizontal="center" vertical="top" wrapText="1"/>
    </xf>
    <xf numFmtId="0" fontId="5" fillId="0" borderId="17" xfId="0" quotePrefix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wrapText="1"/>
    </xf>
    <xf numFmtId="166" fontId="5" fillId="0" borderId="0" xfId="0" applyNumberFormat="1" applyFont="1" applyBorder="1" applyAlignment="1">
      <alignment horizontal="center" wrapText="1"/>
    </xf>
    <xf numFmtId="0" fontId="5" fillId="0" borderId="0" xfId="0" quotePrefix="1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166" fontId="5" fillId="0" borderId="0" xfId="0" applyNumberFormat="1" applyFont="1" applyFill="1" applyBorder="1"/>
    <xf numFmtId="172" fontId="5" fillId="0" borderId="0" xfId="0" applyNumberFormat="1" applyFont="1" applyFill="1" applyBorder="1"/>
    <xf numFmtId="172" fontId="5" fillId="0" borderId="0" xfId="0" applyNumberFormat="1" applyFont="1" applyBorder="1"/>
    <xf numFmtId="172" fontId="5" fillId="0" borderId="0" xfId="0" applyNumberFormat="1" applyFont="1" applyBorder="1"/>
    <xf numFmtId="167" fontId="5" fillId="0" borderId="0" xfId="0" applyNumberFormat="1" applyFont="1" applyBorder="1"/>
    <xf numFmtId="179" fontId="5" fillId="0" borderId="17" xfId="0" applyNumberFormat="1" applyFont="1" applyBorder="1" applyAlignment="1">
      <alignment horizontal="center"/>
    </xf>
    <xf numFmtId="179" fontId="5" fillId="0" borderId="0" xfId="0" applyNumberFormat="1" applyFont="1" applyBorder="1"/>
    <xf numFmtId="167" fontId="5" fillId="0" borderId="0" xfId="0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Border="1" applyAlignment="1">
      <alignment horizontal="left" indent="1"/>
    </xf>
    <xf numFmtId="0" fontId="5" fillId="0" borderId="0" xfId="0" quotePrefix="1" applyFont="1" applyBorder="1" applyAlignment="1"/>
    <xf numFmtId="179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2" fillId="0" borderId="0" xfId="0" applyFont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0" fontId="12" fillId="0" borderId="0" xfId="0" applyFont="1" applyAlignment="1">
      <alignment horizontal="right"/>
    </xf>
    <xf numFmtId="166" fontId="5" fillId="0" borderId="0" xfId="0" applyNumberFormat="1" applyFont="1"/>
    <xf numFmtId="0" fontId="12" fillId="0" borderId="0" xfId="0" applyFont="1" applyFill="1" applyBorder="1" applyAlignment="1">
      <alignment horizontal="center" wrapText="1"/>
    </xf>
    <xf numFmtId="17" fontId="12" fillId="0" borderId="0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6" xfId="0" applyFont="1" applyFill="1" applyBorder="1"/>
    <xf numFmtId="0" fontId="12" fillId="0" borderId="1" xfId="0" applyFont="1" applyFill="1" applyBorder="1"/>
    <xf numFmtId="0" fontId="12" fillId="0" borderId="31" xfId="0" applyFont="1" applyFill="1" applyBorder="1"/>
    <xf numFmtId="0" fontId="12" fillId="0" borderId="3" xfId="0" applyFont="1" applyFill="1" applyBorder="1"/>
    <xf numFmtId="166" fontId="12" fillId="0" borderId="0" xfId="0" applyNumberFormat="1" applyFont="1" applyFill="1" applyBorder="1"/>
    <xf numFmtId="166" fontId="12" fillId="0" borderId="32" xfId="0" applyNumberFormat="1" applyFont="1" applyFill="1" applyBorder="1"/>
    <xf numFmtId="0" fontId="12" fillId="0" borderId="3" xfId="0" quotePrefix="1" applyFont="1" applyFill="1" applyBorder="1" applyAlignment="1">
      <alignment horizontal="left" indent="2"/>
    </xf>
    <xf numFmtId="167" fontId="5" fillId="0" borderId="0" xfId="0" applyNumberFormat="1" applyFont="1" applyFill="1" applyBorder="1"/>
    <xf numFmtId="167" fontId="5" fillId="0" borderId="32" xfId="0" applyNumberFormat="1" applyFont="1" applyFill="1" applyBorder="1"/>
    <xf numFmtId="0" fontId="12" fillId="0" borderId="3" xfId="0" applyFont="1" applyFill="1" applyBorder="1" applyAlignment="1">
      <alignment horizontal="left" indent="2"/>
    </xf>
    <xf numFmtId="0" fontId="12" fillId="0" borderId="29" xfId="0" applyFont="1" applyFill="1" applyBorder="1"/>
    <xf numFmtId="167" fontId="5" fillId="0" borderId="12" xfId="0" applyNumberFormat="1" applyFont="1" applyFill="1" applyBorder="1"/>
    <xf numFmtId="167" fontId="5" fillId="0" borderId="33" xfId="0" applyNumberFormat="1" applyFont="1" applyFill="1" applyBorder="1"/>
    <xf numFmtId="0" fontId="12" fillId="0" borderId="6" xfId="0" applyFont="1" applyFill="1" applyBorder="1" applyAlignment="1">
      <alignment horizontal="center" wrapText="1"/>
    </xf>
    <xf numFmtId="0" fontId="12" fillId="0" borderId="1" xfId="0" quotePrefix="1" applyFont="1" applyFill="1" applyBorder="1" applyAlignment="1">
      <alignment horizontal="center" wrapText="1"/>
    </xf>
    <xf numFmtId="17" fontId="12" fillId="0" borderId="6" xfId="0" applyNumberFormat="1" applyFont="1" applyFill="1" applyBorder="1" applyAlignment="1">
      <alignment horizontal="center" wrapText="1"/>
    </xf>
    <xf numFmtId="17" fontId="12" fillId="0" borderId="1" xfId="0" applyNumberFormat="1" applyFont="1" applyFill="1" applyBorder="1" applyAlignment="1">
      <alignment horizontal="center" wrapText="1"/>
    </xf>
    <xf numFmtId="17" fontId="12" fillId="0" borderId="31" xfId="0" applyNumberFormat="1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horizontal="left"/>
    </xf>
    <xf numFmtId="166" fontId="12" fillId="0" borderId="3" xfId="0" applyNumberFormat="1" applyFont="1" applyFill="1" applyBorder="1"/>
    <xf numFmtId="166" fontId="5" fillId="0" borderId="0" xfId="0" applyNumberFormat="1" applyFont="1" applyFill="1" applyBorder="1"/>
    <xf numFmtId="166" fontId="5" fillId="0" borderId="3" xfId="0" applyNumberFormat="1" applyFont="1" applyBorder="1"/>
    <xf numFmtId="166" fontId="5" fillId="0" borderId="0" xfId="0" applyNumberFormat="1" applyFont="1" applyBorder="1"/>
    <xf numFmtId="166" fontId="5" fillId="0" borderId="32" xfId="0" applyNumberFormat="1" applyFont="1" applyBorder="1"/>
    <xf numFmtId="0" fontId="12" fillId="0" borderId="32" xfId="0" applyFont="1" applyFill="1" applyBorder="1"/>
    <xf numFmtId="0" fontId="12" fillId="0" borderId="12" xfId="0" applyFont="1" applyFill="1" applyBorder="1"/>
    <xf numFmtId="0" fontId="12" fillId="0" borderId="33" xfId="0" applyFont="1" applyFill="1" applyBorder="1"/>
    <xf numFmtId="0" fontId="5" fillId="0" borderId="13" xfId="0" quotePrefix="1" applyFont="1" applyFill="1" applyBorder="1" applyAlignment="1">
      <alignment horizontal="left" wrapText="1"/>
    </xf>
    <xf numFmtId="0" fontId="12" fillId="0" borderId="14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quotePrefix="1" applyFont="1" applyFill="1" applyAlignment="1">
      <alignment horizontal="center" wrapText="1"/>
    </xf>
    <xf numFmtId="0" fontId="12" fillId="0" borderId="16" xfId="0" quotePrefix="1" applyFont="1" applyFill="1" applyBorder="1" applyAlignment="1">
      <alignment horizontal="left" indent="2"/>
    </xf>
    <xf numFmtId="168" fontId="0" fillId="7" borderId="13" xfId="0" applyNumberFormat="1" applyFont="1" applyFill="1" applyBorder="1"/>
    <xf numFmtId="168" fontId="0" fillId="7" borderId="14" xfId="0" applyNumberFormat="1" applyFont="1" applyFill="1" applyBorder="1"/>
    <xf numFmtId="168" fontId="0" fillId="0" borderId="0" xfId="0" applyNumberFormat="1" applyFont="1" applyFill="1" applyBorder="1"/>
    <xf numFmtId="0" fontId="12" fillId="0" borderId="16" xfId="0" applyFont="1" applyFill="1" applyBorder="1" applyAlignment="1">
      <alignment horizontal="left" indent="2"/>
    </xf>
    <xf numFmtId="168" fontId="0" fillId="7" borderId="16" xfId="0" applyNumberFormat="1" applyFont="1" applyFill="1" applyBorder="1"/>
    <xf numFmtId="168" fontId="0" fillId="7" borderId="0" xfId="0" applyNumberFormat="1" applyFont="1" applyFill="1" applyBorder="1"/>
    <xf numFmtId="0" fontId="12" fillId="0" borderId="18" xfId="0" applyFont="1" applyFill="1" applyBorder="1"/>
    <xf numFmtId="0" fontId="12" fillId="0" borderId="5" xfId="0" applyFont="1" applyFill="1" applyBorder="1"/>
    <xf numFmtId="0" fontId="12" fillId="0" borderId="19" xfId="0" applyFont="1" applyFill="1" applyBorder="1"/>
    <xf numFmtId="0" fontId="12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0" fontId="12" fillId="0" borderId="0" xfId="0" quotePrefix="1" applyFont="1" applyFill="1" applyBorder="1" applyAlignment="1">
      <alignment horizontal="left" indent="2"/>
    </xf>
    <xf numFmtId="0" fontId="12" fillId="0" borderId="0" xfId="0" applyFont="1" applyFill="1" applyBorder="1" applyAlignment="1">
      <alignment horizontal="left" indent="2"/>
    </xf>
    <xf numFmtId="168" fontId="12" fillId="0" borderId="0" xfId="0" applyNumberFormat="1" applyFont="1"/>
    <xf numFmtId="168" fontId="0" fillId="8" borderId="15" xfId="0" applyNumberFormat="1" applyFont="1" applyFill="1" applyBorder="1"/>
    <xf numFmtId="168" fontId="0" fillId="8" borderId="17" xfId="0" applyNumberFormat="1" applyFont="1" applyFill="1" applyBorder="1"/>
    <xf numFmtId="168" fontId="4" fillId="0" borderId="0" xfId="0" applyNumberFormat="1" applyFont="1" applyFill="1" applyAlignment="1"/>
    <xf numFmtId="168" fontId="4" fillId="7" borderId="0" xfId="0" applyNumberFormat="1" applyFont="1" applyFill="1" applyAlignment="1"/>
    <xf numFmtId="0" fontId="39" fillId="0" borderId="0" xfId="0" applyFont="1" applyFill="1" applyAlignment="1">
      <alignment horizontal="left"/>
    </xf>
    <xf numFmtId="0" fontId="0" fillId="0" borderId="0" xfId="0" applyFill="1"/>
    <xf numFmtId="0" fontId="1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9" fillId="0" borderId="0" xfId="0" applyFont="1" applyFill="1"/>
    <xf numFmtId="0" fontId="14" fillId="0" borderId="0" xfId="0" applyFont="1" applyFill="1" applyAlignment="1">
      <alignment horizontal="center"/>
    </xf>
    <xf numFmtId="43" fontId="5" fillId="0" borderId="0" xfId="0" applyNumberFormat="1" applyFont="1" applyFill="1"/>
    <xf numFmtId="0" fontId="20" fillId="0" borderId="0" xfId="0" applyFont="1" applyFill="1" applyAlignment="1">
      <alignment horizontal="right"/>
    </xf>
    <xf numFmtId="0" fontId="0" fillId="0" borderId="0" xfId="0" quotePrefix="1" applyFill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/>
    <xf numFmtId="43" fontId="0" fillId="0" borderId="0" xfId="0" applyNumberFormat="1" applyFill="1" applyAlignment="1">
      <alignment horizontal="center"/>
    </xf>
    <xf numFmtId="10" fontId="5" fillId="0" borderId="0" xfId="0" applyNumberFormat="1" applyFont="1" applyFill="1" applyAlignment="1">
      <alignment horizontal="right"/>
    </xf>
    <xf numFmtId="43" fontId="0" fillId="0" borderId="0" xfId="0" applyNumberFormat="1" applyFill="1" applyAlignment="1">
      <alignment horizontal="right"/>
    </xf>
    <xf numFmtId="43" fontId="23" fillId="0" borderId="0" xfId="0" applyNumberFormat="1" applyFont="1" applyFill="1" applyBorder="1" applyAlignment="1">
      <alignment horizontal="right"/>
    </xf>
    <xf numFmtId="167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>
      <alignment horizontal="left" vertical="center" indent="1"/>
    </xf>
    <xf numFmtId="39" fontId="5" fillId="0" borderId="0" xfId="0" applyNumberFormat="1" applyFont="1" applyFill="1" applyAlignment="1">
      <alignment vertical="center"/>
    </xf>
    <xf numFmtId="170" fontId="5" fillId="0" borderId="2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Border="1"/>
    <xf numFmtId="0" fontId="32" fillId="0" borderId="0" xfId="0" applyFont="1" applyFill="1" applyAlignment="1">
      <alignment horizontal="left"/>
    </xf>
    <xf numFmtId="169" fontId="26" fillId="0" borderId="0" xfId="0" applyNumberFormat="1" applyFont="1" applyFill="1" applyAlignment="1">
      <alignment horizontal="right"/>
    </xf>
    <xf numFmtId="169" fontId="26" fillId="0" borderId="0" xfId="0" applyNumberFormat="1" applyFont="1" applyFill="1" applyBorder="1" applyAlignment="1">
      <alignment horizontal="left"/>
    </xf>
    <xf numFmtId="169" fontId="27" fillId="0" borderId="0" xfId="0" applyNumberFormat="1" applyFont="1" applyFill="1" applyBorder="1" applyAlignment="1">
      <alignment horizontal="left"/>
    </xf>
    <xf numFmtId="0" fontId="26" fillId="0" borderId="0" xfId="0" applyFont="1" applyFill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169" fontId="3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0" xfId="0" applyFont="1" applyFill="1" applyAlignment="1"/>
    <xf numFmtId="170" fontId="5" fillId="0" borderId="0" xfId="0" applyNumberFormat="1" applyFont="1" applyFill="1"/>
    <xf numFmtId="169" fontId="5" fillId="0" borderId="0" xfId="0" applyNumberFormat="1" applyFont="1" applyFill="1"/>
    <xf numFmtId="43" fontId="5" fillId="0" borderId="0" xfId="0" applyNumberFormat="1" applyFont="1" applyFill="1"/>
    <xf numFmtId="0" fontId="5" fillId="0" borderId="1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0" fontId="5" fillId="0" borderId="17" xfId="0" applyFont="1" applyBorder="1"/>
    <xf numFmtId="0" fontId="11" fillId="0" borderId="18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0" quotePrefix="1" applyFont="1" applyFill="1" applyBorder="1" applyAlignment="1">
      <alignment horizontal="center" wrapText="1"/>
    </xf>
    <xf numFmtId="166" fontId="11" fillId="0" borderId="5" xfId="0" quotePrefix="1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1" fillId="0" borderId="19" xfId="0" quotePrefix="1" applyFont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quotePrefix="1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quotePrefix="1" applyFont="1" applyBorder="1" applyAlignment="1">
      <alignment horizontal="center" vertical="top" wrapText="1"/>
    </xf>
    <xf numFmtId="0" fontId="5" fillId="0" borderId="17" xfId="0" quotePrefix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66" fontId="5" fillId="0" borderId="0" xfId="0" applyNumberFormat="1" applyFont="1" applyBorder="1" applyAlignment="1">
      <alignment horizontal="center" wrapText="1"/>
    </xf>
    <xf numFmtId="0" fontId="5" fillId="0" borderId="0" xfId="0" quotePrefix="1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166" fontId="5" fillId="0" borderId="0" xfId="0" applyNumberFormat="1" applyFont="1" applyFill="1" applyBorder="1"/>
    <xf numFmtId="172" fontId="5" fillId="0" borderId="0" xfId="0" applyNumberFormat="1" applyFont="1" applyFill="1" applyBorder="1"/>
    <xf numFmtId="172" fontId="5" fillId="0" borderId="0" xfId="0" applyNumberFormat="1" applyFont="1" applyBorder="1"/>
    <xf numFmtId="167" fontId="5" fillId="0" borderId="0" xfId="0" applyNumberFormat="1" applyFont="1" applyBorder="1"/>
    <xf numFmtId="168" fontId="5" fillId="0" borderId="17" xfId="0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79" fontId="5" fillId="0" borderId="17" xfId="0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left" indent="1"/>
    </xf>
    <xf numFmtId="0" fontId="5" fillId="0" borderId="0" xfId="0" quotePrefix="1" applyFont="1" applyBorder="1" applyAlignment="1">
      <alignment horizontal="center"/>
    </xf>
    <xf numFmtId="0" fontId="5" fillId="0" borderId="0" xfId="0" quotePrefix="1" applyFont="1" applyBorder="1" applyAlignment="1"/>
    <xf numFmtId="0" fontId="5" fillId="0" borderId="17" xfId="0" applyFont="1" applyBorder="1" applyAlignment="1">
      <alignment horizontal="center"/>
    </xf>
    <xf numFmtId="168" fontId="4" fillId="9" borderId="0" xfId="0" applyNumberFormat="1" applyFont="1" applyFill="1" applyAlignment="1"/>
    <xf numFmtId="0" fontId="12" fillId="0" borderId="3" xfId="0" quotePrefix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0" fontId="40" fillId="10" borderId="35" xfId="0" applyNumberFormat="1" applyFont="1" applyFill="1" applyBorder="1" applyAlignment="1">
      <alignment horizontal="centerContinuous"/>
    </xf>
    <xf numFmtId="0" fontId="40" fillId="10" borderId="36" xfId="0" applyNumberFormat="1" applyFont="1" applyFill="1" applyBorder="1" applyAlignment="1">
      <alignment horizontal="centerContinuous"/>
    </xf>
    <xf numFmtId="0" fontId="40" fillId="10" borderId="37" xfId="0" applyNumberFormat="1" applyFont="1" applyFill="1" applyBorder="1" applyAlignment="1">
      <alignment horizontal="centerContinuous"/>
    </xf>
    <xf numFmtId="0" fontId="5" fillId="10" borderId="35" xfId="0" applyNumberFormat="1" applyFont="1" applyFill="1" applyBorder="1" applyAlignment="1"/>
    <xf numFmtId="0" fontId="5" fillId="10" borderId="36" xfId="0" applyNumberFormat="1" applyFont="1" applyFill="1" applyBorder="1" applyAlignment="1"/>
    <xf numFmtId="0" fontId="5" fillId="10" borderId="37" xfId="0" applyNumberFormat="1" applyFont="1" applyFill="1" applyBorder="1" applyAlignment="1"/>
    <xf numFmtId="0" fontId="1" fillId="0" borderId="0" xfId="0" applyNumberFormat="1" applyFont="1" applyAlignment="1"/>
    <xf numFmtId="164" fontId="41" fillId="0" borderId="0" xfId="0" applyNumberFormat="1" applyFont="1" applyFill="1" applyAlignment="1">
      <alignment horizontal="left"/>
    </xf>
    <xf numFmtId="0" fontId="40" fillId="10" borderId="38" xfId="0" applyNumberFormat="1" applyFont="1" applyFill="1" applyBorder="1" applyAlignment="1">
      <alignment horizontal="centerContinuous"/>
    </xf>
    <xf numFmtId="0" fontId="11" fillId="10" borderId="39" xfId="0" applyNumberFormat="1" applyFont="1" applyFill="1" applyBorder="1" applyAlignment="1">
      <alignment horizontal="centerContinuous"/>
    </xf>
    <xf numFmtId="0" fontId="11" fillId="10" borderId="40" xfId="0" applyNumberFormat="1" applyFont="1" applyFill="1" applyBorder="1" applyAlignment="1">
      <alignment horizontal="centerContinuous"/>
    </xf>
    <xf numFmtId="0" fontId="40" fillId="10" borderId="41" xfId="0" applyNumberFormat="1" applyFont="1" applyFill="1" applyBorder="1" applyAlignment="1">
      <alignment horizontal="centerContinuous"/>
    </xf>
    <xf numFmtId="0" fontId="5" fillId="10" borderId="0" xfId="0" quotePrefix="1" applyNumberFormat="1" applyFont="1" applyFill="1" applyBorder="1" applyAlignment="1">
      <alignment horizontal="centerContinuous"/>
    </xf>
    <xf numFmtId="0" fontId="5" fillId="10" borderId="42" xfId="0" quotePrefix="1" applyNumberFormat="1" applyFont="1" applyFill="1" applyBorder="1" applyAlignment="1">
      <alignment horizontal="centerContinuous"/>
    </xf>
    <xf numFmtId="0" fontId="19" fillId="0" borderId="0" xfId="0" applyNumberFormat="1" applyFont="1" applyFill="1" applyAlignment="1"/>
    <xf numFmtId="0" fontId="40" fillId="10" borderId="43" xfId="0" applyNumberFormat="1" applyFont="1" applyFill="1" applyBorder="1" applyAlignment="1">
      <alignment horizontal="centerContinuous" vertical="center"/>
    </xf>
    <xf numFmtId="0" fontId="11" fillId="10" borderId="44" xfId="0" applyNumberFormat="1" applyFont="1" applyFill="1" applyBorder="1" applyAlignment="1">
      <alignment horizontal="centerContinuous" vertical="center"/>
    </xf>
    <xf numFmtId="0" fontId="11" fillId="10" borderId="45" xfId="0" applyNumberFormat="1" applyFont="1" applyFill="1" applyBorder="1" applyAlignment="1">
      <alignment horizontal="centerContinuous" vertical="center"/>
    </xf>
    <xf numFmtId="0" fontId="40" fillId="10" borderId="43" xfId="0" applyNumberFormat="1" applyFont="1" applyFill="1" applyBorder="1" applyAlignment="1"/>
    <xf numFmtId="0" fontId="5" fillId="10" borderId="44" xfId="0" quotePrefix="1" applyNumberFormat="1" applyFont="1" applyFill="1" applyBorder="1" applyAlignment="1"/>
    <xf numFmtId="0" fontId="5" fillId="10" borderId="45" xfId="0" quotePrefix="1" applyNumberFormat="1" applyFont="1" applyFill="1" applyBorder="1" applyAlignment="1"/>
    <xf numFmtId="0" fontId="11" fillId="0" borderId="0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0" xfId="0" quotePrefix="1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centerContinuous"/>
    </xf>
    <xf numFmtId="0" fontId="11" fillId="10" borderId="0" xfId="0" applyNumberFormat="1" applyFont="1" applyFill="1" applyBorder="1" applyAlignment="1">
      <alignment horizontal="centerContinuous"/>
    </xf>
    <xf numFmtId="0" fontId="19" fillId="1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left"/>
    </xf>
    <xf numFmtId="0" fontId="16" fillId="0" borderId="0" xfId="0" applyNumberFormat="1" applyFont="1" applyAlignment="1"/>
    <xf numFmtId="0" fontId="38" fillId="0" borderId="0" xfId="0" applyNumberFormat="1" applyFont="1" applyAlignment="1">
      <alignment horizontal="center"/>
    </xf>
    <xf numFmtId="167" fontId="5" fillId="10" borderId="0" xfId="0" applyNumberFormat="1" applyFont="1" applyFill="1" applyBorder="1" applyAlignment="1"/>
    <xf numFmtId="0" fontId="5" fillId="10" borderId="0" xfId="0" applyNumberFormat="1" applyFont="1" applyFill="1" applyAlignment="1">
      <alignment horizontal="left"/>
    </xf>
    <xf numFmtId="0" fontId="9" fillId="0" borderId="0" xfId="0" applyNumberFormat="1" applyFont="1" applyAlignment="1">
      <alignment horizontal="center"/>
    </xf>
    <xf numFmtId="166" fontId="5" fillId="10" borderId="0" xfId="0" applyNumberFormat="1" applyFont="1" applyFill="1" applyAlignment="1">
      <alignment horizontal="right"/>
    </xf>
    <xf numFmtId="166" fontId="5" fillId="10" borderId="0" xfId="0" applyNumberFormat="1" applyFont="1" applyFill="1" applyBorder="1" applyAlignment="1">
      <alignment horizontal="right"/>
    </xf>
    <xf numFmtId="0" fontId="5" fillId="10" borderId="0" xfId="0" applyNumberFormat="1" applyFont="1" applyFill="1" applyAlignment="1">
      <alignment horizontal="center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>
      <alignment horizontal="center"/>
    </xf>
    <xf numFmtId="167" fontId="5" fillId="10" borderId="1" xfId="0" applyNumberFormat="1" applyFont="1" applyFill="1" applyBorder="1" applyAlignment="1">
      <alignment horizontal="right"/>
    </xf>
    <xf numFmtId="0" fontId="5" fillId="10" borderId="0" xfId="0" applyNumberFormat="1" applyFont="1" applyFill="1" applyAlignment="1"/>
    <xf numFmtId="43" fontId="16" fillId="0" borderId="0" xfId="0" applyNumberFormat="1" applyFont="1" applyFill="1" applyAlignment="1">
      <alignment horizontal="right"/>
    </xf>
    <xf numFmtId="10" fontId="16" fillId="10" borderId="0" xfId="0" applyNumberFormat="1" applyFont="1" applyFill="1" applyAlignment="1"/>
    <xf numFmtId="0" fontId="11" fillId="10" borderId="0" xfId="0" applyNumberFormat="1" applyFont="1" applyFill="1" applyAlignment="1">
      <alignment horizontal="center"/>
    </xf>
    <xf numFmtId="16" fontId="17" fillId="0" borderId="0" xfId="0" quotePrefix="1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left"/>
    </xf>
    <xf numFmtId="17" fontId="11" fillId="0" borderId="13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167" fontId="5" fillId="10" borderId="0" xfId="0" applyNumberFormat="1" applyFont="1" applyFill="1" applyAlignment="1">
      <alignment horizontal="left"/>
    </xf>
    <xf numFmtId="0" fontId="11" fillId="10" borderId="12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>
      <alignment horizontal="left"/>
    </xf>
    <xf numFmtId="17" fontId="11" fillId="0" borderId="46" xfId="0" quotePrefix="1" applyNumberFormat="1" applyFont="1" applyFill="1" applyBorder="1" applyAlignment="1">
      <alignment horizontal="center"/>
    </xf>
    <xf numFmtId="0" fontId="11" fillId="0" borderId="27" xfId="0" applyNumberFormat="1" applyFont="1" applyFill="1" applyBorder="1" applyAlignment="1">
      <alignment horizontal="center"/>
    </xf>
    <xf numFmtId="167" fontId="11" fillId="0" borderId="0" xfId="0" applyNumberFormat="1" applyFont="1" applyFill="1" applyAlignment="1">
      <alignment horizontal="left"/>
    </xf>
    <xf numFmtId="166" fontId="11" fillId="0" borderId="12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43" fontId="5" fillId="10" borderId="0" xfId="0" applyNumberFormat="1" applyFont="1" applyFill="1" applyAlignment="1">
      <alignment horizontal="left"/>
    </xf>
    <xf numFmtId="167" fontId="11" fillId="10" borderId="12" xfId="0" applyNumberFormat="1" applyFont="1" applyFill="1" applyBorder="1" applyAlignment="1">
      <alignment horizontal="left"/>
    </xf>
    <xf numFmtId="166" fontId="11" fillId="10" borderId="12" xfId="0" applyNumberFormat="1" applyFont="1" applyFill="1" applyBorder="1" applyAlignment="1">
      <alignment horizontal="center"/>
    </xf>
    <xf numFmtId="0" fontId="17" fillId="0" borderId="16" xfId="0" applyNumberFormat="1" applyFont="1" applyBorder="1" applyAlignment="1">
      <alignment horizontal="center"/>
    </xf>
    <xf numFmtId="0" fontId="11" fillId="0" borderId="17" xfId="0" applyNumberFormat="1" applyFont="1" applyFill="1" applyBorder="1" applyAlignment="1">
      <alignment horizontal="center"/>
    </xf>
    <xf numFmtId="0" fontId="11" fillId="0" borderId="23" xfId="0" applyNumberFormat="1" applyFont="1" applyFill="1" applyBorder="1" applyAlignment="1">
      <alignment horizontal="center"/>
    </xf>
    <xf numFmtId="166" fontId="17" fillId="0" borderId="0" xfId="0" applyNumberFormat="1" applyFont="1" applyFill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0" fontId="11" fillId="10" borderId="1" xfId="0" applyNumberFormat="1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10" borderId="0" xfId="0" applyNumberFormat="1" applyFont="1" applyFill="1" applyBorder="1" applyAlignment="1">
      <alignment horizontal="left"/>
    </xf>
    <xf numFmtId="166" fontId="11" fillId="10" borderId="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7" fontId="5" fillId="0" borderId="16" xfId="0" applyNumberFormat="1" applyFont="1" applyFill="1" applyBorder="1" applyAlignment="1"/>
    <xf numFmtId="180" fontId="5" fillId="0" borderId="17" xfId="0" applyNumberFormat="1" applyFont="1" applyFill="1" applyBorder="1" applyAlignment="1"/>
    <xf numFmtId="166" fontId="11" fillId="0" borderId="0" xfId="0" applyNumberFormat="1" applyFont="1" applyFill="1" applyAlignment="1">
      <alignment horizontal="center"/>
    </xf>
    <xf numFmtId="166" fontId="16" fillId="0" borderId="0" xfId="0" applyNumberFormat="1" applyFont="1" applyFill="1" applyAlignment="1"/>
    <xf numFmtId="180" fontId="5" fillId="10" borderId="0" xfId="0" applyNumberFormat="1" applyFont="1" applyFill="1" applyBorder="1" applyAlignment="1"/>
    <xf numFmtId="166" fontId="11" fillId="10" borderId="0" xfId="0" applyNumberFormat="1" applyFont="1" applyFill="1" applyAlignment="1">
      <alignment horizontal="center"/>
    </xf>
    <xf numFmtId="167" fontId="0" fillId="0" borderId="0" xfId="0" applyNumberFormat="1"/>
    <xf numFmtId="166" fontId="5" fillId="0" borderId="16" xfId="0" applyNumberFormat="1" applyFont="1" applyFill="1" applyBorder="1" applyAlignment="1">
      <alignment horizontal="right"/>
    </xf>
    <xf numFmtId="166" fontId="5" fillId="0" borderId="16" xfId="0" applyNumberFormat="1" applyFont="1" applyFill="1" applyBorder="1" applyAlignment="1"/>
    <xf numFmtId="166" fontId="5" fillId="1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indent="1"/>
    </xf>
    <xf numFmtId="0" fontId="1" fillId="0" borderId="16" xfId="0" applyNumberFormat="1" applyFont="1" applyBorder="1" applyAlignment="1"/>
    <xf numFmtId="180" fontId="1" fillId="0" borderId="17" xfId="0" applyNumberFormat="1" applyFont="1" applyBorder="1" applyAlignment="1"/>
    <xf numFmtId="0" fontId="1" fillId="0" borderId="0" xfId="0" applyNumberFormat="1" applyFont="1" applyFill="1" applyAlignment="1"/>
    <xf numFmtId="0" fontId="5" fillId="0" borderId="0" xfId="0" applyNumberFormat="1" applyFont="1" applyFill="1" applyAlignment="1">
      <alignment horizontal="center" vertical="top"/>
    </xf>
    <xf numFmtId="0" fontId="5" fillId="0" borderId="0" xfId="0" applyNumberFormat="1" applyFont="1" applyFill="1" applyAlignment="1">
      <alignment vertical="top"/>
    </xf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 vertical="center" indent="1"/>
    </xf>
    <xf numFmtId="167" fontId="5" fillId="0" borderId="47" xfId="0" applyNumberFormat="1" applyFont="1" applyFill="1" applyBorder="1" applyAlignment="1"/>
    <xf numFmtId="170" fontId="16" fillId="5" borderId="48" xfId="0" applyNumberFormat="1" applyFont="1" applyFill="1" applyBorder="1" applyAlignment="1"/>
    <xf numFmtId="170" fontId="16" fillId="0" borderId="1" xfId="0" applyNumberFormat="1" applyFont="1" applyFill="1" applyBorder="1" applyAlignment="1"/>
    <xf numFmtId="167" fontId="5" fillId="0" borderId="1" xfId="0" applyNumberFormat="1" applyFont="1" applyFill="1" applyBorder="1" applyAlignment="1"/>
    <xf numFmtId="167" fontId="5" fillId="10" borderId="1" xfId="0" applyNumberFormat="1" applyFont="1" applyFill="1" applyBorder="1" applyAlignment="1"/>
    <xf numFmtId="170" fontId="5" fillId="10" borderId="1" xfId="0" applyNumberFormat="1" applyFont="1" applyFill="1" applyBorder="1" applyAlignment="1"/>
    <xf numFmtId="0" fontId="38" fillId="0" borderId="0" xfId="0" applyFont="1"/>
    <xf numFmtId="44" fontId="1" fillId="0" borderId="0" xfId="0" applyNumberFormat="1" applyFont="1" applyAlignment="1"/>
    <xf numFmtId="177" fontId="5" fillId="0" borderId="0" xfId="0" applyNumberFormat="1" applyFont="1" applyFill="1" applyAlignment="1">
      <alignment horizontal="right"/>
    </xf>
    <xf numFmtId="177" fontId="16" fillId="0" borderId="0" xfId="0" applyNumberFormat="1" applyFont="1" applyAlignment="1"/>
    <xf numFmtId="177" fontId="16" fillId="0" borderId="0" xfId="0" applyNumberFormat="1" applyFont="1" applyFill="1" applyAlignment="1"/>
    <xf numFmtId="44" fontId="38" fillId="0" borderId="0" xfId="0" applyNumberFormat="1" applyFont="1" applyFill="1" applyBorder="1" applyAlignment="1"/>
    <xf numFmtId="43" fontId="1" fillId="0" borderId="0" xfId="0" applyNumberFormat="1" applyFont="1" applyAlignment="1"/>
    <xf numFmtId="170" fontId="16" fillId="0" borderId="1" xfId="0" applyNumberFormat="1" applyFont="1" applyBorder="1" applyAlignment="1"/>
    <xf numFmtId="166" fontId="5" fillId="0" borderId="0" xfId="0" applyNumberFormat="1" applyFont="1" applyFill="1" applyBorder="1" applyAlignment="1"/>
    <xf numFmtId="0" fontId="32" fillId="0" borderId="0" xfId="0" applyNumberFormat="1" applyFont="1" applyFill="1" applyAlignment="1">
      <alignment horizontal="left"/>
    </xf>
    <xf numFmtId="44" fontId="16" fillId="0" borderId="0" xfId="0" applyNumberFormat="1" applyFont="1" applyAlignment="1"/>
    <xf numFmtId="0" fontId="16" fillId="0" borderId="0" xfId="0" applyNumberFormat="1" applyFont="1" applyAlignment="1">
      <alignment horizontal="center" wrapText="1"/>
    </xf>
    <xf numFmtId="0" fontId="16" fillId="0" borderId="0" xfId="0" applyNumberFormat="1" applyFont="1" applyFill="1" applyAlignment="1">
      <alignment horizontal="center" wrapText="1"/>
    </xf>
    <xf numFmtId="0" fontId="42" fillId="0" borderId="0" xfId="0" applyNumberFormat="1" applyFont="1" applyAlignment="1"/>
    <xf numFmtId="0" fontId="42" fillId="0" borderId="0" xfId="0" applyNumberFormat="1" applyFont="1" applyFill="1" applyAlignment="1"/>
    <xf numFmtId="167" fontId="42" fillId="0" borderId="0" xfId="0" applyNumberFormat="1" applyFont="1" applyAlignment="1"/>
    <xf numFmtId="170" fontId="16" fillId="0" borderId="0" xfId="0" applyNumberFormat="1" applyFont="1" applyFill="1" applyBorder="1" applyAlignment="1"/>
    <xf numFmtId="170" fontId="16" fillId="0" borderId="0" xfId="0" applyNumberFormat="1" applyFont="1" applyBorder="1" applyAlignment="1"/>
    <xf numFmtId="170" fontId="16" fillId="5" borderId="20" xfId="0" applyNumberFormat="1" applyFont="1" applyFill="1" applyBorder="1" applyAlignment="1"/>
    <xf numFmtId="164" fontId="32" fillId="0" borderId="0" xfId="0" applyNumberFormat="1" applyFont="1" applyFill="1" applyBorder="1" applyAlignment="1">
      <alignment horizontal="left"/>
    </xf>
    <xf numFmtId="0" fontId="32" fillId="0" borderId="0" xfId="0" applyNumberFormat="1" applyFont="1" applyFill="1" applyBorder="1" applyAlignment="1"/>
    <xf numFmtId="0" fontId="34" fillId="0" borderId="0" xfId="0" applyNumberFormat="1" applyFont="1" applyFill="1" applyBorder="1" applyAlignment="1">
      <alignment horizontal="center"/>
    </xf>
    <xf numFmtId="164" fontId="35" fillId="0" borderId="13" xfId="0" applyNumberFormat="1" applyFont="1" applyFill="1" applyBorder="1" applyAlignment="1">
      <alignment horizontal="left"/>
    </xf>
    <xf numFmtId="164" fontId="35" fillId="0" borderId="14" xfId="0" applyNumberFormat="1" applyFont="1" applyFill="1" applyBorder="1" applyAlignment="1">
      <alignment horizontal="left"/>
    </xf>
    <xf numFmtId="0" fontId="35" fillId="0" borderId="14" xfId="0" applyNumberFormat="1" applyFont="1" applyFill="1" applyBorder="1" applyAlignment="1"/>
    <xf numFmtId="0" fontId="35" fillId="0" borderId="14" xfId="0" applyNumberFormat="1" applyFont="1" applyFill="1" applyBorder="1" applyAlignment="1">
      <alignment horizontal="center"/>
    </xf>
    <xf numFmtId="175" fontId="35" fillId="0" borderId="15" xfId="0" applyNumberFormat="1" applyFont="1" applyFill="1" applyBorder="1" applyAlignment="1"/>
    <xf numFmtId="164" fontId="34" fillId="0" borderId="23" xfId="0" applyNumberFormat="1" applyFont="1" applyFill="1" applyBorder="1" applyAlignment="1">
      <alignment horizontal="left"/>
    </xf>
    <xf numFmtId="164" fontId="34" fillId="0" borderId="1" xfId="0" applyNumberFormat="1" applyFont="1" applyFill="1" applyBorder="1" applyAlignment="1">
      <alignment horizontal="left"/>
    </xf>
    <xf numFmtId="0" fontId="34" fillId="0" borderId="1" xfId="0" applyNumberFormat="1" applyFont="1" applyFill="1" applyBorder="1" applyAlignment="1">
      <alignment horizontal="center"/>
    </xf>
    <xf numFmtId="41" fontId="34" fillId="0" borderId="1" xfId="0" applyNumberFormat="1" applyFont="1" applyFill="1" applyBorder="1" applyAlignment="1"/>
    <xf numFmtId="166" fontId="34" fillId="0" borderId="22" xfId="0" applyNumberFormat="1" applyFont="1" applyFill="1" applyBorder="1" applyAlignment="1"/>
    <xf numFmtId="41" fontId="1" fillId="0" borderId="0" xfId="0" applyNumberFormat="1" applyFont="1" applyAlignment="1"/>
    <xf numFmtId="164" fontId="34" fillId="0" borderId="16" xfId="0" applyNumberFormat="1" applyFont="1" applyFill="1" applyBorder="1" applyAlignment="1">
      <alignment horizontal="left"/>
    </xf>
    <xf numFmtId="164" fontId="34" fillId="0" borderId="0" xfId="0" applyNumberFormat="1" applyFont="1" applyFill="1" applyBorder="1" applyAlignment="1">
      <alignment horizontal="left"/>
    </xf>
    <xf numFmtId="41" fontId="34" fillId="0" borderId="0" xfId="0" applyNumberFormat="1" applyFont="1" applyFill="1" applyBorder="1" applyAlignment="1"/>
    <xf numFmtId="166" fontId="34" fillId="0" borderId="17" xfId="0" applyNumberFormat="1" applyFont="1" applyFill="1" applyBorder="1" applyAlignment="1"/>
    <xf numFmtId="166" fontId="34" fillId="0" borderId="27" xfId="0" applyNumberFormat="1" applyFont="1" applyFill="1" applyBorder="1" applyAlignment="1"/>
    <xf numFmtId="0" fontId="34" fillId="0" borderId="0" xfId="0" applyNumberFormat="1" applyFont="1" applyFill="1" applyBorder="1" applyAlignment="1"/>
    <xf numFmtId="41" fontId="34" fillId="0" borderId="8" xfId="0" applyNumberFormat="1" applyFont="1" applyFill="1" applyBorder="1" applyAlignment="1"/>
    <xf numFmtId="41" fontId="34" fillId="0" borderId="49" xfId="0" applyNumberFormat="1" applyFont="1" applyFill="1" applyBorder="1" applyAlignment="1"/>
    <xf numFmtId="164" fontId="34" fillId="0" borderId="18" xfId="0" applyNumberFormat="1" applyFont="1" applyFill="1" applyBorder="1" applyAlignment="1">
      <alignment horizontal="left"/>
    </xf>
    <xf numFmtId="164" fontId="34" fillId="0" borderId="5" xfId="0" applyNumberFormat="1" applyFont="1" applyFill="1" applyBorder="1" applyAlignment="1">
      <alignment horizontal="left"/>
    </xf>
    <xf numFmtId="0" fontId="38" fillId="0" borderId="5" xfId="0" applyNumberFormat="1" applyFont="1" applyBorder="1" applyAlignment="1">
      <alignment horizontal="right"/>
    </xf>
    <xf numFmtId="41" fontId="38" fillId="0" borderId="5" xfId="0" applyNumberFormat="1" applyFont="1" applyBorder="1" applyAlignment="1"/>
    <xf numFmtId="10" fontId="38" fillId="0" borderId="19" xfId="0" applyNumberFormat="1" applyFont="1" applyBorder="1" applyAlignment="1"/>
    <xf numFmtId="41" fontId="34" fillId="0" borderId="0" xfId="0" applyNumberFormat="1" applyFont="1" applyFill="1" applyAlignment="1"/>
    <xf numFmtId="43" fontId="34" fillId="0" borderId="0" xfId="0" applyNumberFormat="1" applyFont="1" applyFill="1" applyBorder="1" applyAlignment="1"/>
    <xf numFmtId="0" fontId="7" fillId="0" borderId="14" xfId="0" applyNumberFormat="1" applyFont="1" applyFill="1" applyBorder="1" applyAlignment="1"/>
    <xf numFmtId="41" fontId="34" fillId="0" borderId="17" xfId="0" applyNumberFormat="1" applyFont="1" applyFill="1" applyBorder="1" applyAlignment="1"/>
    <xf numFmtId="0" fontId="34" fillId="0" borderId="16" xfId="0" applyFont="1" applyFill="1" applyBorder="1"/>
    <xf numFmtId="0" fontId="34" fillId="0" borderId="0" xfId="0" applyFont="1" applyFill="1" applyBorder="1"/>
    <xf numFmtId="41" fontId="34" fillId="0" borderId="27" xfId="0" applyNumberFormat="1" applyFont="1" applyFill="1" applyBorder="1" applyAlignment="1"/>
    <xf numFmtId="0" fontId="7" fillId="0" borderId="0" xfId="0" applyNumberFormat="1" applyFont="1" applyFill="1" applyBorder="1" applyAlignment="1"/>
    <xf numFmtId="41" fontId="34" fillId="0" borderId="12" xfId="0" applyNumberFormat="1" applyFont="1" applyFill="1" applyBorder="1" applyAlignment="1"/>
    <xf numFmtId="0" fontId="7" fillId="0" borderId="18" xfId="0" applyNumberFormat="1" applyFont="1" applyBorder="1" applyAlignment="1"/>
    <xf numFmtId="0" fontId="7" fillId="0" borderId="5" xfId="0" applyNumberFormat="1" applyFont="1" applyBorder="1" applyAlignment="1"/>
    <xf numFmtId="0" fontId="3" fillId="0" borderId="0" xfId="0" applyNumberFormat="1" applyFont="1" applyAlignment="1"/>
    <xf numFmtId="0" fontId="34" fillId="0" borderId="0" xfId="0" applyNumberFormat="1" applyFont="1" applyBorder="1" applyAlignment="1"/>
    <xf numFmtId="0" fontId="5" fillId="0" borderId="0" xfId="0" applyNumberFormat="1" applyFont="1" applyBorder="1" applyAlignment="1"/>
    <xf numFmtId="168" fontId="0" fillId="0" borderId="0" xfId="0" applyNumberFormat="1" applyFont="1"/>
    <xf numFmtId="0" fontId="12" fillId="0" borderId="3" xfId="0" quotePrefix="1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left"/>
    </xf>
    <xf numFmtId="0" fontId="0" fillId="2" borderId="0" xfId="0" applyNumberFormat="1" applyFill="1" applyAlignment="1"/>
    <xf numFmtId="0" fontId="11" fillId="2" borderId="12" xfId="0" applyNumberFormat="1" applyFont="1" applyFill="1" applyBorder="1" applyAlignment="1">
      <alignment horizontal="center" wrapText="1"/>
    </xf>
    <xf numFmtId="0" fontId="11" fillId="2" borderId="0" xfId="0" applyNumberFormat="1" applyFont="1" applyFill="1" applyAlignment="1">
      <alignment wrapText="1"/>
    </xf>
    <xf numFmtId="0" fontId="11" fillId="2" borderId="0" xfId="0" applyNumberFormat="1" applyFont="1" applyFill="1" applyAlignment="1">
      <alignment horizontal="center" wrapText="1"/>
    </xf>
    <xf numFmtId="167" fontId="17" fillId="0" borderId="0" xfId="0" quotePrefix="1" applyNumberFormat="1" applyFont="1" applyFill="1" applyAlignment="1">
      <alignment horizontal="left"/>
    </xf>
    <xf numFmtId="0" fontId="11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/>
    <xf numFmtId="166" fontId="16" fillId="0" borderId="0" xfId="0" quotePrefix="1" applyNumberFormat="1" applyFont="1" applyFill="1" applyAlignment="1">
      <alignment horizontal="left"/>
    </xf>
    <xf numFmtId="166" fontId="5" fillId="2" borderId="0" xfId="0" applyNumberFormat="1" applyFont="1" applyFill="1" applyAlignment="1"/>
    <xf numFmtId="0" fontId="11" fillId="2" borderId="0" xfId="0" quotePrefix="1" applyNumberFormat="1" applyFont="1" applyFill="1" applyAlignment="1">
      <alignment horizontal="left"/>
    </xf>
    <xf numFmtId="172" fontId="16" fillId="0" borderId="0" xfId="0" quotePrefix="1" applyNumberFormat="1" applyFont="1" applyFill="1" applyAlignment="1">
      <alignment horizontal="left"/>
    </xf>
    <xf numFmtId="172" fontId="5" fillId="2" borderId="0" xfId="0" applyNumberFormat="1" applyFont="1" applyFill="1" applyAlignment="1"/>
    <xf numFmtId="0" fontId="11" fillId="2" borderId="0" xfId="0" quotePrefix="1" applyNumberFormat="1" applyFont="1" applyFill="1" applyAlignment="1">
      <alignment horizontal="left" indent="1"/>
    </xf>
    <xf numFmtId="9" fontId="1" fillId="0" borderId="0" xfId="0" quotePrefix="1" applyNumberFormat="1" applyFont="1"/>
    <xf numFmtId="0" fontId="5" fillId="2" borderId="0" xfId="0" applyNumberFormat="1" applyFont="1" applyFill="1" applyAlignment="1"/>
    <xf numFmtId="167" fontId="16" fillId="0" borderId="0" xfId="0" quotePrefix="1" applyNumberFormat="1" applyFont="1" applyFill="1" applyAlignment="1">
      <alignment horizontal="left"/>
    </xf>
    <xf numFmtId="0" fontId="11" fillId="0" borderId="0" xfId="0" applyNumberFormat="1" applyFont="1" applyFill="1" applyAlignment="1"/>
    <xf numFmtId="172" fontId="5" fillId="0" borderId="0" xfId="0" applyNumberFormat="1" applyFont="1" applyFill="1" applyAlignment="1"/>
    <xf numFmtId="172" fontId="5" fillId="0" borderId="0" xfId="0" applyNumberFormat="1" applyFont="1" applyFill="1" applyAlignment="1"/>
    <xf numFmtId="0" fontId="4" fillId="0" borderId="0" xfId="0" applyNumberFormat="1" applyFont="1" applyAlignment="1"/>
    <xf numFmtId="0" fontId="20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11" fillId="0" borderId="0" xfId="0" applyNumberFormat="1" applyFont="1" applyFill="1" applyAlignment="1">
      <alignment horizontal="left"/>
    </xf>
    <xf numFmtId="41" fontId="4" fillId="0" borderId="0" xfId="0" applyNumberFormat="1" applyFont="1" applyAlignment="1"/>
    <xf numFmtId="181" fontId="20" fillId="0" borderId="0" xfId="0" applyNumberFormat="1" applyFont="1" applyFill="1" applyBorder="1" applyAlignment="1"/>
    <xf numFmtId="0" fontId="43" fillId="0" borderId="0" xfId="0" applyNumberFormat="1" applyFont="1" applyFill="1" applyAlignment="1">
      <alignment horizontal="center"/>
    </xf>
    <xf numFmtId="0" fontId="43" fillId="0" borderId="0" xfId="0" quotePrefix="1" applyNumberFormat="1" applyFont="1" applyFill="1" applyAlignment="1">
      <alignment horizontal="left"/>
    </xf>
    <xf numFmtId="0" fontId="15" fillId="0" borderId="0" xfId="0" applyNumberFormat="1" applyFont="1" applyFill="1" applyBorder="1" applyAlignment="1">
      <alignment horizontal="center"/>
    </xf>
    <xf numFmtId="0" fontId="44" fillId="0" borderId="0" xfId="0" applyNumberFormat="1" applyFont="1" applyAlignment="1"/>
    <xf numFmtId="0" fontId="43" fillId="0" borderId="0" xfId="0" applyNumberFormat="1" applyFont="1" applyFill="1" applyAlignment="1">
      <alignment horizontal="left"/>
    </xf>
    <xf numFmtId="167" fontId="43" fillId="0" borderId="0" xfId="0" applyNumberFormat="1" applyFont="1" applyFill="1" applyBorder="1" applyAlignment="1"/>
    <xf numFmtId="0" fontId="43" fillId="0" borderId="0" xfId="0" applyNumberFormat="1" applyFont="1" applyAlignment="1"/>
    <xf numFmtId="166" fontId="43" fillId="0" borderId="0" xfId="0" applyNumberFormat="1" applyFont="1" applyFill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0" xfId="0" applyNumberFormat="1" applyFont="1" applyAlignment="1"/>
    <xf numFmtId="43" fontId="43" fillId="0" borderId="0" xfId="0" applyNumberFormat="1" applyFont="1" applyAlignment="1"/>
    <xf numFmtId="0" fontId="43" fillId="0" borderId="0" xfId="0" applyNumberFormat="1" applyFont="1" applyFill="1" applyAlignment="1"/>
    <xf numFmtId="167" fontId="43" fillId="0" borderId="1" xfId="0" applyNumberFormat="1" applyFont="1" applyFill="1" applyBorder="1" applyAlignment="1">
      <alignment horizontal="right"/>
    </xf>
    <xf numFmtId="10" fontId="43" fillId="0" borderId="0" xfId="0" applyNumberFormat="1" applyFont="1" applyAlignment="1"/>
    <xf numFmtId="43" fontId="43" fillId="0" borderId="0" xfId="0" applyNumberFormat="1" applyFont="1" applyFill="1" applyAlignment="1">
      <alignment horizontal="right"/>
    </xf>
    <xf numFmtId="167" fontId="43" fillId="0" borderId="0" xfId="0" applyNumberFormat="1" applyFont="1" applyFill="1" applyAlignment="1">
      <alignment horizontal="left"/>
    </xf>
    <xf numFmtId="43" fontId="43" fillId="0" borderId="0" xfId="0" applyNumberFormat="1" applyFont="1" applyFill="1" applyAlignment="1">
      <alignment horizontal="left"/>
    </xf>
    <xf numFmtId="0" fontId="43" fillId="0" borderId="0" xfId="0" applyNumberFormat="1" applyFont="1" applyFill="1" applyBorder="1" applyAlignment="1">
      <alignment horizontal="center"/>
    </xf>
    <xf numFmtId="166" fontId="43" fillId="0" borderId="0" xfId="0" applyNumberFormat="1" applyFont="1" applyFill="1" applyBorder="1" applyAlignment="1">
      <alignment horizontal="center"/>
    </xf>
    <xf numFmtId="170" fontId="43" fillId="0" borderId="0" xfId="0" applyNumberFormat="1" applyFont="1" applyFill="1" applyBorder="1" applyAlignment="1"/>
    <xf numFmtId="166" fontId="43" fillId="0" borderId="0" xfId="0" applyNumberFormat="1" applyFont="1" applyFill="1" applyAlignment="1">
      <alignment horizontal="center"/>
    </xf>
    <xf numFmtId="167" fontId="43" fillId="0" borderId="0" xfId="0" applyNumberFormat="1" applyFont="1" applyAlignment="1"/>
    <xf numFmtId="166" fontId="43" fillId="0" borderId="0" xfId="0" applyNumberFormat="1" applyFont="1" applyFill="1" applyBorder="1" applyAlignment="1"/>
    <xf numFmtId="0" fontId="43" fillId="0" borderId="0" xfId="0" applyNumberFormat="1" applyFont="1" applyFill="1" applyBorder="1" applyAlignment="1">
      <alignment horizontal="left" indent="1"/>
    </xf>
    <xf numFmtId="0" fontId="43" fillId="0" borderId="0" xfId="0" applyNumberFormat="1" applyFont="1" applyFill="1" applyAlignment="1">
      <alignment horizontal="center" vertical="top"/>
    </xf>
    <xf numFmtId="0" fontId="43" fillId="0" borderId="0" xfId="0" applyNumberFormat="1" applyFont="1" applyFill="1" applyAlignment="1">
      <alignment vertical="top"/>
    </xf>
    <xf numFmtId="0" fontId="43" fillId="0" borderId="0" xfId="0" quotePrefix="1" applyNumberFormat="1" applyFont="1" applyFill="1" applyBorder="1" applyAlignment="1">
      <alignment horizontal="left"/>
    </xf>
    <xf numFmtId="0" fontId="45" fillId="0" borderId="0" xfId="0" applyNumberFormat="1" applyFont="1" applyAlignment="1"/>
    <xf numFmtId="0" fontId="44" fillId="0" borderId="0" xfId="0" applyNumberFormat="1" applyFont="1" applyFill="1" applyAlignment="1"/>
    <xf numFmtId="0" fontId="43" fillId="0" borderId="0" xfId="0" applyNumberFormat="1" applyFont="1" applyFill="1" applyAlignment="1">
      <alignment horizontal="left" vertical="center" indent="1"/>
    </xf>
    <xf numFmtId="167" fontId="43" fillId="0" borderId="1" xfId="0" applyNumberFormat="1" applyFont="1" applyFill="1" applyBorder="1" applyAlignment="1"/>
    <xf numFmtId="170" fontId="43" fillId="0" borderId="1" xfId="0" applyNumberFormat="1" applyFont="1" applyBorder="1" applyAlignment="1"/>
    <xf numFmtId="177" fontId="43" fillId="0" borderId="0" xfId="0" applyNumberFormat="1" applyFont="1" applyFill="1" applyAlignment="1">
      <alignment horizontal="right"/>
    </xf>
    <xf numFmtId="177" fontId="43" fillId="0" borderId="0" xfId="0" applyNumberFormat="1" applyFont="1" applyAlignment="1"/>
    <xf numFmtId="166" fontId="43" fillId="0" borderId="0" xfId="0" applyNumberFormat="1" applyFont="1" applyFill="1" applyBorder="1"/>
    <xf numFmtId="0" fontId="43" fillId="0" borderId="0" xfId="0" applyNumberFormat="1" applyFont="1" applyAlignment="1">
      <alignment horizontal="center" wrapText="1"/>
    </xf>
    <xf numFmtId="167" fontId="44" fillId="0" borderId="0" xfId="0" applyNumberFormat="1" applyFont="1" applyAlignment="1"/>
    <xf numFmtId="170" fontId="43" fillId="0" borderId="0" xfId="0" applyNumberFormat="1" applyFont="1" applyBorder="1" applyAlignment="1"/>
    <xf numFmtId="0" fontId="46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left"/>
    </xf>
    <xf numFmtId="0" fontId="7" fillId="0" borderId="50" xfId="0" applyNumberFormat="1" applyFont="1" applyFill="1" applyBorder="1" applyAlignment="1"/>
    <xf numFmtId="0" fontId="8" fillId="0" borderId="50" xfId="0" applyNumberFormat="1" applyFont="1" applyFill="1" applyBorder="1" applyAlignment="1">
      <alignment horizontal="center"/>
    </xf>
    <xf numFmtId="175" fontId="8" fillId="0" borderId="15" xfId="0" applyNumberFormat="1" applyFont="1" applyFill="1" applyBorder="1" applyAlignment="1"/>
    <xf numFmtId="164" fontId="7" fillId="0" borderId="23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/>
    <xf numFmtId="166" fontId="7" fillId="0" borderId="22" xfId="0" applyNumberFormat="1" applyFont="1" applyFill="1" applyBorder="1" applyAlignment="1"/>
    <xf numFmtId="164" fontId="7" fillId="0" borderId="16" xfId="0" applyNumberFormat="1" applyFont="1" applyFill="1" applyBorder="1" applyAlignment="1">
      <alignment horizontal="left"/>
    </xf>
    <xf numFmtId="41" fontId="7" fillId="0" borderId="0" xfId="0" applyNumberFormat="1" applyFont="1" applyFill="1" applyBorder="1" applyAlignment="1"/>
    <xf numFmtId="41" fontId="7" fillId="0" borderId="17" xfId="0" applyNumberFormat="1" applyFont="1" applyFill="1" applyBorder="1" applyAlignment="1"/>
    <xf numFmtId="0" fontId="7" fillId="0" borderId="16" xfId="0" applyNumberFormat="1" applyFont="1" applyFill="1" applyBorder="1" applyAlignment="1"/>
    <xf numFmtId="41" fontId="7" fillId="0" borderId="12" xfId="0" applyNumberFormat="1" applyFont="1" applyFill="1" applyBorder="1" applyAlignment="1"/>
    <xf numFmtId="41" fontId="7" fillId="0" borderId="27" xfId="0" applyNumberFormat="1" applyFont="1" applyFill="1" applyBorder="1" applyAlignment="1"/>
    <xf numFmtId="0" fontId="7" fillId="0" borderId="5" xfId="0" applyNumberFormat="1" applyFont="1" applyBorder="1" applyAlignment="1">
      <alignment horizontal="right"/>
    </xf>
    <xf numFmtId="41" fontId="7" fillId="0" borderId="5" xfId="0" applyNumberFormat="1" applyFont="1" applyBorder="1" applyAlignment="1"/>
    <xf numFmtId="10" fontId="7" fillId="0" borderId="19" xfId="0" applyNumberFormat="1" applyFont="1" applyBorder="1" applyAlignment="1"/>
    <xf numFmtId="0" fontId="47" fillId="0" borderId="0" xfId="0" quotePrefix="1" applyFont="1" applyFill="1" applyAlignment="1">
      <alignment horizontal="center"/>
    </xf>
    <xf numFmtId="0" fontId="47" fillId="0" borderId="0" xfId="0" quotePrefix="1" applyFont="1" applyFill="1" applyAlignment="1"/>
    <xf numFmtId="0" fontId="6" fillId="0" borderId="0" xfId="0" applyFont="1" applyFill="1"/>
    <xf numFmtId="0" fontId="48" fillId="0" borderId="0" xfId="0" applyFont="1" applyFill="1"/>
    <xf numFmtId="0" fontId="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8" fillId="0" borderId="0" xfId="0" quotePrefix="1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5" fontId="6" fillId="0" borderId="0" xfId="0" applyNumberFormat="1" applyFont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6" fontId="6" fillId="0" borderId="10" xfId="0" quotePrefix="1" applyNumberFormat="1" applyFont="1" applyFill="1" applyBorder="1" applyAlignment="1">
      <alignment horizontal="center"/>
    </xf>
    <xf numFmtId="5" fontId="6" fillId="0" borderId="12" xfId="0" quotePrefix="1" applyNumberFormat="1" applyFont="1" applyBorder="1" applyAlignment="1">
      <alignment horizontal="center"/>
    </xf>
    <xf numFmtId="6" fontId="6" fillId="0" borderId="0" xfId="0" quotePrefix="1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/>
    <xf numFmtId="0" fontId="50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/>
    <xf numFmtId="0" fontId="6" fillId="0" borderId="0" xfId="0" applyFont="1" applyFill="1"/>
    <xf numFmtId="176" fontId="48" fillId="0" borderId="0" xfId="0" applyNumberFormat="1" applyFont="1" applyFill="1" applyProtection="1">
      <protection locked="0"/>
    </xf>
    <xf numFmtId="176" fontId="48" fillId="0" borderId="0" xfId="0" applyNumberFormat="1" applyFont="1" applyFill="1" applyProtection="1">
      <protection locked="0"/>
    </xf>
    <xf numFmtId="171" fontId="48" fillId="0" borderId="0" xfId="0" applyNumberFormat="1" applyFont="1" applyFill="1" applyProtection="1">
      <protection locked="0"/>
    </xf>
    <xf numFmtId="10" fontId="48" fillId="0" borderId="0" xfId="0" applyNumberFormat="1" applyFont="1" applyFill="1" applyProtection="1">
      <protection locked="0"/>
    </xf>
    <xf numFmtId="0" fontId="51" fillId="0" borderId="0" xfId="0" applyFont="1" applyFill="1" applyAlignment="1">
      <alignment horizontal="center"/>
    </xf>
    <xf numFmtId="0" fontId="52" fillId="0" borderId="0" xfId="0" quotePrefix="1" applyFont="1" applyFill="1" applyAlignment="1">
      <alignment horizontal="left" indent="1"/>
    </xf>
    <xf numFmtId="37" fontId="6" fillId="0" borderId="8" xfId="0" applyNumberFormat="1" applyFont="1" applyFill="1" applyBorder="1" applyProtection="1"/>
    <xf numFmtId="176" fontId="48" fillId="0" borderId="8" xfId="0" applyNumberFormat="1" applyFont="1" applyFill="1" applyBorder="1" applyProtection="1">
      <protection locked="0"/>
    </xf>
    <xf numFmtId="171" fontId="48" fillId="0" borderId="8" xfId="0" applyNumberFormat="1" applyFont="1" applyFill="1" applyBorder="1" applyProtection="1">
      <protection locked="0"/>
    </xf>
    <xf numFmtId="176" fontId="6" fillId="0" borderId="0" xfId="0" applyNumberFormat="1" applyFont="1" applyFill="1"/>
    <xf numFmtId="171" fontId="6" fillId="0" borderId="0" xfId="0" applyNumberFormat="1" applyFont="1" applyFill="1"/>
    <xf numFmtId="0" fontId="52" fillId="0" borderId="0" xfId="0" applyFont="1" applyFill="1"/>
    <xf numFmtId="37" fontId="6" fillId="0" borderId="0" xfId="0" applyNumberFormat="1" applyFont="1" applyFill="1"/>
    <xf numFmtId="0" fontId="48" fillId="0" borderId="0" xfId="0" quotePrefix="1" applyFont="1" applyFill="1" applyAlignment="1">
      <alignment horizontal="left"/>
    </xf>
    <xf numFmtId="0" fontId="51" fillId="0" borderId="0" xfId="0" applyFont="1" applyFill="1"/>
    <xf numFmtId="0" fontId="53" fillId="0" borderId="0" xfId="0" quotePrefix="1" applyFont="1" applyFill="1" applyAlignment="1">
      <alignment horizontal="left"/>
    </xf>
    <xf numFmtId="37" fontId="6" fillId="0" borderId="2" xfId="0" applyNumberFormat="1" applyFont="1" applyFill="1" applyBorder="1"/>
    <xf numFmtId="176" fontId="6" fillId="0" borderId="2" xfId="0" applyNumberFormat="1" applyFont="1" applyFill="1" applyBorder="1"/>
    <xf numFmtId="176" fontId="48" fillId="0" borderId="0" xfId="0" applyNumberFormat="1" applyFont="1" applyFill="1" applyBorder="1" applyProtection="1">
      <protection locked="0"/>
    </xf>
    <xf numFmtId="176" fontId="6" fillId="0" borderId="0" xfId="0" applyNumberFormat="1" applyFont="1" applyFill="1" applyBorder="1"/>
    <xf numFmtId="171" fontId="48" fillId="0" borderId="2" xfId="0" applyNumberFormat="1" applyFont="1" applyFill="1" applyBorder="1" applyProtection="1">
      <protection locked="0"/>
    </xf>
    <xf numFmtId="10" fontId="48" fillId="0" borderId="0" xfId="0" applyNumberFormat="1" applyFont="1" applyFill="1" applyBorder="1" applyProtection="1">
      <protection locked="0"/>
    </xf>
    <xf numFmtId="168" fontId="0" fillId="7" borderId="50" xfId="0" applyNumberFormat="1" applyFont="1" applyFill="1" applyBorder="1"/>
    <xf numFmtId="167" fontId="43" fillId="9" borderId="1" xfId="0" applyNumberFormat="1" applyFont="1" applyFill="1" applyBorder="1" applyAlignment="1"/>
    <xf numFmtId="168" fontId="0" fillId="11" borderId="15" xfId="0" applyNumberFormat="1" applyFont="1" applyFill="1" applyBorder="1"/>
    <xf numFmtId="168" fontId="0" fillId="11" borderId="17" xfId="0" applyNumberFormat="1" applyFont="1" applyFill="1" applyBorder="1"/>
    <xf numFmtId="168" fontId="0" fillId="9" borderId="51" xfId="0" applyNumberFormat="1" applyFont="1" applyFill="1" applyBorder="1"/>
    <xf numFmtId="168" fontId="0" fillId="9" borderId="52" xfId="0" applyNumberFormat="1" applyFont="1" applyFill="1" applyBorder="1"/>
    <xf numFmtId="0" fontId="0" fillId="0" borderId="53" xfId="0" applyBorder="1"/>
    <xf numFmtId="0" fontId="0" fillId="0" borderId="51" xfId="0" quotePrefix="1" applyBorder="1" applyAlignment="1">
      <alignment horizontal="center" wrapText="1"/>
    </xf>
    <xf numFmtId="168" fontId="0" fillId="9" borderId="13" xfId="0" applyNumberFormat="1" applyFont="1" applyFill="1" applyBorder="1"/>
    <xf numFmtId="168" fontId="0" fillId="7" borderId="15" xfId="0" applyNumberFormat="1" applyFont="1" applyFill="1" applyBorder="1"/>
    <xf numFmtId="168" fontId="0" fillId="9" borderId="16" xfId="0" applyNumberFormat="1" applyFont="1" applyFill="1" applyBorder="1"/>
    <xf numFmtId="168" fontId="0" fillId="7" borderId="17" xfId="0" applyNumberFormat="1" applyFont="1" applyFill="1" applyBorder="1"/>
    <xf numFmtId="0" fontId="11" fillId="2" borderId="0" xfId="0" applyNumberFormat="1" applyFont="1" applyFill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7" fillId="0" borderId="0" xfId="0" quotePrefix="1" applyFont="1" applyFill="1" applyAlignment="1">
      <alignment horizontal="center"/>
    </xf>
    <xf numFmtId="167" fontId="4" fillId="0" borderId="2" xfId="0" applyNumberFormat="1" applyFont="1" applyBorder="1" applyAlignment="1"/>
    <xf numFmtId="167" fontId="0" fillId="0" borderId="0" xfId="0" applyNumberFormat="1" applyFont="1"/>
    <xf numFmtId="44" fontId="4" fillId="0" borderId="0" xfId="0" applyNumberFormat="1" applyFont="1" applyAlignment="1"/>
    <xf numFmtId="167" fontId="4" fillId="0" borderId="0" xfId="0" applyNumberFormat="1" applyFont="1" applyBorder="1" applyAlignment="1"/>
    <xf numFmtId="166" fontId="43" fillId="0" borderId="0" xfId="0" applyNumberFormat="1" applyFont="1" applyFill="1" applyBorder="1"/>
    <xf numFmtId="0" fontId="0" fillId="0" borderId="0" xfId="0" applyNumberFormat="1" applyFont="1" applyAlignment="1"/>
    <xf numFmtId="168" fontId="0" fillId="12" borderId="50" xfId="0" applyNumberFormat="1" applyFont="1" applyFill="1" applyBorder="1"/>
    <xf numFmtId="168" fontId="0" fillId="12" borderId="0" xfId="0" applyNumberFormat="1" applyFont="1" applyFill="1" applyBorder="1"/>
    <xf numFmtId="0" fontId="0" fillId="0" borderId="3" xfId="0" quotePrefix="1" applyFill="1" applyBorder="1" applyAlignment="1">
      <alignment horizontal="left" indent="2"/>
    </xf>
    <xf numFmtId="0" fontId="5" fillId="0" borderId="3" xfId="0" applyFont="1" applyFill="1" applyBorder="1" applyAlignment="1">
      <alignment horizontal="left" indent="2"/>
    </xf>
    <xf numFmtId="0" fontId="0" fillId="0" borderId="3" xfId="0" applyFill="1" applyBorder="1" applyAlignment="1">
      <alignment horizontal="left" indent="2"/>
    </xf>
    <xf numFmtId="0" fontId="12" fillId="0" borderId="3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12" fillId="0" borderId="32" xfId="0" quotePrefix="1" applyFont="1" applyFill="1" applyBorder="1" applyAlignment="1">
      <alignment horizontal="left"/>
    </xf>
    <xf numFmtId="0" fontId="11" fillId="0" borderId="21" xfId="0" quotePrefix="1" applyFont="1" applyFill="1" applyBorder="1" applyAlignment="1">
      <alignment horizontal="center" vertical="center" wrapText="1"/>
    </xf>
    <xf numFmtId="0" fontId="11" fillId="0" borderId="7" xfId="0" quotePrefix="1" applyFont="1" applyFill="1" applyBorder="1" applyAlignment="1">
      <alignment horizontal="center" vertical="center" wrapText="1"/>
    </xf>
    <xf numFmtId="0" fontId="11" fillId="0" borderId="34" xfId="0" quotePrefix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>
      <alignment horizontal="center"/>
    </xf>
    <xf numFmtId="0" fontId="11" fillId="2" borderId="0" xfId="0" quotePrefix="1" applyNumberFormat="1" applyFont="1" applyFill="1" applyAlignment="1">
      <alignment horizontal="center"/>
    </xf>
    <xf numFmtId="0" fontId="6" fillId="0" borderId="6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47" fillId="0" borderId="0" xfId="0" quotePrefix="1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11" fillId="0" borderId="13" xfId="0" quotePrefix="1" applyFont="1" applyFill="1" applyBorder="1" applyAlignment="1">
      <alignment horizontal="center" vertical="center" wrapText="1"/>
    </xf>
    <xf numFmtId="0" fontId="11" fillId="0" borderId="14" xfId="0" quotePrefix="1" applyFont="1" applyFill="1" applyBorder="1" applyAlignment="1">
      <alignment horizontal="center" vertical="center" wrapText="1"/>
    </xf>
    <xf numFmtId="0" fontId="11" fillId="0" borderId="15" xfId="0" quotePrefix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4" xfId="0" quotePrefix="1" applyFont="1" applyFill="1" applyBorder="1" applyAlignment="1">
      <alignment horizontal="center"/>
    </xf>
    <xf numFmtId="0" fontId="11" fillId="0" borderId="15" xfId="0" quotePrefix="1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6" xfId="0" quotePrefix="1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/>
    </xf>
    <xf numFmtId="0" fontId="11" fillId="0" borderId="17" xfId="0" quotePrefix="1" applyFont="1" applyFill="1" applyBorder="1" applyAlignment="1">
      <alignment horizontal="left"/>
    </xf>
    <xf numFmtId="0" fontId="11" fillId="0" borderId="18" xfId="0" quotePrefix="1" applyFont="1" applyFill="1" applyBorder="1" applyAlignment="1">
      <alignment horizontal="left"/>
    </xf>
    <xf numFmtId="0" fontId="11" fillId="0" borderId="5" xfId="0" quotePrefix="1" applyFont="1" applyFill="1" applyBorder="1" applyAlignment="1">
      <alignment horizontal="left"/>
    </xf>
    <xf numFmtId="0" fontId="11" fillId="0" borderId="19" xfId="0" quotePrefix="1" applyFont="1" applyFill="1" applyBorder="1" applyAlignment="1">
      <alignment horizontal="left"/>
    </xf>
    <xf numFmtId="169" fontId="3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9" fontId="28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169" fontId="29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N46"/>
  <sheetViews>
    <sheetView tabSelected="1" zoomScale="80" zoomScaleNormal="80" workbookViewId="0">
      <pane xSplit="1" ySplit="5" topLeftCell="B6" activePane="bottomRight" state="frozen"/>
      <selection activeCell="E27" sqref="E27"/>
      <selection pane="topRight" activeCell="E27" sqref="E27"/>
      <selection pane="bottomLeft" activeCell="E27" sqref="E27"/>
      <selection pane="bottomRight" activeCell="F6" sqref="F6:G6"/>
    </sheetView>
  </sheetViews>
  <sheetFormatPr defaultRowHeight="15"/>
  <cols>
    <col min="1" max="1" width="31.140625" bestFit="1" customWidth="1"/>
    <col min="3" max="14" width="11.7109375" bestFit="1" customWidth="1"/>
    <col min="16" max="16" width="13.28515625" bestFit="1" customWidth="1"/>
  </cols>
  <sheetData>
    <row r="1" spans="1:14">
      <c r="A1" s="299" t="s">
        <v>275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>
      <c r="A2" s="299" t="s">
        <v>276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>
      <c r="A3" s="299" t="s">
        <v>493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>
      <c r="A5" s="303"/>
      <c r="B5" s="303" t="s">
        <v>1</v>
      </c>
      <c r="C5" s="304">
        <v>43101</v>
      </c>
      <c r="D5" s="304">
        <v>43132</v>
      </c>
      <c r="E5" s="304">
        <v>43160</v>
      </c>
      <c r="F5" s="304">
        <v>43191</v>
      </c>
      <c r="G5" s="304">
        <v>43221</v>
      </c>
      <c r="H5" s="304">
        <v>43252</v>
      </c>
      <c r="I5" s="304">
        <v>43282</v>
      </c>
      <c r="J5" s="304">
        <v>43313</v>
      </c>
      <c r="K5" s="304">
        <v>43344</v>
      </c>
      <c r="L5" s="304">
        <v>43374</v>
      </c>
      <c r="M5" s="304">
        <v>43405</v>
      </c>
      <c r="N5" s="304">
        <v>43435</v>
      </c>
    </row>
    <row r="6" spans="1:14">
      <c r="A6" s="306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/>
    </row>
    <row r="7" spans="1:14">
      <c r="A7" s="309" t="s">
        <v>258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1"/>
    </row>
    <row r="8" spans="1:14">
      <c r="A8" s="766" t="s">
        <v>259</v>
      </c>
      <c r="B8" s="313">
        <f>SUM(C8:N8)</f>
        <v>0</v>
      </c>
      <c r="C8" s="313">
        <f t="shared" ref="C8:N8" si="0">ROUND(+C22*C37,0)</f>
        <v>0</v>
      </c>
      <c r="D8" s="313">
        <f t="shared" si="0"/>
        <v>0</v>
      </c>
      <c r="E8" s="313">
        <f t="shared" si="0"/>
        <v>0</v>
      </c>
      <c r="F8" s="313">
        <f t="shared" si="0"/>
        <v>0</v>
      </c>
      <c r="G8" s="313">
        <f t="shared" si="0"/>
        <v>0</v>
      </c>
      <c r="H8" s="313">
        <f t="shared" si="0"/>
        <v>0</v>
      </c>
      <c r="I8" s="313">
        <f t="shared" si="0"/>
        <v>0</v>
      </c>
      <c r="J8" s="313">
        <f t="shared" si="0"/>
        <v>0</v>
      </c>
      <c r="K8" s="313">
        <f t="shared" si="0"/>
        <v>0</v>
      </c>
      <c r="L8" s="313">
        <f t="shared" si="0"/>
        <v>0</v>
      </c>
      <c r="M8" s="313">
        <f t="shared" si="0"/>
        <v>0</v>
      </c>
      <c r="N8" s="314">
        <f t="shared" si="0"/>
        <v>0</v>
      </c>
    </row>
    <row r="9" spans="1:14">
      <c r="A9" s="767" t="s">
        <v>500</v>
      </c>
      <c r="B9" s="313">
        <f t="shared" ref="B9:B16" si="1">SUM(C9:N9)</f>
        <v>0</v>
      </c>
      <c r="C9" s="313">
        <f t="shared" ref="C9:N9" si="2">ROUND(+C23*C38,0)</f>
        <v>0</v>
      </c>
      <c r="D9" s="313">
        <f t="shared" si="2"/>
        <v>0</v>
      </c>
      <c r="E9" s="313">
        <f t="shared" si="2"/>
        <v>0</v>
      </c>
      <c r="F9" s="313">
        <f t="shared" si="2"/>
        <v>0</v>
      </c>
      <c r="G9" s="313">
        <f t="shared" si="2"/>
        <v>0</v>
      </c>
      <c r="H9" s="313">
        <f t="shared" si="2"/>
        <v>0</v>
      </c>
      <c r="I9" s="313">
        <f t="shared" si="2"/>
        <v>0</v>
      </c>
      <c r="J9" s="313">
        <f t="shared" si="2"/>
        <v>0</v>
      </c>
      <c r="K9" s="313">
        <f t="shared" si="2"/>
        <v>0</v>
      </c>
      <c r="L9" s="313">
        <f t="shared" si="2"/>
        <v>0</v>
      </c>
      <c r="M9" s="313">
        <f t="shared" si="2"/>
        <v>0</v>
      </c>
      <c r="N9" s="314">
        <f t="shared" si="2"/>
        <v>0</v>
      </c>
    </row>
    <row r="10" spans="1:14">
      <c r="A10" s="767" t="s">
        <v>501</v>
      </c>
      <c r="B10" s="313">
        <f t="shared" si="1"/>
        <v>0</v>
      </c>
      <c r="C10" s="313">
        <f t="shared" ref="C10:N10" si="3">ROUND(+C24*C39,0)</f>
        <v>0</v>
      </c>
      <c r="D10" s="313">
        <f t="shared" si="3"/>
        <v>0</v>
      </c>
      <c r="E10" s="313">
        <f t="shared" si="3"/>
        <v>0</v>
      </c>
      <c r="F10" s="313">
        <f t="shared" si="3"/>
        <v>0</v>
      </c>
      <c r="G10" s="313">
        <f t="shared" si="3"/>
        <v>0</v>
      </c>
      <c r="H10" s="313">
        <f t="shared" si="3"/>
        <v>0</v>
      </c>
      <c r="I10" s="313">
        <f t="shared" si="3"/>
        <v>0</v>
      </c>
      <c r="J10" s="313">
        <f t="shared" si="3"/>
        <v>0</v>
      </c>
      <c r="K10" s="313">
        <f t="shared" si="3"/>
        <v>0</v>
      </c>
      <c r="L10" s="313">
        <f t="shared" si="3"/>
        <v>0</v>
      </c>
      <c r="M10" s="313">
        <f t="shared" si="3"/>
        <v>0</v>
      </c>
      <c r="N10" s="314">
        <f t="shared" si="3"/>
        <v>0</v>
      </c>
    </row>
    <row r="11" spans="1:14">
      <c r="A11" s="767" t="s">
        <v>502</v>
      </c>
      <c r="B11" s="313">
        <f t="shared" si="1"/>
        <v>0</v>
      </c>
      <c r="C11" s="313">
        <f t="shared" ref="C11:N11" si="4">ROUND(+C25*C40,0)</f>
        <v>0</v>
      </c>
      <c r="D11" s="313">
        <f t="shared" si="4"/>
        <v>0</v>
      </c>
      <c r="E11" s="313">
        <f t="shared" si="4"/>
        <v>0</v>
      </c>
      <c r="F11" s="313">
        <f t="shared" si="4"/>
        <v>0</v>
      </c>
      <c r="G11" s="313">
        <f t="shared" si="4"/>
        <v>0</v>
      </c>
      <c r="H11" s="313">
        <f t="shared" si="4"/>
        <v>0</v>
      </c>
      <c r="I11" s="313">
        <f t="shared" si="4"/>
        <v>0</v>
      </c>
      <c r="J11" s="313">
        <f t="shared" si="4"/>
        <v>0</v>
      </c>
      <c r="K11" s="313">
        <f t="shared" si="4"/>
        <v>0</v>
      </c>
      <c r="L11" s="313">
        <f t="shared" si="4"/>
        <v>0</v>
      </c>
      <c r="M11" s="313">
        <f t="shared" si="4"/>
        <v>0</v>
      </c>
      <c r="N11" s="314">
        <f t="shared" si="4"/>
        <v>0</v>
      </c>
    </row>
    <row r="12" spans="1:14">
      <c r="A12" s="766" t="s">
        <v>263</v>
      </c>
      <c r="B12" s="313">
        <f t="shared" si="1"/>
        <v>0</v>
      </c>
      <c r="C12" s="313">
        <f t="shared" ref="C12:N12" si="5">ROUND(+C26*C41,0)</f>
        <v>0</v>
      </c>
      <c r="D12" s="313">
        <f t="shared" si="5"/>
        <v>0</v>
      </c>
      <c r="E12" s="313">
        <f t="shared" si="5"/>
        <v>0</v>
      </c>
      <c r="F12" s="313">
        <f t="shared" si="5"/>
        <v>0</v>
      </c>
      <c r="G12" s="313">
        <f t="shared" si="5"/>
        <v>0</v>
      </c>
      <c r="H12" s="313">
        <f t="shared" si="5"/>
        <v>0</v>
      </c>
      <c r="I12" s="313">
        <f t="shared" si="5"/>
        <v>0</v>
      </c>
      <c r="J12" s="313">
        <f t="shared" si="5"/>
        <v>0</v>
      </c>
      <c r="K12" s="313">
        <f t="shared" si="5"/>
        <v>0</v>
      </c>
      <c r="L12" s="313">
        <f t="shared" si="5"/>
        <v>0</v>
      </c>
      <c r="M12" s="313">
        <f t="shared" si="5"/>
        <v>0</v>
      </c>
      <c r="N12" s="314">
        <f t="shared" si="5"/>
        <v>0</v>
      </c>
    </row>
    <row r="13" spans="1:14">
      <c r="A13" s="767" t="s">
        <v>503</v>
      </c>
      <c r="B13" s="313">
        <f t="shared" si="1"/>
        <v>0</v>
      </c>
      <c r="C13" s="313">
        <f t="shared" ref="C13:N13" si="6">ROUND(+C27*C42,0)</f>
        <v>0</v>
      </c>
      <c r="D13" s="313">
        <f t="shared" si="6"/>
        <v>0</v>
      </c>
      <c r="E13" s="313">
        <f t="shared" si="6"/>
        <v>0</v>
      </c>
      <c r="F13" s="313">
        <f t="shared" si="6"/>
        <v>0</v>
      </c>
      <c r="G13" s="313">
        <f t="shared" si="6"/>
        <v>0</v>
      </c>
      <c r="H13" s="313">
        <f t="shared" si="6"/>
        <v>0</v>
      </c>
      <c r="I13" s="313">
        <f t="shared" si="6"/>
        <v>0</v>
      </c>
      <c r="J13" s="313">
        <f t="shared" si="6"/>
        <v>0</v>
      </c>
      <c r="K13" s="313">
        <f t="shared" si="6"/>
        <v>0</v>
      </c>
      <c r="L13" s="313">
        <f t="shared" si="6"/>
        <v>0</v>
      </c>
      <c r="M13" s="313">
        <f t="shared" si="6"/>
        <v>0</v>
      </c>
      <c r="N13" s="314">
        <f t="shared" si="6"/>
        <v>0</v>
      </c>
    </row>
    <row r="14" spans="1:14">
      <c r="A14" s="768" t="s">
        <v>499</v>
      </c>
      <c r="B14" s="313">
        <f>SUM(C14:N14)</f>
        <v>0</v>
      </c>
      <c r="C14" s="313">
        <f t="shared" ref="C14:N14" si="7">ROUND(+C28*C43,0)</f>
        <v>0</v>
      </c>
      <c r="D14" s="313">
        <f t="shared" si="7"/>
        <v>0</v>
      </c>
      <c r="E14" s="313">
        <f t="shared" si="7"/>
        <v>0</v>
      </c>
      <c r="F14" s="313">
        <f t="shared" si="7"/>
        <v>0</v>
      </c>
      <c r="G14" s="313">
        <f t="shared" si="7"/>
        <v>0</v>
      </c>
      <c r="H14" s="313">
        <f t="shared" si="7"/>
        <v>0</v>
      </c>
      <c r="I14" s="313">
        <f t="shared" si="7"/>
        <v>0</v>
      </c>
      <c r="J14" s="313">
        <f t="shared" si="7"/>
        <v>0</v>
      </c>
      <c r="K14" s="313">
        <f t="shared" si="7"/>
        <v>0</v>
      </c>
      <c r="L14" s="313">
        <f t="shared" si="7"/>
        <v>0</v>
      </c>
      <c r="M14" s="313">
        <f t="shared" si="7"/>
        <v>0</v>
      </c>
      <c r="N14" s="314">
        <f t="shared" si="7"/>
        <v>0</v>
      </c>
    </row>
    <row r="15" spans="1:14">
      <c r="A15" s="766" t="s">
        <v>265</v>
      </c>
      <c r="B15" s="313">
        <f t="shared" si="1"/>
        <v>0</v>
      </c>
      <c r="C15" s="313">
        <f t="shared" ref="C15:N15" si="8">ROUND(+C29*C44,0)</f>
        <v>0</v>
      </c>
      <c r="D15" s="313">
        <f t="shared" si="8"/>
        <v>0</v>
      </c>
      <c r="E15" s="313">
        <f t="shared" si="8"/>
        <v>0</v>
      </c>
      <c r="F15" s="313">
        <f t="shared" si="8"/>
        <v>0</v>
      </c>
      <c r="G15" s="313">
        <f t="shared" si="8"/>
        <v>0</v>
      </c>
      <c r="H15" s="313">
        <f t="shared" si="8"/>
        <v>0</v>
      </c>
      <c r="I15" s="313">
        <f t="shared" si="8"/>
        <v>0</v>
      </c>
      <c r="J15" s="313">
        <f t="shared" si="8"/>
        <v>0</v>
      </c>
      <c r="K15" s="313">
        <f t="shared" si="8"/>
        <v>0</v>
      </c>
      <c r="L15" s="313">
        <f t="shared" si="8"/>
        <v>0</v>
      </c>
      <c r="M15" s="313">
        <f t="shared" si="8"/>
        <v>0</v>
      </c>
      <c r="N15" s="314">
        <f t="shared" si="8"/>
        <v>0</v>
      </c>
    </row>
    <row r="16" spans="1:14">
      <c r="A16" s="768" t="s">
        <v>14</v>
      </c>
      <c r="B16" s="313">
        <f t="shared" si="1"/>
        <v>0</v>
      </c>
      <c r="C16" s="313">
        <f t="shared" ref="C16:N16" si="9">ROUND(+C30*C45,0)</f>
        <v>0</v>
      </c>
      <c r="D16" s="313">
        <f t="shared" si="9"/>
        <v>0</v>
      </c>
      <c r="E16" s="313">
        <f t="shared" si="9"/>
        <v>0</v>
      </c>
      <c r="F16" s="313">
        <f t="shared" si="9"/>
        <v>0</v>
      </c>
      <c r="G16" s="313">
        <f t="shared" si="9"/>
        <v>0</v>
      </c>
      <c r="H16" s="313">
        <f t="shared" si="9"/>
        <v>0</v>
      </c>
      <c r="I16" s="313">
        <f t="shared" si="9"/>
        <v>0</v>
      </c>
      <c r="J16" s="313">
        <f t="shared" si="9"/>
        <v>0</v>
      </c>
      <c r="K16" s="313">
        <f t="shared" si="9"/>
        <v>0</v>
      </c>
      <c r="L16" s="313">
        <f t="shared" si="9"/>
        <v>0</v>
      </c>
      <c r="M16" s="313">
        <f t="shared" si="9"/>
        <v>0</v>
      </c>
      <c r="N16" s="314">
        <f t="shared" si="9"/>
        <v>0</v>
      </c>
    </row>
    <row r="17" spans="1:14">
      <c r="A17" s="309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4"/>
    </row>
    <row r="18" spans="1:14">
      <c r="A18" s="309" t="s">
        <v>269</v>
      </c>
      <c r="B18" s="313">
        <f t="shared" ref="B18:N18" si="10">SUM(B8:B17)</f>
        <v>0</v>
      </c>
      <c r="C18" s="313">
        <f t="shared" si="10"/>
        <v>0</v>
      </c>
      <c r="D18" s="313">
        <f t="shared" si="10"/>
        <v>0</v>
      </c>
      <c r="E18" s="313">
        <f t="shared" si="10"/>
        <v>0</v>
      </c>
      <c r="F18" s="313">
        <f t="shared" si="10"/>
        <v>0</v>
      </c>
      <c r="G18" s="313">
        <f t="shared" si="10"/>
        <v>0</v>
      </c>
      <c r="H18" s="313">
        <f t="shared" si="10"/>
        <v>0</v>
      </c>
      <c r="I18" s="313">
        <f t="shared" si="10"/>
        <v>0</v>
      </c>
      <c r="J18" s="313">
        <f t="shared" si="10"/>
        <v>0</v>
      </c>
      <c r="K18" s="313">
        <f t="shared" si="10"/>
        <v>0</v>
      </c>
      <c r="L18" s="313">
        <f t="shared" si="10"/>
        <v>0</v>
      </c>
      <c r="M18" s="313">
        <f t="shared" si="10"/>
        <v>0</v>
      </c>
      <c r="N18" s="314">
        <f t="shared" si="10"/>
        <v>0</v>
      </c>
    </row>
    <row r="19" spans="1:14">
      <c r="A19" s="316"/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8"/>
    </row>
    <row r="20" spans="1:14">
      <c r="A20" s="319"/>
      <c r="B20" s="320"/>
      <c r="C20" s="321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3"/>
    </row>
    <row r="21" spans="1:14">
      <c r="A21" s="605" t="s">
        <v>270</v>
      </c>
      <c r="B21" s="310"/>
      <c r="C21" s="325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1"/>
    </row>
    <row r="22" spans="1:14">
      <c r="A22" s="766" t="s">
        <v>259</v>
      </c>
      <c r="B22" s="326">
        <f>SUM(C22:N22)</f>
        <v>0</v>
      </c>
      <c r="C22" s="327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9"/>
    </row>
    <row r="23" spans="1:14">
      <c r="A23" s="767" t="s">
        <v>500</v>
      </c>
      <c r="B23" s="326">
        <f t="shared" ref="B23:B30" si="11">SUM(C23:N23)</f>
        <v>0</v>
      </c>
      <c r="C23" s="327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9"/>
    </row>
    <row r="24" spans="1:14">
      <c r="A24" s="767" t="s">
        <v>501</v>
      </c>
      <c r="B24" s="326">
        <f t="shared" si="11"/>
        <v>0</v>
      </c>
      <c r="C24" s="327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9"/>
    </row>
    <row r="25" spans="1:14">
      <c r="A25" s="767" t="s">
        <v>502</v>
      </c>
      <c r="B25" s="326">
        <f t="shared" si="11"/>
        <v>0</v>
      </c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9"/>
    </row>
    <row r="26" spans="1:14">
      <c r="A26" s="766" t="s">
        <v>263</v>
      </c>
      <c r="B26" s="326">
        <f t="shared" si="11"/>
        <v>0</v>
      </c>
      <c r="C26" s="327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9"/>
    </row>
    <row r="27" spans="1:14">
      <c r="A27" s="767" t="s">
        <v>503</v>
      </c>
      <c r="B27" s="326">
        <f t="shared" si="11"/>
        <v>0</v>
      </c>
      <c r="C27" s="327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9"/>
    </row>
    <row r="28" spans="1:14">
      <c r="A28" s="768" t="s">
        <v>499</v>
      </c>
      <c r="B28" s="326">
        <f>SUM(C28:N28)</f>
        <v>0</v>
      </c>
      <c r="C28" s="327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9"/>
    </row>
    <row r="29" spans="1:14">
      <c r="A29" s="766" t="s">
        <v>265</v>
      </c>
      <c r="B29" s="326">
        <f t="shared" si="11"/>
        <v>0</v>
      </c>
      <c r="C29" s="327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9"/>
    </row>
    <row r="30" spans="1:14">
      <c r="A30" s="768" t="s">
        <v>14</v>
      </c>
      <c r="B30" s="326">
        <f t="shared" si="11"/>
        <v>0</v>
      </c>
      <c r="C30" s="327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9"/>
    </row>
    <row r="31" spans="1:14">
      <c r="A31" s="309"/>
      <c r="B31" s="98"/>
      <c r="C31" s="309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330"/>
    </row>
    <row r="32" spans="1:14" ht="48" customHeight="1">
      <c r="A32" s="309" t="s">
        <v>269</v>
      </c>
      <c r="B32" s="310">
        <f t="shared" ref="B32:N32" si="12">SUM(B22:B31)</f>
        <v>0</v>
      </c>
      <c r="C32" s="325">
        <f t="shared" si="12"/>
        <v>0</v>
      </c>
      <c r="D32" s="310">
        <f t="shared" si="12"/>
        <v>0</v>
      </c>
      <c r="E32" s="310">
        <f t="shared" si="12"/>
        <v>0</v>
      </c>
      <c r="F32" s="310">
        <f t="shared" si="12"/>
        <v>0</v>
      </c>
      <c r="G32" s="310">
        <f t="shared" si="12"/>
        <v>0</v>
      </c>
      <c r="H32" s="310">
        <f t="shared" si="12"/>
        <v>0</v>
      </c>
      <c r="I32" s="310">
        <f t="shared" si="12"/>
        <v>0</v>
      </c>
      <c r="J32" s="310">
        <f t="shared" si="12"/>
        <v>0</v>
      </c>
      <c r="K32" s="310">
        <f t="shared" si="12"/>
        <v>0</v>
      </c>
      <c r="L32" s="310">
        <f t="shared" si="12"/>
        <v>0</v>
      </c>
      <c r="M32" s="310">
        <f t="shared" si="12"/>
        <v>0</v>
      </c>
      <c r="N32" s="311">
        <f t="shared" si="12"/>
        <v>0</v>
      </c>
    </row>
    <row r="33" spans="1:14">
      <c r="A33" s="309"/>
      <c r="B33" s="98"/>
      <c r="C33" s="316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2"/>
    </row>
    <row r="34" spans="1:14">
      <c r="A34" s="319"/>
      <c r="B34" s="320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3"/>
    </row>
    <row r="35" spans="1:14" ht="15.75" thickBot="1">
      <c r="A35" s="769" t="s">
        <v>271</v>
      </c>
      <c r="B35" s="770"/>
      <c r="C35" s="770"/>
      <c r="D35" s="770"/>
      <c r="E35" s="770"/>
      <c r="F35" s="770"/>
      <c r="G35" s="770"/>
      <c r="H35" s="770"/>
      <c r="I35" s="770"/>
      <c r="J35" s="770"/>
      <c r="K35" s="770"/>
      <c r="L35" s="770"/>
      <c r="M35" s="770"/>
      <c r="N35" s="771"/>
    </row>
    <row r="36" spans="1:14" ht="62.45" customHeight="1" thickBot="1">
      <c r="A36" s="333" t="s">
        <v>219</v>
      </c>
      <c r="B36" s="334"/>
      <c r="C36" s="772" t="s">
        <v>497</v>
      </c>
      <c r="D36" s="773"/>
      <c r="E36" s="773"/>
      <c r="F36" s="773"/>
      <c r="G36" s="773"/>
      <c r="H36" s="773"/>
      <c r="I36" s="773"/>
      <c r="J36" s="773"/>
      <c r="K36" s="773"/>
      <c r="L36" s="773"/>
      <c r="M36" s="773"/>
      <c r="N36" s="774"/>
    </row>
    <row r="37" spans="1:14">
      <c r="A37" s="766" t="s">
        <v>259</v>
      </c>
      <c r="B37" s="326"/>
      <c r="C37" s="751">
        <f>+'UE-170033 2017 GRC COS Pow Cost'!$E$32</f>
        <v>3.9306000000000001E-2</v>
      </c>
      <c r="D37" s="743">
        <f>+C37</f>
        <v>3.9306000000000001E-2</v>
      </c>
      <c r="E37" s="743">
        <f t="shared" ref="E37:N37" si="13">+D37</f>
        <v>3.9306000000000001E-2</v>
      </c>
      <c r="F37" s="743">
        <f t="shared" si="13"/>
        <v>3.9306000000000001E-2</v>
      </c>
      <c r="G37" s="764">
        <f>+'UE-180282 TRF Power Costs'!$E$32</f>
        <v>3.9306000000000001E-2</v>
      </c>
      <c r="H37" s="743">
        <f t="shared" si="13"/>
        <v>3.9306000000000001E-2</v>
      </c>
      <c r="I37" s="743">
        <f t="shared" si="13"/>
        <v>3.9306000000000001E-2</v>
      </c>
      <c r="J37" s="743">
        <f t="shared" si="13"/>
        <v>3.9306000000000001E-2</v>
      </c>
      <c r="K37" s="743">
        <f t="shared" si="13"/>
        <v>3.9306000000000001E-2</v>
      </c>
      <c r="L37" s="743">
        <f t="shared" si="13"/>
        <v>3.9306000000000001E-2</v>
      </c>
      <c r="M37" s="743">
        <f t="shared" si="13"/>
        <v>3.9306000000000001E-2</v>
      </c>
      <c r="N37" s="752">
        <f t="shared" si="13"/>
        <v>3.9306000000000001E-2</v>
      </c>
    </row>
    <row r="38" spans="1:14">
      <c r="A38" s="767" t="s">
        <v>500</v>
      </c>
      <c r="B38" s="326"/>
      <c r="C38" s="753">
        <f>+'UE-170033 2017 GRC COS Pow Cost'!$F$32</f>
        <v>3.6097999999999998E-2</v>
      </c>
      <c r="D38" s="343">
        <f t="shared" ref="D38:N45" si="14">+C38</f>
        <v>3.6097999999999998E-2</v>
      </c>
      <c r="E38" s="343">
        <f t="shared" si="14"/>
        <v>3.6097999999999998E-2</v>
      </c>
      <c r="F38" s="343">
        <f t="shared" si="14"/>
        <v>3.6097999999999998E-2</v>
      </c>
      <c r="G38" s="765">
        <f>+'UE-180282 TRF Power Costs'!$F$32</f>
        <v>3.6097999999999998E-2</v>
      </c>
      <c r="H38" s="343">
        <f t="shared" si="14"/>
        <v>3.6097999999999998E-2</v>
      </c>
      <c r="I38" s="343">
        <f t="shared" si="14"/>
        <v>3.6097999999999998E-2</v>
      </c>
      <c r="J38" s="343">
        <f t="shared" si="14"/>
        <v>3.6097999999999998E-2</v>
      </c>
      <c r="K38" s="343">
        <f t="shared" si="14"/>
        <v>3.6097999999999998E-2</v>
      </c>
      <c r="L38" s="343">
        <f t="shared" si="14"/>
        <v>3.6097999999999998E-2</v>
      </c>
      <c r="M38" s="343">
        <f t="shared" si="14"/>
        <v>3.6097999999999998E-2</v>
      </c>
      <c r="N38" s="754">
        <f t="shared" si="14"/>
        <v>3.6097999999999998E-2</v>
      </c>
    </row>
    <row r="39" spans="1:14">
      <c r="A39" s="767" t="s">
        <v>501</v>
      </c>
      <c r="B39" s="326"/>
      <c r="C39" s="753">
        <f>+'UE-170033 2017 GRC COS Pow Cost'!$G$32</f>
        <v>3.5601000000000001E-2</v>
      </c>
      <c r="D39" s="343">
        <f t="shared" si="14"/>
        <v>3.5601000000000001E-2</v>
      </c>
      <c r="E39" s="343">
        <f t="shared" si="14"/>
        <v>3.5601000000000001E-2</v>
      </c>
      <c r="F39" s="343">
        <f t="shared" si="14"/>
        <v>3.5601000000000001E-2</v>
      </c>
      <c r="G39" s="765">
        <f>+'UE-180282 TRF Power Costs'!$G$32</f>
        <v>3.5601000000000001E-2</v>
      </c>
      <c r="H39" s="343">
        <f t="shared" si="14"/>
        <v>3.5601000000000001E-2</v>
      </c>
      <c r="I39" s="343">
        <f t="shared" si="14"/>
        <v>3.5601000000000001E-2</v>
      </c>
      <c r="J39" s="343">
        <f t="shared" si="14"/>
        <v>3.5601000000000001E-2</v>
      </c>
      <c r="K39" s="343">
        <f t="shared" si="14"/>
        <v>3.5601000000000001E-2</v>
      </c>
      <c r="L39" s="343">
        <f t="shared" si="14"/>
        <v>3.5601000000000001E-2</v>
      </c>
      <c r="M39" s="343">
        <f t="shared" si="14"/>
        <v>3.5601000000000001E-2</v>
      </c>
      <c r="N39" s="754">
        <f t="shared" si="14"/>
        <v>3.5601000000000001E-2</v>
      </c>
    </row>
    <row r="40" spans="1:14">
      <c r="A40" s="767" t="s">
        <v>502</v>
      </c>
      <c r="B40" s="326"/>
      <c r="C40" s="753">
        <f>+'UE-170033 2017 GRC COS Pow Cost'!$H$32</f>
        <v>3.4729000000000003E-2</v>
      </c>
      <c r="D40" s="343">
        <f t="shared" si="14"/>
        <v>3.4729000000000003E-2</v>
      </c>
      <c r="E40" s="343">
        <f t="shared" si="14"/>
        <v>3.4729000000000003E-2</v>
      </c>
      <c r="F40" s="343">
        <f t="shared" si="14"/>
        <v>3.4729000000000003E-2</v>
      </c>
      <c r="G40" s="765">
        <f>+'UE-180282 TRF Power Costs'!$H$32</f>
        <v>3.4729000000000003E-2</v>
      </c>
      <c r="H40" s="343">
        <f t="shared" si="14"/>
        <v>3.4729000000000003E-2</v>
      </c>
      <c r="I40" s="343">
        <f t="shared" si="14"/>
        <v>3.4729000000000003E-2</v>
      </c>
      <c r="J40" s="343">
        <f t="shared" si="14"/>
        <v>3.4729000000000003E-2</v>
      </c>
      <c r="K40" s="343">
        <f t="shared" si="14"/>
        <v>3.4729000000000003E-2</v>
      </c>
      <c r="L40" s="343">
        <f t="shared" si="14"/>
        <v>3.4729000000000003E-2</v>
      </c>
      <c r="M40" s="343">
        <f t="shared" si="14"/>
        <v>3.4729000000000003E-2</v>
      </c>
      <c r="N40" s="754">
        <f t="shared" si="14"/>
        <v>3.4729000000000003E-2</v>
      </c>
    </row>
    <row r="41" spans="1:14">
      <c r="A41" s="766" t="s">
        <v>263</v>
      </c>
      <c r="B41" s="326"/>
      <c r="C41" s="753">
        <f>+$C$39</f>
        <v>3.5601000000000001E-2</v>
      </c>
      <c r="D41" s="343">
        <f t="shared" si="14"/>
        <v>3.5601000000000001E-2</v>
      </c>
      <c r="E41" s="343">
        <f t="shared" si="14"/>
        <v>3.5601000000000001E-2</v>
      </c>
      <c r="F41" s="343">
        <f t="shared" si="14"/>
        <v>3.5601000000000001E-2</v>
      </c>
      <c r="G41" s="765">
        <f>+$C$39</f>
        <v>3.5601000000000001E-2</v>
      </c>
      <c r="H41" s="343">
        <f t="shared" si="14"/>
        <v>3.5601000000000001E-2</v>
      </c>
      <c r="I41" s="343">
        <f t="shared" si="14"/>
        <v>3.5601000000000001E-2</v>
      </c>
      <c r="J41" s="343">
        <f t="shared" si="14"/>
        <v>3.5601000000000001E-2</v>
      </c>
      <c r="K41" s="343">
        <f t="shared" si="14"/>
        <v>3.5601000000000001E-2</v>
      </c>
      <c r="L41" s="343">
        <f t="shared" si="14"/>
        <v>3.5601000000000001E-2</v>
      </c>
      <c r="M41" s="343">
        <f t="shared" si="14"/>
        <v>3.5601000000000001E-2</v>
      </c>
      <c r="N41" s="754">
        <f t="shared" si="14"/>
        <v>3.5601000000000001E-2</v>
      </c>
    </row>
    <row r="42" spans="1:14">
      <c r="A42" s="767" t="s">
        <v>503</v>
      </c>
      <c r="B42" s="326"/>
      <c r="C42" s="753">
        <f>+'UE-170033 2017 GRC COS Pow Cost'!$I$32</f>
        <v>3.3796E-2</v>
      </c>
      <c r="D42" s="343">
        <f t="shared" si="14"/>
        <v>3.3796E-2</v>
      </c>
      <c r="E42" s="343">
        <f t="shared" si="14"/>
        <v>3.3796E-2</v>
      </c>
      <c r="F42" s="343">
        <f t="shared" si="14"/>
        <v>3.3796E-2</v>
      </c>
      <c r="G42" s="765">
        <f>+'UE-180282 TRF Power Costs'!$I$32</f>
        <v>3.3796E-2</v>
      </c>
      <c r="H42" s="343">
        <f t="shared" si="14"/>
        <v>3.3796E-2</v>
      </c>
      <c r="I42" s="343">
        <f t="shared" si="14"/>
        <v>3.3796E-2</v>
      </c>
      <c r="J42" s="343">
        <f t="shared" si="14"/>
        <v>3.3796E-2</v>
      </c>
      <c r="K42" s="343">
        <f t="shared" si="14"/>
        <v>3.3796E-2</v>
      </c>
      <c r="L42" s="343">
        <f t="shared" si="14"/>
        <v>3.3796E-2</v>
      </c>
      <c r="M42" s="343">
        <f t="shared" si="14"/>
        <v>3.3796E-2</v>
      </c>
      <c r="N42" s="754">
        <f t="shared" si="14"/>
        <v>3.3796E-2</v>
      </c>
    </row>
    <row r="43" spans="1:14">
      <c r="A43" s="768" t="s">
        <v>499</v>
      </c>
      <c r="B43" s="326"/>
      <c r="C43" s="753">
        <f>+'UE-170033 2017 GRC COS Pow Cost'!$L$32</f>
        <v>3.2871999999999998E-2</v>
      </c>
      <c r="D43" s="343">
        <f>+C43</f>
        <v>3.2871999999999998E-2</v>
      </c>
      <c r="E43" s="343">
        <f>+D43</f>
        <v>3.2871999999999998E-2</v>
      </c>
      <c r="F43" s="343">
        <f>+E43</f>
        <v>3.2871999999999998E-2</v>
      </c>
      <c r="G43" s="765">
        <f>+'UE-180282 TRF Power Costs'!$L$32</f>
        <v>3.2871999999999998E-2</v>
      </c>
      <c r="H43" s="343">
        <f t="shared" ref="H43:N43" si="15">+G43</f>
        <v>3.2871999999999998E-2</v>
      </c>
      <c r="I43" s="343">
        <f t="shared" si="15"/>
        <v>3.2871999999999998E-2</v>
      </c>
      <c r="J43" s="343">
        <f t="shared" si="15"/>
        <v>3.2871999999999998E-2</v>
      </c>
      <c r="K43" s="343">
        <f t="shared" si="15"/>
        <v>3.2871999999999998E-2</v>
      </c>
      <c r="L43" s="343">
        <f t="shared" si="15"/>
        <v>3.2871999999999998E-2</v>
      </c>
      <c r="M43" s="343">
        <f t="shared" si="15"/>
        <v>3.2871999999999998E-2</v>
      </c>
      <c r="N43" s="754">
        <f t="shared" si="15"/>
        <v>3.2871999999999998E-2</v>
      </c>
    </row>
    <row r="44" spans="1:14">
      <c r="A44" s="766" t="s">
        <v>265</v>
      </c>
      <c r="B44" s="326"/>
      <c r="C44" s="753">
        <f>+'UE-170033 2017 GRC COS Pow Cost'!$K$32</f>
        <v>2.6970999999999998E-2</v>
      </c>
      <c r="D44" s="343">
        <f t="shared" si="14"/>
        <v>2.6970999999999998E-2</v>
      </c>
      <c r="E44" s="343">
        <f t="shared" si="14"/>
        <v>2.6970999999999998E-2</v>
      </c>
      <c r="F44" s="343">
        <f t="shared" si="14"/>
        <v>2.6970999999999998E-2</v>
      </c>
      <c r="G44" s="765">
        <f>+'UE-180282 TRF Power Costs'!$K$32</f>
        <v>2.6970999999999998E-2</v>
      </c>
      <c r="H44" s="343">
        <f t="shared" si="14"/>
        <v>2.6970999999999998E-2</v>
      </c>
      <c r="I44" s="343">
        <f t="shared" si="14"/>
        <v>2.6970999999999998E-2</v>
      </c>
      <c r="J44" s="343">
        <f t="shared" si="14"/>
        <v>2.6970999999999998E-2</v>
      </c>
      <c r="K44" s="343">
        <f t="shared" si="14"/>
        <v>2.6970999999999998E-2</v>
      </c>
      <c r="L44" s="343">
        <f t="shared" si="14"/>
        <v>2.6970999999999998E-2</v>
      </c>
      <c r="M44" s="343">
        <f t="shared" si="14"/>
        <v>2.6970999999999998E-2</v>
      </c>
      <c r="N44" s="754">
        <f t="shared" si="14"/>
        <v>2.6970999999999998E-2</v>
      </c>
    </row>
    <row r="45" spans="1:14">
      <c r="A45" s="768" t="s">
        <v>14</v>
      </c>
      <c r="B45" s="326"/>
      <c r="C45" s="753">
        <v>3.5139999999999998E-2</v>
      </c>
      <c r="D45" s="343">
        <f t="shared" si="14"/>
        <v>3.5139999999999998E-2</v>
      </c>
      <c r="E45" s="343">
        <f t="shared" si="14"/>
        <v>3.5139999999999998E-2</v>
      </c>
      <c r="F45" s="343">
        <f t="shared" si="14"/>
        <v>3.5139999999999998E-2</v>
      </c>
      <c r="G45" s="765">
        <v>3.5139999999999998E-2</v>
      </c>
      <c r="H45" s="343">
        <f t="shared" si="14"/>
        <v>3.5139999999999998E-2</v>
      </c>
      <c r="I45" s="343">
        <f t="shared" si="14"/>
        <v>3.5139999999999998E-2</v>
      </c>
      <c r="J45" s="343">
        <f t="shared" si="14"/>
        <v>3.5139999999999998E-2</v>
      </c>
      <c r="K45" s="343">
        <f t="shared" si="14"/>
        <v>3.5139999999999998E-2</v>
      </c>
      <c r="L45" s="343">
        <f t="shared" si="14"/>
        <v>3.5139999999999998E-2</v>
      </c>
      <c r="M45" s="343">
        <f t="shared" si="14"/>
        <v>3.5139999999999998E-2</v>
      </c>
      <c r="N45" s="754">
        <f t="shared" si="14"/>
        <v>3.5139999999999998E-2</v>
      </c>
    </row>
    <row r="46" spans="1:14" ht="15.75" thickBot="1">
      <c r="A46" s="344"/>
      <c r="B46" s="345"/>
      <c r="C46" s="344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6"/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67" orientation="landscape" r:id="rId1"/>
  <headerFooter alignWithMargins="0">
    <oddFooter xml:space="preserve">&amp;L&amp;F 
&amp;A&amp;RPage &amp;P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22"/>
  <sheetViews>
    <sheetView zoomScale="80" zoomScaleNormal="80" workbookViewId="0">
      <selection activeCell="N41" sqref="N41"/>
    </sheetView>
  </sheetViews>
  <sheetFormatPr defaultRowHeight="15"/>
  <cols>
    <col min="1" max="1" width="26.140625" bestFit="1" customWidth="1"/>
    <col min="2" max="2" width="14.85546875" bestFit="1" customWidth="1"/>
    <col min="4" max="4" width="18.7109375" bestFit="1" customWidth="1"/>
    <col min="5" max="5" width="14.85546875" bestFit="1" customWidth="1"/>
    <col min="6" max="8" width="17.28515625" bestFit="1" customWidth="1"/>
    <col min="9" max="9" width="14.85546875" bestFit="1" customWidth="1"/>
    <col min="10" max="10" width="11.28515625" bestFit="1" customWidth="1"/>
    <col min="11" max="11" width="14.85546875" bestFit="1" customWidth="1"/>
    <col min="12" max="12" width="16.28515625" bestFit="1" customWidth="1"/>
    <col min="13" max="13" width="12.28515625" bestFit="1" customWidth="1"/>
    <col min="14" max="14" width="9.7109375" bestFit="1" customWidth="1"/>
    <col min="15" max="15" width="11.28515625" bestFit="1" customWidth="1"/>
    <col min="16" max="16" width="8.28515625" bestFit="1" customWidth="1"/>
    <col min="17" max="17" width="11" bestFit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75">
      <c r="A4" s="2"/>
      <c r="B4" s="3"/>
      <c r="C4" s="2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</row>
    <row r="5" spans="1:17">
      <c r="A5" s="4" t="s">
        <v>15</v>
      </c>
      <c r="B5" s="3"/>
      <c r="C5" s="2"/>
      <c r="D5" s="5">
        <f>SUM(E5:Q5)</f>
        <v>1</v>
      </c>
      <c r="E5" s="5">
        <f>+'p14 2011 GRC ERF - COS'!E7</f>
        <v>0.53251000000000004</v>
      </c>
      <c r="F5" s="5">
        <f>+'p14 2011 GRC ERF - COS'!F7</f>
        <v>0.120728</v>
      </c>
      <c r="G5" s="5">
        <f>+'p14 2011 GRC ERF - COS'!G7</f>
        <v>0.133879</v>
      </c>
      <c r="H5" s="5">
        <f>+'p14 2011 GRC ERF - COS'!H7</f>
        <v>8.9733999999999994E-2</v>
      </c>
      <c r="I5" s="5">
        <f>+'p14 2011 GRC ERF - COS'!I7</f>
        <v>5.6231000000000003E-2</v>
      </c>
      <c r="J5" s="5">
        <f>+'p14 2011 GRC ERF - COS'!J7</f>
        <v>1.7100000000000001E-4</v>
      </c>
      <c r="K5" s="5">
        <f>+'p14 2011 GRC ERF - COS'!K7</f>
        <v>5.4640000000000001E-3</v>
      </c>
      <c r="L5" s="5">
        <f>+'p14 2011 GRC ERF - COS'!L7</f>
        <v>3.2939999999999997E-2</v>
      </c>
      <c r="M5" s="5">
        <f>+'p14 2011 GRC ERF - COS'!M7</f>
        <v>2.4265999999999999E-2</v>
      </c>
      <c r="N5" s="5">
        <f>+'p14 2011 GRC ERF - COS'!N7</f>
        <v>0</v>
      </c>
      <c r="O5" s="5">
        <f>+'p14 2011 GRC ERF - COS'!O7</f>
        <v>3.7320000000000001E-3</v>
      </c>
      <c r="P5" s="5">
        <f>+'p14 2011 GRC ERF - COS'!P7</f>
        <v>0</v>
      </c>
      <c r="Q5" s="5">
        <f>+'p14 2011 GRC ERF - COS'!Q7</f>
        <v>3.4499999999999998E-4</v>
      </c>
    </row>
    <row r="6" spans="1:17">
      <c r="A6" s="4"/>
      <c r="B6" s="3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16</v>
      </c>
      <c r="B7" s="6">
        <f>+'2016 PCORC Exh A-1'!C39</f>
        <v>1285193787.9362006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" t="s">
        <v>17</v>
      </c>
      <c r="B8" s="7">
        <f>-'2016 PCORC Exh A-1'!C30</f>
        <v>75690739.773953557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1" t="s">
        <v>18</v>
      </c>
      <c r="B9" s="7">
        <f>-'2016 PCORC Exh A-1'!C27</f>
        <v>6685935.3372543128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1" t="s">
        <v>19</v>
      </c>
      <c r="B10" s="7">
        <f>-'2016 PCORC Exh A-1'!C31</f>
        <v>17511596.94464232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1" t="s">
        <v>20</v>
      </c>
      <c r="B11" s="8">
        <f>SUM(B7:B10)</f>
        <v>1385082059.9920506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 t="s">
        <v>21</v>
      </c>
      <c r="B12" s="9"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"/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thickBot="1">
      <c r="A14" s="1" t="s">
        <v>22</v>
      </c>
      <c r="B14" s="11">
        <f>SUM(B11:B12)</f>
        <v>1385082059.9920506</v>
      </c>
      <c r="C14" s="1"/>
      <c r="D14" s="12">
        <f>SUM(E14:Q14)</f>
        <v>1385082059.9920506</v>
      </c>
      <c r="E14" s="12">
        <f t="shared" ref="E14:Q14" si="0">+E5*$B$14</f>
        <v>737570047.76636696</v>
      </c>
      <c r="F14" s="12">
        <f t="shared" si="0"/>
        <v>167218186.93872029</v>
      </c>
      <c r="G14" s="12">
        <f t="shared" si="0"/>
        <v>185433401.10967574</v>
      </c>
      <c r="H14" s="12">
        <f t="shared" si="0"/>
        <v>124288953.57132666</v>
      </c>
      <c r="I14" s="12">
        <f t="shared" si="0"/>
        <v>77884549.315412998</v>
      </c>
      <c r="J14" s="12">
        <f t="shared" si="0"/>
        <v>236849.03225864068</v>
      </c>
      <c r="K14" s="12">
        <f t="shared" si="0"/>
        <v>7568088.3757965649</v>
      </c>
      <c r="L14" s="12">
        <f t="shared" si="0"/>
        <v>45624603.056138143</v>
      </c>
      <c r="M14" s="12">
        <f t="shared" si="0"/>
        <v>33610401.267767102</v>
      </c>
      <c r="N14" s="12">
        <f t="shared" si="0"/>
        <v>0</v>
      </c>
      <c r="O14" s="12">
        <f t="shared" si="0"/>
        <v>5169126.2478903327</v>
      </c>
      <c r="P14" s="12">
        <f t="shared" si="0"/>
        <v>0</v>
      </c>
      <c r="Q14" s="12">
        <f t="shared" si="0"/>
        <v>477853.31069725746</v>
      </c>
    </row>
    <row r="15" spans="1:17" ht="15.75" thickTop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13" t="s">
        <v>292</v>
      </c>
      <c r="B16" s="14">
        <f>+'2016 PCORC Rate Spread'!K31</f>
        <v>23184782778.384109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13" t="s">
        <v>293</v>
      </c>
      <c r="B17" s="14">
        <f>-'2016 PCORC Rate Spread'!K29</f>
        <v>-2089434881.3309999</v>
      </c>
      <c r="C17" s="1"/>
      <c r="D17" s="1"/>
      <c r="E17" s="1"/>
      <c r="F17" s="1"/>
      <c r="G17" s="1"/>
      <c r="H17" s="1"/>
      <c r="I17" s="1"/>
      <c r="J17" s="1"/>
      <c r="K17" s="14"/>
      <c r="L17" s="14"/>
      <c r="M17" s="1"/>
      <c r="N17" s="1"/>
      <c r="O17" s="1"/>
      <c r="P17" s="1"/>
      <c r="Q17" s="1"/>
    </row>
    <row r="18" spans="1:17">
      <c r="A18" s="13" t="s">
        <v>294</v>
      </c>
      <c r="B18" s="14">
        <f>+B16+B17</f>
        <v>21095347897.053108</v>
      </c>
      <c r="C18" s="1"/>
      <c r="D18" s="14">
        <f>SUM(E18:Q18)</f>
        <v>21095347897.053104</v>
      </c>
      <c r="E18" s="14">
        <f>+'2014 PCORC Rate Spread (JAP-3)'!$K$7</f>
        <v>10704689132.038425</v>
      </c>
      <c r="F18" s="14">
        <f>+'2014 PCORC Rate Spread (JAP-3)'!$K$8</f>
        <v>2631310630.0537453</v>
      </c>
      <c r="G18" s="14">
        <f>+'2014 PCORC Rate Spread (JAP-3)'!$K$9+'2014 PCORC Rate Spread (JAP-3)'!$K$11</f>
        <v>2929454062.1380143</v>
      </c>
      <c r="H18" s="14">
        <f>+'2014 PCORC Rate Spread (JAP-3)'!$K$10</f>
        <v>1903096551.4107246</v>
      </c>
      <c r="I18" s="14">
        <f>+'2014 PCORC Rate Spread (JAP-3)'!$K$12</f>
        <v>1316794760.0766146</v>
      </c>
      <c r="J18" s="14">
        <f>+'2014 PCORC Rate Spread (JAP-3)'!$K$13</f>
        <v>4593600</v>
      </c>
      <c r="K18" s="14">
        <f>+'2014 PCORC Rate Spread (JAP-3)'!$K$14</f>
        <v>130432925.631</v>
      </c>
      <c r="L18" s="14">
        <f>+'2014 PCORC Rate Spread (JAP-3)'!$K$17</f>
        <v>696662806</v>
      </c>
      <c r="M18" s="14">
        <f>+'2014 PCORC Rate Spread (JAP-3)'!$K$20+'2014 PCORC Rate Spread (JAP-3)'!$K$21</f>
        <v>690048511.72899997</v>
      </c>
      <c r="N18" s="14"/>
      <c r="O18" s="14">
        <f>+'2014 PCORC Rate Spread (JAP-3)'!$K$23</f>
        <v>80910221.975582257</v>
      </c>
      <c r="P18" s="14">
        <v>0</v>
      </c>
      <c r="Q18" s="14">
        <f>+'2014 PCORC Rate Spread (JAP-3)'!$K$25</f>
        <v>7354696</v>
      </c>
    </row>
    <row r="19" spans="1:17">
      <c r="A19" s="13" t="s">
        <v>295</v>
      </c>
      <c r="B19" s="14">
        <f>+'2016 PCORC Exh A-1'!C40*1000</f>
        <v>21095348000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 t="s">
        <v>27</v>
      </c>
      <c r="B20" s="14">
        <f>+B18-B19</f>
        <v>-102.94689178466797</v>
      </c>
      <c r="C20" s="1"/>
      <c r="D20" s="1"/>
      <c r="E20" s="1"/>
      <c r="F20" s="1"/>
      <c r="G20" s="1"/>
      <c r="H20" s="1"/>
      <c r="I20" s="1"/>
      <c r="J20" s="14"/>
      <c r="K20" s="14"/>
      <c r="L20" s="14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4"/>
      <c r="K21" s="1"/>
      <c r="L21" s="14"/>
      <c r="M21" s="1"/>
      <c r="N21" s="1"/>
      <c r="O21" s="1"/>
      <c r="P21" s="1"/>
      <c r="Q21" s="1"/>
    </row>
    <row r="22" spans="1:17">
      <c r="A22" s="1" t="s">
        <v>28</v>
      </c>
      <c r="B22" s="1"/>
      <c r="C22" s="1"/>
      <c r="D22" s="1"/>
      <c r="E22" s="445">
        <f t="shared" ref="E22:M22" si="1">ROUND(E14/E18,6)</f>
        <v>6.8902000000000005E-2</v>
      </c>
      <c r="F22" s="445">
        <f t="shared" si="1"/>
        <v>6.3548999999999994E-2</v>
      </c>
      <c r="G22" s="445">
        <f t="shared" si="1"/>
        <v>6.3299999999999995E-2</v>
      </c>
      <c r="H22" s="445">
        <f t="shared" si="1"/>
        <v>6.5309000000000006E-2</v>
      </c>
      <c r="I22" s="445">
        <f t="shared" si="1"/>
        <v>5.9146999999999998E-2</v>
      </c>
      <c r="J22" s="445">
        <f t="shared" si="1"/>
        <v>5.1561000000000003E-2</v>
      </c>
      <c r="K22" s="445">
        <f t="shared" si="1"/>
        <v>5.8022999999999998E-2</v>
      </c>
      <c r="L22" s="445">
        <f t="shared" si="1"/>
        <v>6.5490000000000007E-2</v>
      </c>
      <c r="M22" s="354">
        <f t="shared" si="1"/>
        <v>4.8707E-2</v>
      </c>
      <c r="N22" s="15"/>
      <c r="O22" s="15">
        <f>ROUND(O14/O18,6)</f>
        <v>6.3886999999999999E-2</v>
      </c>
      <c r="P22" s="15"/>
      <c r="Q22" s="15">
        <f>ROUND(Q14/Q18,6)</f>
        <v>6.4973000000000003E-2</v>
      </c>
    </row>
  </sheetData>
  <printOptions horizontalCentered="1"/>
  <pageMargins left="0.7" right="0.7" top="0.75" bottom="0.75" header="0.3" footer="0.3"/>
  <pageSetup scale="49" orientation="landscape" r:id="rId1"/>
  <headerFooter alignWithMargins="0">
    <oddFooter xml:space="preserve">&amp;L&amp;F 
&amp;A&amp;RPage 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E74"/>
  <sheetViews>
    <sheetView workbookViewId="0">
      <pane xSplit="2" ySplit="4" topLeftCell="C15" activePane="bottomRight" state="frozen"/>
      <selection activeCell="N41" sqref="N41"/>
      <selection pane="topRight" activeCell="N41" sqref="N41"/>
      <selection pane="bottomLeft" activeCell="N41" sqref="N41"/>
      <selection pane="bottomRight" activeCell="N41" sqref="N41"/>
    </sheetView>
  </sheetViews>
  <sheetFormatPr defaultRowHeight="15"/>
  <cols>
    <col min="1" max="1" width="7.85546875" customWidth="1"/>
    <col min="2" max="2" width="66.28515625" bestFit="1" customWidth="1"/>
    <col min="3" max="3" width="16.5703125" bestFit="1" customWidth="1"/>
    <col min="4" max="4" width="26.28515625" bestFit="1" customWidth="1"/>
    <col min="5" max="5" width="5.28515625" bestFit="1" customWidth="1"/>
    <col min="6" max="7" width="13.5703125" bestFit="1" customWidth="1"/>
    <col min="8" max="8" width="15.140625" bestFit="1" customWidth="1"/>
    <col min="9" max="9" width="26.28515625" bestFit="1" customWidth="1"/>
    <col min="10" max="10" width="5.28515625" bestFit="1" customWidth="1"/>
    <col min="11" max="11" width="13.5703125" bestFit="1" customWidth="1"/>
    <col min="12" max="12" width="12.42578125" bestFit="1" customWidth="1"/>
    <col min="13" max="13" width="14.42578125" bestFit="1" customWidth="1"/>
    <col min="14" max="14" width="29" bestFit="1" customWidth="1"/>
  </cols>
  <sheetData>
    <row r="1" spans="1:31" ht="18.75" thickTop="1">
      <c r="A1" s="447" t="s">
        <v>122</v>
      </c>
      <c r="B1" s="448"/>
      <c r="C1" s="449" t="s">
        <v>301</v>
      </c>
      <c r="D1" s="450"/>
      <c r="E1" s="450"/>
      <c r="F1" s="450"/>
      <c r="G1" s="451"/>
      <c r="H1" s="452"/>
      <c r="I1" s="453"/>
      <c r="J1" s="453"/>
      <c r="K1" s="453"/>
      <c r="L1" s="454"/>
      <c r="M1" s="455"/>
      <c r="N1" s="455"/>
      <c r="O1" s="455"/>
      <c r="Y1" s="455"/>
      <c r="Z1" s="455"/>
      <c r="AA1" s="455"/>
      <c r="AB1" s="455"/>
      <c r="AC1" s="455"/>
      <c r="AD1" s="455"/>
      <c r="AE1" s="455"/>
    </row>
    <row r="2" spans="1:31" ht="18.75" thickBot="1">
      <c r="A2" s="456" t="s">
        <v>302</v>
      </c>
      <c r="B2" s="448"/>
      <c r="C2" s="457" t="s">
        <v>303</v>
      </c>
      <c r="D2" s="458"/>
      <c r="E2" s="458"/>
      <c r="F2" s="458"/>
      <c r="G2" s="459"/>
      <c r="H2" s="460" t="s">
        <v>304</v>
      </c>
      <c r="I2" s="461"/>
      <c r="J2" s="461"/>
      <c r="K2" s="461"/>
      <c r="L2" s="462"/>
      <c r="M2" s="455"/>
      <c r="N2" s="455"/>
      <c r="O2" s="455"/>
      <c r="Y2" s="455"/>
      <c r="Z2" s="455"/>
      <c r="AA2" s="455"/>
      <c r="AB2" s="455"/>
      <c r="AC2" s="455"/>
      <c r="AD2" s="455"/>
      <c r="AE2" s="455"/>
    </row>
    <row r="3" spans="1:31" ht="16.5" thickBot="1">
      <c r="A3" s="455"/>
      <c r="B3" s="463"/>
      <c r="C3" s="464" t="s">
        <v>305</v>
      </c>
      <c r="D3" s="465"/>
      <c r="E3" s="465"/>
      <c r="F3" s="465"/>
      <c r="G3" s="466"/>
      <c r="H3" s="467"/>
      <c r="I3" s="468"/>
      <c r="J3" s="468"/>
      <c r="K3" s="468"/>
      <c r="L3" s="469"/>
      <c r="M3" s="470"/>
      <c r="N3" s="471"/>
      <c r="O3" s="455"/>
      <c r="Y3" s="455"/>
      <c r="Z3" s="455"/>
      <c r="AA3" s="455"/>
      <c r="AB3" s="455"/>
      <c r="AC3" s="455"/>
      <c r="AD3" s="455"/>
      <c r="AE3" s="455"/>
    </row>
    <row r="4" spans="1:31" ht="16.5" thickTop="1">
      <c r="A4" s="472" t="s">
        <v>124</v>
      </c>
      <c r="B4" s="473"/>
      <c r="C4" s="474" t="s">
        <v>306</v>
      </c>
      <c r="D4" s="474"/>
      <c r="E4" s="474"/>
      <c r="F4" s="474"/>
      <c r="G4" s="474"/>
      <c r="H4" s="475" t="s">
        <v>307</v>
      </c>
      <c r="I4" s="476"/>
      <c r="J4" s="476"/>
      <c r="K4" s="476"/>
      <c r="L4" s="476"/>
      <c r="M4" s="470"/>
      <c r="N4" s="455"/>
      <c r="O4" s="455"/>
      <c r="Y4" s="455"/>
      <c r="Z4" s="455"/>
      <c r="AA4" s="455"/>
      <c r="AB4" s="455"/>
      <c r="AC4" s="455"/>
      <c r="AD4" s="455"/>
      <c r="AE4" s="455"/>
    </row>
    <row r="5" spans="1:31">
      <c r="A5" s="472">
        <v>3</v>
      </c>
      <c r="B5" s="477" t="s">
        <v>126</v>
      </c>
      <c r="C5" s="455"/>
      <c r="D5" s="478"/>
      <c r="E5" s="478"/>
      <c r="F5" s="479" t="s">
        <v>308</v>
      </c>
      <c r="G5" s="479" t="s">
        <v>309</v>
      </c>
      <c r="H5" s="480">
        <v>265497444.63352048</v>
      </c>
      <c r="I5" s="481"/>
      <c r="J5" s="481"/>
      <c r="K5" s="481"/>
      <c r="L5" s="481"/>
      <c r="M5" s="455"/>
      <c r="N5" s="482"/>
      <c r="O5" s="455"/>
      <c r="Y5" s="455"/>
      <c r="Z5" s="455"/>
      <c r="AA5" s="455"/>
      <c r="AB5" s="455"/>
      <c r="AC5" s="455"/>
      <c r="AD5" s="455"/>
      <c r="AE5" s="455"/>
    </row>
    <row r="6" spans="1:31">
      <c r="A6" s="472">
        <v>4</v>
      </c>
      <c r="B6" s="477" t="s">
        <v>127</v>
      </c>
      <c r="C6" s="455"/>
      <c r="D6" s="478"/>
      <c r="E6" s="478"/>
      <c r="F6" s="479" t="s">
        <v>310</v>
      </c>
      <c r="G6" s="479" t="s">
        <v>311</v>
      </c>
      <c r="H6" s="483">
        <v>91215647.577500045</v>
      </c>
      <c r="I6" s="481"/>
      <c r="J6" s="481"/>
      <c r="K6" s="481"/>
      <c r="L6" s="481"/>
      <c r="M6" s="455"/>
      <c r="N6" s="482"/>
      <c r="O6" s="455"/>
      <c r="Y6" s="455"/>
      <c r="Z6" s="455"/>
      <c r="AA6" s="455"/>
      <c r="AB6" s="455"/>
      <c r="AC6" s="455"/>
      <c r="AD6" s="455"/>
      <c r="AE6" s="455"/>
    </row>
    <row r="7" spans="1:31">
      <c r="A7" s="472">
        <v>5</v>
      </c>
      <c r="B7" s="477" t="s">
        <v>128</v>
      </c>
      <c r="C7" s="455"/>
      <c r="D7" s="478"/>
      <c r="E7" s="478"/>
      <c r="F7" s="479" t="s">
        <v>312</v>
      </c>
      <c r="G7" s="479" t="s">
        <v>313</v>
      </c>
      <c r="H7" s="484">
        <v>2127242636.0042129</v>
      </c>
      <c r="I7" s="481"/>
      <c r="J7" s="481"/>
      <c r="K7" s="485" t="s">
        <v>130</v>
      </c>
      <c r="L7" s="481"/>
      <c r="M7" s="455"/>
      <c r="N7" s="482"/>
      <c r="O7" s="455"/>
      <c r="Y7" s="455"/>
      <c r="Z7" s="455"/>
      <c r="AA7" s="455"/>
      <c r="AB7" s="455"/>
      <c r="AC7" s="455"/>
      <c r="AD7" s="455"/>
      <c r="AE7" s="455"/>
    </row>
    <row r="8" spans="1:31">
      <c r="A8" s="472">
        <v>6</v>
      </c>
      <c r="B8" s="448"/>
      <c r="C8" s="455"/>
      <c r="D8" s="486"/>
      <c r="E8" s="486"/>
      <c r="F8" s="487" t="s">
        <v>314</v>
      </c>
      <c r="G8" s="487" t="s">
        <v>315</v>
      </c>
      <c r="H8" s="488">
        <f>SUM(H5:H7)</f>
        <v>2483955728.2152333</v>
      </c>
      <c r="I8" s="489"/>
      <c r="J8" s="489"/>
      <c r="K8" s="485" t="s">
        <v>132</v>
      </c>
      <c r="L8" s="489"/>
      <c r="M8" s="487" t="s">
        <v>316</v>
      </c>
      <c r="N8" s="455"/>
      <c r="O8" s="455"/>
      <c r="Y8" s="455"/>
      <c r="Z8" s="455"/>
      <c r="AA8" s="455"/>
      <c r="AB8" s="455"/>
      <c r="AC8" s="455"/>
      <c r="AD8" s="455"/>
      <c r="AE8" s="455"/>
    </row>
    <row r="9" spans="1:31" ht="15.75" thickBot="1">
      <c r="A9" s="472">
        <v>7</v>
      </c>
      <c r="B9" s="477" t="s">
        <v>131</v>
      </c>
      <c r="C9" s="455"/>
      <c r="D9" s="490"/>
      <c r="E9" s="490"/>
      <c r="F9" s="487" t="s">
        <v>130</v>
      </c>
      <c r="G9" s="487" t="s">
        <v>130</v>
      </c>
      <c r="H9" s="491">
        <v>6.6900000000000001E-2</v>
      </c>
      <c r="I9" s="481"/>
      <c r="J9" s="481"/>
      <c r="K9" s="492">
        <v>0.99019000000000001</v>
      </c>
      <c r="L9" s="481"/>
      <c r="M9" s="493" t="s">
        <v>317</v>
      </c>
      <c r="N9" s="455"/>
      <c r="O9" s="455"/>
      <c r="Y9" s="455"/>
      <c r="Z9" s="455"/>
      <c r="AA9" s="455"/>
      <c r="AB9" s="455"/>
      <c r="AC9" s="455"/>
      <c r="AD9" s="455"/>
      <c r="AE9" s="455"/>
    </row>
    <row r="10" spans="1:31">
      <c r="A10" s="472">
        <v>8</v>
      </c>
      <c r="B10" s="494"/>
      <c r="C10" s="495" t="s">
        <v>318</v>
      </c>
      <c r="D10" s="496" t="s">
        <v>133</v>
      </c>
      <c r="E10" s="497"/>
      <c r="F10" s="487" t="s">
        <v>319</v>
      </c>
      <c r="G10" s="487" t="s">
        <v>319</v>
      </c>
      <c r="H10" s="498"/>
      <c r="I10" s="492" t="s">
        <v>133</v>
      </c>
      <c r="J10" s="492"/>
      <c r="K10" s="499" t="s">
        <v>320</v>
      </c>
      <c r="L10" s="492"/>
      <c r="M10" s="487" t="s">
        <v>321</v>
      </c>
      <c r="N10" s="455"/>
      <c r="O10" s="455"/>
      <c r="Y10" s="455"/>
      <c r="Z10" s="455"/>
      <c r="AA10" s="455"/>
      <c r="AB10" s="455"/>
      <c r="AC10" s="455"/>
      <c r="AD10" s="455"/>
      <c r="AE10" s="455"/>
    </row>
    <row r="11" spans="1:31">
      <c r="A11" s="472">
        <v>9</v>
      </c>
      <c r="B11" s="500"/>
      <c r="C11" s="501" t="s">
        <v>322</v>
      </c>
      <c r="D11" s="502" t="s">
        <v>135</v>
      </c>
      <c r="E11" s="503" t="s">
        <v>323</v>
      </c>
      <c r="F11" s="504" t="s">
        <v>324</v>
      </c>
      <c r="G11" s="505" t="str">
        <f>F11</f>
        <v>Test Year</v>
      </c>
      <c r="H11" s="506"/>
      <c r="I11" s="499" t="s">
        <v>135</v>
      </c>
      <c r="J11" s="507" t="s">
        <v>323</v>
      </c>
      <c r="K11" s="499" t="s">
        <v>136</v>
      </c>
      <c r="L11" s="508" t="s">
        <v>137</v>
      </c>
      <c r="M11" s="504" t="s">
        <v>320</v>
      </c>
      <c r="N11" s="455"/>
      <c r="O11" s="455"/>
      <c r="Y11" s="455"/>
      <c r="Z11" s="455"/>
      <c r="AA11" s="455"/>
      <c r="AB11" s="455"/>
      <c r="AC11" s="455"/>
      <c r="AD11" s="455"/>
      <c r="AE11" s="455"/>
    </row>
    <row r="12" spans="1:31">
      <c r="A12" s="472" t="s">
        <v>141</v>
      </c>
      <c r="B12" s="477"/>
      <c r="C12" s="509" t="s">
        <v>142</v>
      </c>
      <c r="D12" s="510" t="s">
        <v>143</v>
      </c>
      <c r="E12" s="511" t="s">
        <v>144</v>
      </c>
      <c r="F12" s="512" t="s">
        <v>325</v>
      </c>
      <c r="G12" s="513" t="s">
        <v>326</v>
      </c>
      <c r="H12" s="514" t="s">
        <v>327</v>
      </c>
      <c r="I12" s="515" t="s">
        <v>328</v>
      </c>
      <c r="J12" s="516"/>
      <c r="K12" s="517" t="s">
        <v>329</v>
      </c>
      <c r="L12" s="517" t="s">
        <v>330</v>
      </c>
      <c r="M12" s="518" t="s">
        <v>331</v>
      </c>
      <c r="N12" s="455"/>
      <c r="O12" s="455"/>
      <c r="Y12" s="455"/>
      <c r="Z12" s="455"/>
      <c r="AA12" s="455"/>
      <c r="AB12" s="455"/>
      <c r="AC12" s="455"/>
      <c r="AD12" s="455"/>
      <c r="AE12" s="455"/>
    </row>
    <row r="13" spans="1:31">
      <c r="A13" s="472">
        <v>10</v>
      </c>
      <c r="B13" s="477" t="s">
        <v>145</v>
      </c>
      <c r="C13" s="519">
        <f>H5*$H$9/0.65</f>
        <v>27325813.916896187</v>
      </c>
      <c r="D13" s="520">
        <f t="shared" ref="D13:D28" si="0">+C13/$C$40</f>
        <v>1.2953478613813902</v>
      </c>
      <c r="E13" s="521" t="s">
        <v>38</v>
      </c>
      <c r="F13" s="522">
        <f>+C13</f>
        <v>27325813.916896187</v>
      </c>
      <c r="G13" s="486"/>
      <c r="H13" s="480">
        <f>H5*$H$9/0.65</f>
        <v>27325813.916896187</v>
      </c>
      <c r="I13" s="523">
        <f t="shared" ref="I13:I36" si="1">+H13/$C$40</f>
        <v>1.2953478613813902</v>
      </c>
      <c r="J13" s="524" t="s">
        <v>332</v>
      </c>
      <c r="K13" s="523"/>
      <c r="L13" s="523"/>
      <c r="M13" s="525">
        <f t="shared" ref="M13:M36" si="2">+C13-H13</f>
        <v>0</v>
      </c>
      <c r="Y13" s="455"/>
      <c r="Z13" s="455"/>
      <c r="AA13" s="455"/>
      <c r="AB13" s="455"/>
      <c r="AC13" s="455"/>
      <c r="AD13" s="455"/>
      <c r="AE13" s="455"/>
    </row>
    <row r="14" spans="1:31">
      <c r="A14" s="472" t="s">
        <v>280</v>
      </c>
      <c r="B14" s="477" t="s">
        <v>281</v>
      </c>
      <c r="C14" s="526">
        <v>4911255.2632800005</v>
      </c>
      <c r="D14" s="520">
        <f t="shared" si="0"/>
        <v>0.23281224198245037</v>
      </c>
      <c r="E14" s="521" t="s">
        <v>332</v>
      </c>
      <c r="F14" s="522"/>
      <c r="G14" s="522">
        <f>+C14</f>
        <v>4911255.2632800005</v>
      </c>
      <c r="H14" s="483">
        <v>2326384.0720799998</v>
      </c>
      <c r="I14" s="523">
        <f t="shared" si="1"/>
        <v>0.11027948304431857</v>
      </c>
      <c r="J14" s="524" t="s">
        <v>332</v>
      </c>
      <c r="K14" s="523"/>
      <c r="L14" s="523"/>
      <c r="M14" s="525">
        <f t="shared" si="2"/>
        <v>2584871.1912000007</v>
      </c>
      <c r="Y14" s="455"/>
      <c r="Z14" s="455"/>
      <c r="AA14" s="455"/>
      <c r="AB14" s="455"/>
      <c r="AC14" s="455"/>
      <c r="AD14" s="455"/>
      <c r="AE14" s="455"/>
    </row>
    <row r="15" spans="1:31">
      <c r="A15" s="472">
        <v>11</v>
      </c>
      <c r="B15" s="448" t="s">
        <v>147</v>
      </c>
      <c r="C15" s="527">
        <f>+H6*H9/0.65</f>
        <v>9388195.1122073121</v>
      </c>
      <c r="D15" s="520">
        <f t="shared" si="0"/>
        <v>0.44503627587500866</v>
      </c>
      <c r="E15" s="521" t="s">
        <v>38</v>
      </c>
      <c r="F15" s="522">
        <f>+C15</f>
        <v>9388195.1122073121</v>
      </c>
      <c r="G15" s="486"/>
      <c r="H15" s="528">
        <f>+H6*H9/0.65</f>
        <v>9388195.1122073121</v>
      </c>
      <c r="I15" s="523">
        <f t="shared" si="1"/>
        <v>0.44503627587500866</v>
      </c>
      <c r="J15" s="524" t="s">
        <v>333</v>
      </c>
      <c r="K15" s="480">
        <f>+I15*H40</f>
        <v>9388195.1122073121</v>
      </c>
      <c r="L15" s="523"/>
      <c r="M15" s="525">
        <f t="shared" si="2"/>
        <v>0</v>
      </c>
      <c r="Y15" s="455"/>
      <c r="Z15" s="455"/>
      <c r="AA15" s="455"/>
      <c r="AB15" s="455"/>
      <c r="AC15" s="455"/>
      <c r="AD15" s="455"/>
      <c r="AE15" s="455"/>
    </row>
    <row r="16" spans="1:31">
      <c r="A16" s="472">
        <v>12</v>
      </c>
      <c r="B16" s="448" t="s">
        <v>149</v>
      </c>
      <c r="C16" s="526">
        <f>H7*$H$9/0.65</f>
        <v>218942357.45951051</v>
      </c>
      <c r="D16" s="520">
        <f t="shared" si="0"/>
        <v>10.378703279012534</v>
      </c>
      <c r="E16" s="521" t="s">
        <v>38</v>
      </c>
      <c r="F16" s="522">
        <f>+C16</f>
        <v>218942357.45951051</v>
      </c>
      <c r="G16" s="486"/>
      <c r="H16" s="483">
        <f>H7*$H$9/0.65</f>
        <v>218942357.45951051</v>
      </c>
      <c r="I16" s="523">
        <f t="shared" si="1"/>
        <v>10.378703279012534</v>
      </c>
      <c r="J16" s="524" t="s">
        <v>38</v>
      </c>
      <c r="K16" s="480">
        <f>+I16*$H$40/$K$9</f>
        <v>221111460.89084974</v>
      </c>
      <c r="L16" s="480">
        <f>SUM(K15:K16)/12</f>
        <v>19208304.666921422</v>
      </c>
      <c r="M16" s="525">
        <f t="shared" si="2"/>
        <v>0</v>
      </c>
      <c r="Y16" s="455"/>
      <c r="Z16" s="455"/>
      <c r="AA16" s="455"/>
      <c r="AB16" s="455"/>
      <c r="AC16" s="455"/>
      <c r="AD16" s="455"/>
      <c r="AE16" s="455"/>
    </row>
    <row r="17" spans="1:31">
      <c r="A17" s="472">
        <v>13</v>
      </c>
      <c r="B17" s="448" t="s">
        <v>334</v>
      </c>
      <c r="C17" s="526">
        <v>95629065.977105871</v>
      </c>
      <c r="D17" s="520">
        <f t="shared" si="0"/>
        <v>4.5331826702790528</v>
      </c>
      <c r="E17" s="521" t="s">
        <v>332</v>
      </c>
      <c r="F17" s="486"/>
      <c r="G17" s="522">
        <f>+C17</f>
        <v>95629065.977105871</v>
      </c>
      <c r="H17" s="483">
        <v>95199546.121719778</v>
      </c>
      <c r="I17" s="523">
        <f t="shared" si="1"/>
        <v>4.5128217899851562</v>
      </c>
      <c r="J17" s="524" t="s">
        <v>332</v>
      </c>
      <c r="K17" s="523"/>
      <c r="L17" s="523"/>
      <c r="M17" s="525">
        <f t="shared" si="2"/>
        <v>429519.85538609326</v>
      </c>
      <c r="Y17" s="455"/>
      <c r="Z17" s="455"/>
      <c r="AA17" s="455"/>
      <c r="AB17" s="455"/>
      <c r="AC17" s="455"/>
      <c r="AD17" s="455"/>
      <c r="AE17" s="455"/>
    </row>
    <row r="18" spans="1:31">
      <c r="A18" s="472">
        <v>14</v>
      </c>
      <c r="B18" s="448" t="s">
        <v>335</v>
      </c>
      <c r="C18" s="526">
        <v>406582559.18178964</v>
      </c>
      <c r="D18" s="520">
        <f t="shared" si="0"/>
        <v>19.273564919705976</v>
      </c>
      <c r="E18" s="521" t="s">
        <v>332</v>
      </c>
      <c r="F18" s="486"/>
      <c r="G18" s="522">
        <f>+C18</f>
        <v>406582559.18178964</v>
      </c>
      <c r="H18" s="483">
        <v>389511954.93561924</v>
      </c>
      <c r="I18" s="523">
        <f t="shared" si="1"/>
        <v>18.464353133004455</v>
      </c>
      <c r="J18" s="524" t="s">
        <v>332</v>
      </c>
      <c r="K18" s="523"/>
      <c r="L18" s="523"/>
      <c r="M18" s="525">
        <f t="shared" si="2"/>
        <v>17070604.246170402</v>
      </c>
      <c r="Y18" s="455"/>
      <c r="Z18" s="455"/>
      <c r="AA18" s="455"/>
      <c r="AB18" s="455"/>
      <c r="AC18" s="455"/>
      <c r="AD18" s="455"/>
      <c r="AE18" s="455"/>
    </row>
    <row r="19" spans="1:31">
      <c r="A19" s="472">
        <v>15</v>
      </c>
      <c r="B19" s="448" t="s">
        <v>336</v>
      </c>
      <c r="C19" s="526">
        <v>6286926.9815529995</v>
      </c>
      <c r="D19" s="520">
        <f t="shared" si="0"/>
        <v>0.29802433131479983</v>
      </c>
      <c r="E19" s="521" t="s">
        <v>38</v>
      </c>
      <c r="F19" s="522">
        <f>+C19</f>
        <v>6286926.9815529995</v>
      </c>
      <c r="G19" s="486"/>
      <c r="H19" s="483">
        <v>6286926.9815529995</v>
      </c>
      <c r="I19" s="523">
        <f t="shared" si="1"/>
        <v>0.29802433131479983</v>
      </c>
      <c r="J19" s="524" t="s">
        <v>38</v>
      </c>
      <c r="K19" s="480">
        <f t="shared" ref="K19:K24" si="3">+I19*$H$40/$K$9</f>
        <v>6349212.758716004</v>
      </c>
      <c r="L19" s="523"/>
      <c r="M19" s="525">
        <f t="shared" si="2"/>
        <v>0</v>
      </c>
      <c r="Y19" s="455"/>
      <c r="Z19" s="455"/>
      <c r="AA19" s="455"/>
      <c r="AB19" s="455"/>
      <c r="AC19" s="455"/>
      <c r="AD19" s="455"/>
      <c r="AE19" s="455"/>
    </row>
    <row r="20" spans="1:31">
      <c r="A20" s="472" t="s">
        <v>153</v>
      </c>
      <c r="B20" s="529" t="s">
        <v>154</v>
      </c>
      <c r="C20" s="526">
        <v>7402046.5420037992</v>
      </c>
      <c r="D20" s="520">
        <f t="shared" si="0"/>
        <v>0.35088525403817938</v>
      </c>
      <c r="E20" s="521" t="s">
        <v>38</v>
      </c>
      <c r="F20" s="522">
        <f>+C20</f>
        <v>7402046.5420037992</v>
      </c>
      <c r="G20" s="486"/>
      <c r="H20" s="483">
        <v>7402046.5420037992</v>
      </c>
      <c r="I20" s="523">
        <f t="shared" si="1"/>
        <v>0.35088525403817938</v>
      </c>
      <c r="J20" s="524" t="s">
        <v>38</v>
      </c>
      <c r="K20" s="480">
        <f t="shared" si="3"/>
        <v>7475380.0199999996</v>
      </c>
      <c r="L20" s="523"/>
      <c r="M20" s="525">
        <f t="shared" si="2"/>
        <v>0</v>
      </c>
      <c r="Y20" s="455"/>
      <c r="Z20" s="455"/>
      <c r="AA20" s="455"/>
      <c r="AB20" s="455"/>
      <c r="AC20" s="455"/>
      <c r="AD20" s="455"/>
      <c r="AE20" s="455"/>
    </row>
    <row r="21" spans="1:31">
      <c r="A21" s="472" t="s">
        <v>155</v>
      </c>
      <c r="B21" s="529" t="s">
        <v>156</v>
      </c>
      <c r="C21" s="526">
        <v>2692722.5945816152</v>
      </c>
      <c r="D21" s="520">
        <f t="shared" si="0"/>
        <v>0.12764532704469322</v>
      </c>
      <c r="E21" s="521" t="s">
        <v>38</v>
      </c>
      <c r="F21" s="522">
        <f>+C21</f>
        <v>2692722.5945816152</v>
      </c>
      <c r="G21" s="486"/>
      <c r="H21" s="483">
        <v>2692722.5945816152</v>
      </c>
      <c r="I21" s="523">
        <f t="shared" si="1"/>
        <v>0.12764532704469322</v>
      </c>
      <c r="J21" s="524" t="s">
        <v>38</v>
      </c>
      <c r="K21" s="480">
        <f t="shared" si="3"/>
        <v>2719399.9076759159</v>
      </c>
      <c r="L21" s="523"/>
      <c r="M21" s="525">
        <f t="shared" si="2"/>
        <v>0</v>
      </c>
      <c r="Y21" s="455"/>
      <c r="Z21" s="455"/>
      <c r="AA21" s="455"/>
      <c r="AB21" s="455"/>
      <c r="AC21" s="455"/>
      <c r="AD21" s="455"/>
      <c r="AE21" s="455"/>
    </row>
    <row r="22" spans="1:31">
      <c r="A22" s="472" t="s">
        <v>157</v>
      </c>
      <c r="B22" s="529" t="s">
        <v>158</v>
      </c>
      <c r="C22" s="526">
        <v>1732919.8033689777</v>
      </c>
      <c r="D22" s="520">
        <f t="shared" si="0"/>
        <v>8.2147011908453832E-2</v>
      </c>
      <c r="E22" s="521" t="s">
        <v>332</v>
      </c>
      <c r="F22" s="486"/>
      <c r="G22" s="522">
        <f>+C22</f>
        <v>1732919.8033689777</v>
      </c>
      <c r="H22" s="483">
        <v>1732919.8033689763</v>
      </c>
      <c r="I22" s="523">
        <f t="shared" si="1"/>
        <v>8.2147011908453763E-2</v>
      </c>
      <c r="J22" s="524" t="s">
        <v>38</v>
      </c>
      <c r="K22" s="480">
        <f t="shared" si="3"/>
        <v>1750088.1682999993</v>
      </c>
      <c r="L22" s="523"/>
      <c r="M22" s="525">
        <f t="shared" si="2"/>
        <v>0</v>
      </c>
      <c r="Y22" s="455"/>
      <c r="Z22" s="455"/>
      <c r="AA22" s="455"/>
      <c r="AB22" s="455"/>
      <c r="AC22" s="455"/>
      <c r="AD22" s="455"/>
      <c r="AE22" s="455"/>
    </row>
    <row r="23" spans="1:31">
      <c r="A23" s="472" t="s">
        <v>159</v>
      </c>
      <c r="B23" s="529" t="s">
        <v>160</v>
      </c>
      <c r="C23" s="526">
        <v>1955229.1839019</v>
      </c>
      <c r="D23" s="520">
        <f t="shared" si="0"/>
        <v>9.2685324930496527E-2</v>
      </c>
      <c r="E23" s="521" t="s">
        <v>38</v>
      </c>
      <c r="F23" s="522">
        <f>+C23</f>
        <v>1955229.1839019</v>
      </c>
      <c r="G23" s="486"/>
      <c r="H23" s="483">
        <v>1955229.1839019</v>
      </c>
      <c r="I23" s="523">
        <f t="shared" si="1"/>
        <v>9.2685324930496527E-2</v>
      </c>
      <c r="J23" s="524" t="s">
        <v>38</v>
      </c>
      <c r="K23" s="480">
        <f t="shared" si="3"/>
        <v>1974600.01</v>
      </c>
      <c r="L23" s="523"/>
      <c r="M23" s="525">
        <f t="shared" si="2"/>
        <v>0</v>
      </c>
      <c r="Y23" s="455"/>
      <c r="Z23" s="455"/>
      <c r="AA23" s="455"/>
      <c r="AB23" s="455"/>
      <c r="AC23" s="455"/>
      <c r="AD23" s="455"/>
      <c r="AE23" s="455"/>
    </row>
    <row r="24" spans="1:31">
      <c r="A24" s="472" t="s">
        <v>337</v>
      </c>
      <c r="B24" s="529" t="s">
        <v>338</v>
      </c>
      <c r="C24" s="526">
        <f>+H24</f>
        <v>236520.05102699998</v>
      </c>
      <c r="D24" s="520">
        <f t="shared" si="0"/>
        <v>1.1211953034716468E-2</v>
      </c>
      <c r="E24" s="521" t="s">
        <v>332</v>
      </c>
      <c r="F24" s="486"/>
      <c r="G24" s="522">
        <f>+C24</f>
        <v>236520.05102699998</v>
      </c>
      <c r="H24" s="483">
        <v>236520.05102699998</v>
      </c>
      <c r="I24" s="523">
        <f t="shared" si="1"/>
        <v>1.1211953034716468E-2</v>
      </c>
      <c r="J24" s="524" t="s">
        <v>38</v>
      </c>
      <c r="K24" s="480">
        <f t="shared" si="3"/>
        <v>238863.3</v>
      </c>
      <c r="L24" s="523"/>
      <c r="M24" s="525">
        <f t="shared" si="2"/>
        <v>0</v>
      </c>
      <c r="Y24" s="455"/>
      <c r="Z24" s="455"/>
      <c r="AA24" s="455"/>
      <c r="AB24" s="455"/>
      <c r="AC24" s="455"/>
      <c r="AD24" s="455"/>
      <c r="AE24" s="455"/>
    </row>
    <row r="25" spans="1:31">
      <c r="A25" s="472">
        <v>16</v>
      </c>
      <c r="B25" s="448" t="s">
        <v>339</v>
      </c>
      <c r="C25" s="526">
        <v>180436346.1795879</v>
      </c>
      <c r="D25" s="520">
        <f t="shared" si="0"/>
        <v>8.5533713963660567</v>
      </c>
      <c r="E25" s="521" t="s">
        <v>332</v>
      </c>
      <c r="F25" s="486"/>
      <c r="G25" s="522">
        <f>+C25</f>
        <v>180436346.1795879</v>
      </c>
      <c r="H25" s="483">
        <v>166825562.15201887</v>
      </c>
      <c r="I25" s="523">
        <f t="shared" si="1"/>
        <v>7.9081682915123688</v>
      </c>
      <c r="J25" s="524" t="s">
        <v>332</v>
      </c>
      <c r="K25" s="523"/>
      <c r="L25" s="523"/>
      <c r="M25" s="525">
        <f t="shared" si="2"/>
        <v>13610784.027569026</v>
      </c>
      <c r="Y25" s="455"/>
      <c r="Z25" s="455"/>
      <c r="AA25" s="455"/>
      <c r="AB25" s="455"/>
      <c r="AC25" s="455"/>
      <c r="AD25" s="455"/>
      <c r="AE25" s="455"/>
    </row>
    <row r="26" spans="1:31">
      <c r="A26" s="472">
        <v>17</v>
      </c>
      <c r="B26" s="448" t="s">
        <v>340</v>
      </c>
      <c r="C26" s="526">
        <v>109376122.63744992</v>
      </c>
      <c r="D26" s="520">
        <f t="shared" si="0"/>
        <v>5.1848456179746325</v>
      </c>
      <c r="E26" s="521" t="s">
        <v>332</v>
      </c>
      <c r="F26" s="486"/>
      <c r="G26" s="522">
        <f>+C26</f>
        <v>109376122.63744992</v>
      </c>
      <c r="H26" s="483">
        <v>106375889.21137141</v>
      </c>
      <c r="I26" s="523">
        <f t="shared" si="1"/>
        <v>5.0426231039834661</v>
      </c>
      <c r="J26" s="524" t="s">
        <v>332</v>
      </c>
      <c r="K26" s="523"/>
      <c r="L26" s="523"/>
      <c r="M26" s="525">
        <f t="shared" si="2"/>
        <v>3000233.4260785133</v>
      </c>
      <c r="Y26" s="455"/>
      <c r="Z26" s="455"/>
      <c r="AA26" s="455"/>
      <c r="AB26" s="455"/>
      <c r="AC26" s="455"/>
      <c r="AD26" s="455"/>
      <c r="AE26" s="455"/>
    </row>
    <row r="27" spans="1:31">
      <c r="A27" s="472">
        <v>18</v>
      </c>
      <c r="B27" s="448" t="s">
        <v>341</v>
      </c>
      <c r="C27" s="526">
        <v>-6685935.3372543128</v>
      </c>
      <c r="D27" s="520">
        <f t="shared" si="0"/>
        <v>-0.31693885008459272</v>
      </c>
      <c r="E27" s="521" t="s">
        <v>38</v>
      </c>
      <c r="F27" s="522">
        <f>+C27</f>
        <v>-6685935.3372543128</v>
      </c>
      <c r="G27" s="486"/>
      <c r="H27" s="483">
        <v>-6685935.3372543128</v>
      </c>
      <c r="I27" s="523">
        <f t="shared" si="1"/>
        <v>-0.31693885008459272</v>
      </c>
      <c r="J27" s="524" t="s">
        <v>332</v>
      </c>
      <c r="K27" s="523"/>
      <c r="L27" s="523"/>
      <c r="M27" s="525">
        <f t="shared" si="2"/>
        <v>0</v>
      </c>
      <c r="Y27" s="455"/>
      <c r="Z27" s="455"/>
      <c r="AA27" s="455"/>
      <c r="AB27" s="455"/>
      <c r="AC27" s="455"/>
      <c r="AD27" s="455"/>
      <c r="AE27" s="455"/>
    </row>
    <row r="28" spans="1:31">
      <c r="A28" s="472">
        <v>19</v>
      </c>
      <c r="B28" s="448" t="s">
        <v>164</v>
      </c>
      <c r="C28" s="526">
        <v>117619473.86708297</v>
      </c>
      <c r="D28" s="520">
        <f t="shared" si="0"/>
        <v>5.5756119248226179</v>
      </c>
      <c r="E28" s="521" t="s">
        <v>38</v>
      </c>
      <c r="F28" s="522">
        <f>+C28</f>
        <v>117619473.86708297</v>
      </c>
      <c r="G28" s="486"/>
      <c r="H28" s="483">
        <v>116299220.08239067</v>
      </c>
      <c r="I28" s="523">
        <f t="shared" si="1"/>
        <v>5.5130268570298373</v>
      </c>
      <c r="J28" s="524" t="s">
        <v>38</v>
      </c>
      <c r="K28" s="480">
        <f>+I28*$H$40/$K$9</f>
        <v>117451418.49785462</v>
      </c>
      <c r="L28" s="523"/>
      <c r="M28" s="525">
        <f t="shared" si="2"/>
        <v>1320253.7846923023</v>
      </c>
      <c r="Y28" s="455"/>
      <c r="Z28" s="455"/>
      <c r="AA28" s="455"/>
      <c r="AB28" s="455"/>
      <c r="AC28" s="455"/>
      <c r="AD28" s="455"/>
      <c r="AE28" s="455"/>
    </row>
    <row r="29" spans="1:31">
      <c r="A29" s="472" t="s">
        <v>342</v>
      </c>
      <c r="B29" s="455" t="s">
        <v>343</v>
      </c>
      <c r="C29" s="530"/>
      <c r="D29" s="531"/>
      <c r="E29" s="521"/>
      <c r="F29" s="532"/>
      <c r="G29" s="532"/>
      <c r="H29" s="483">
        <v>1320253.3333333333</v>
      </c>
      <c r="I29" s="523">
        <f t="shared" si="1"/>
        <v>6.2585046396643154E-2</v>
      </c>
      <c r="J29" s="524" t="s">
        <v>332</v>
      </c>
      <c r="K29" s="523"/>
      <c r="L29" s="523"/>
      <c r="M29" s="525">
        <f t="shared" si="2"/>
        <v>-1320253.3333333333</v>
      </c>
      <c r="Y29" s="455"/>
      <c r="Z29" s="455"/>
      <c r="AA29" s="455"/>
      <c r="AB29" s="455"/>
      <c r="AC29" s="455"/>
      <c r="AD29" s="455"/>
      <c r="AE29" s="455"/>
    </row>
    <row r="30" spans="1:31">
      <c r="A30" s="472">
        <v>20</v>
      </c>
      <c r="B30" s="448" t="s">
        <v>165</v>
      </c>
      <c r="C30" s="526">
        <v>-75690739.773953557</v>
      </c>
      <c r="D30" s="520">
        <f t="shared" ref="D30:D36" si="4">+C30/$C$40</f>
        <v>-3.5880299189164151</v>
      </c>
      <c r="E30" s="521" t="s">
        <v>332</v>
      </c>
      <c r="F30" s="486"/>
      <c r="G30" s="522">
        <f>+C30</f>
        <v>-75690739.773953557</v>
      </c>
      <c r="H30" s="483">
        <v>-29085180.617505684</v>
      </c>
      <c r="I30" s="523">
        <f t="shared" si="1"/>
        <v>-1.3787485571466129</v>
      </c>
      <c r="J30" s="524" t="s">
        <v>332</v>
      </c>
      <c r="K30" s="523"/>
      <c r="L30" s="523"/>
      <c r="M30" s="525">
        <f t="shared" si="2"/>
        <v>-46605559.156447873</v>
      </c>
      <c r="Y30" s="455"/>
      <c r="Z30" s="455"/>
      <c r="AA30" s="455"/>
      <c r="AB30" s="455"/>
      <c r="AC30" s="455"/>
      <c r="AD30" s="455"/>
      <c r="AE30" s="455"/>
    </row>
    <row r="31" spans="1:31">
      <c r="A31" s="533">
        <v>21</v>
      </c>
      <c r="B31" s="534" t="s">
        <v>282</v>
      </c>
      <c r="C31" s="526">
        <v>-17511596.94464232</v>
      </c>
      <c r="D31" s="520">
        <f t="shared" si="4"/>
        <v>-0.83011652354075027</v>
      </c>
      <c r="E31" s="521" t="s">
        <v>332</v>
      </c>
      <c r="F31" s="486"/>
      <c r="G31" s="522">
        <f>+C31</f>
        <v>-17511596.94464232</v>
      </c>
      <c r="H31" s="483">
        <v>-5342456.3775891997</v>
      </c>
      <c r="I31" s="523">
        <f t="shared" si="1"/>
        <v>-0.25325282036538099</v>
      </c>
      <c r="J31" s="524" t="s">
        <v>332</v>
      </c>
      <c r="K31" s="480"/>
      <c r="L31" s="523"/>
      <c r="M31" s="525">
        <f t="shared" si="2"/>
        <v>-12169140.567053121</v>
      </c>
      <c r="Y31" s="455"/>
      <c r="Z31" s="455"/>
      <c r="AA31" s="455"/>
      <c r="AB31" s="455"/>
      <c r="AC31" s="455"/>
      <c r="AD31" s="455"/>
      <c r="AE31" s="455"/>
    </row>
    <row r="32" spans="1:31">
      <c r="A32" s="472">
        <v>22</v>
      </c>
      <c r="B32" s="448" t="s">
        <v>167</v>
      </c>
      <c r="C32" s="526">
        <v>926059.73073219997</v>
      </c>
      <c r="D32" s="520">
        <f t="shared" si="4"/>
        <v>4.3898765298026846E-2</v>
      </c>
      <c r="E32" s="521" t="s">
        <v>38</v>
      </c>
      <c r="F32" s="522">
        <f>+C32</f>
        <v>926059.73073219997</v>
      </c>
      <c r="G32" s="486"/>
      <c r="H32" s="483">
        <v>926059.73073219997</v>
      </c>
      <c r="I32" s="523">
        <f t="shared" si="1"/>
        <v>4.3898765298026846E-2</v>
      </c>
      <c r="J32" s="524" t="s">
        <v>38</v>
      </c>
      <c r="K32" s="480">
        <f>+I32*$H$40/$K$9</f>
        <v>935234.38</v>
      </c>
      <c r="L32" s="523"/>
      <c r="M32" s="525">
        <f t="shared" si="2"/>
        <v>0</v>
      </c>
      <c r="Y32" s="455"/>
      <c r="Z32" s="455"/>
      <c r="AA32" s="455"/>
      <c r="AB32" s="455"/>
      <c r="AC32" s="455"/>
      <c r="AD32" s="455"/>
      <c r="AE32" s="455"/>
    </row>
    <row r="33" spans="1:31">
      <c r="A33" s="472">
        <v>23</v>
      </c>
      <c r="B33" s="535" t="s">
        <v>168</v>
      </c>
      <c r="C33" s="526">
        <v>111561171.9863264</v>
      </c>
      <c r="D33" s="520">
        <f t="shared" si="4"/>
        <v>5.2884252957726225</v>
      </c>
      <c r="E33" s="521" t="s">
        <v>38</v>
      </c>
      <c r="F33" s="522">
        <f>+C33</f>
        <v>111561171.9863264</v>
      </c>
      <c r="G33" s="486"/>
      <c r="H33" s="483">
        <v>111561171.9863264</v>
      </c>
      <c r="I33" s="523">
        <f t="shared" si="1"/>
        <v>5.2884252957726225</v>
      </c>
      <c r="J33" s="524" t="s">
        <v>38</v>
      </c>
      <c r="K33" s="480">
        <f>+I33*$H$40/$K$9</f>
        <v>112666429.66130379</v>
      </c>
      <c r="L33" s="523"/>
      <c r="M33" s="525">
        <f t="shared" si="2"/>
        <v>0</v>
      </c>
      <c r="Y33" s="455"/>
      <c r="Z33" s="455"/>
      <c r="AA33" s="455"/>
      <c r="AB33" s="455"/>
      <c r="AC33" s="455"/>
      <c r="AD33" s="455"/>
      <c r="AE33" s="455"/>
    </row>
    <row r="34" spans="1:31">
      <c r="A34" s="472">
        <v>24</v>
      </c>
      <c r="B34" s="473" t="s">
        <v>169</v>
      </c>
      <c r="C34" s="526">
        <v>4204776.2634999994</v>
      </c>
      <c r="D34" s="520">
        <f t="shared" si="4"/>
        <v>0.19932244130317259</v>
      </c>
      <c r="E34" s="521" t="s">
        <v>38</v>
      </c>
      <c r="F34" s="522">
        <f>+C34</f>
        <v>4204776.2634999994</v>
      </c>
      <c r="G34" s="486"/>
      <c r="H34" s="483">
        <v>4204776.2634999994</v>
      </c>
      <c r="I34" s="523">
        <f t="shared" si="1"/>
        <v>0.19932244130317259</v>
      </c>
      <c r="J34" s="524" t="s">
        <v>38</v>
      </c>
      <c r="K34" s="480">
        <f>+I34*$H$40</f>
        <v>4204776.2634999994</v>
      </c>
      <c r="L34" s="480">
        <f>SUM(K19:K34)/12</f>
        <v>21313783.580612529</v>
      </c>
      <c r="M34" s="525">
        <f t="shared" si="2"/>
        <v>0</v>
      </c>
      <c r="Y34" s="455"/>
      <c r="Z34" s="455"/>
      <c r="AA34" s="455"/>
      <c r="AB34" s="455"/>
      <c r="AC34" s="455"/>
      <c r="AD34" s="455"/>
      <c r="AE34" s="455"/>
    </row>
    <row r="35" spans="1:31">
      <c r="A35" s="472">
        <f>+A34+1</f>
        <v>25</v>
      </c>
      <c r="B35" s="473" t="s">
        <v>344</v>
      </c>
      <c r="C35" s="526">
        <f>+K70</f>
        <v>18713824.389231384</v>
      </c>
      <c r="D35" s="520">
        <f t="shared" si="4"/>
        <v>0.8871066923964176</v>
      </c>
      <c r="E35" s="521" t="s">
        <v>38</v>
      </c>
      <c r="F35" s="522">
        <f>+C35</f>
        <v>18713824.389231384</v>
      </c>
      <c r="G35" s="486"/>
      <c r="H35" s="483">
        <v>31968945.399459153</v>
      </c>
      <c r="I35" s="523">
        <f t="shared" si="1"/>
        <v>1.5154500129345652</v>
      </c>
      <c r="J35" s="524" t="s">
        <v>332</v>
      </c>
      <c r="K35" s="523"/>
      <c r="L35" s="523"/>
      <c r="M35" s="525">
        <f t="shared" si="2"/>
        <v>-13255121.01022777</v>
      </c>
      <c r="Y35" s="455"/>
      <c r="Z35" s="455"/>
      <c r="AA35" s="455"/>
      <c r="AB35" s="455"/>
      <c r="AC35" s="455"/>
      <c r="AD35" s="455"/>
      <c r="AE35" s="455"/>
    </row>
    <row r="36" spans="1:31">
      <c r="A36" s="472">
        <f t="shared" ref="A36:A46" si="5">+A35+1</f>
        <v>26</v>
      </c>
      <c r="B36" s="383" t="s">
        <v>345</v>
      </c>
      <c r="C36" s="526">
        <v>526847.0714766006</v>
      </c>
      <c r="D36" s="520">
        <f t="shared" si="4"/>
        <v>2.4974561760090452E-2</v>
      </c>
      <c r="E36" s="521" t="s">
        <v>38</v>
      </c>
      <c r="F36" s="522">
        <f>+C36</f>
        <v>526847.0714766006</v>
      </c>
      <c r="G36" s="532"/>
      <c r="H36" s="483">
        <v>526847.0714766006</v>
      </c>
      <c r="I36" s="523">
        <f t="shared" si="1"/>
        <v>2.4974561760090452E-2</v>
      </c>
      <c r="J36" s="524" t="s">
        <v>332</v>
      </c>
      <c r="K36" s="523"/>
      <c r="L36" s="523"/>
      <c r="M36" s="525">
        <f t="shared" si="2"/>
        <v>0</v>
      </c>
      <c r="Y36" s="455"/>
      <c r="Z36" s="455"/>
      <c r="AA36" s="455"/>
      <c r="AB36" s="455"/>
      <c r="AC36" s="455"/>
      <c r="AD36" s="455"/>
      <c r="AE36" s="455"/>
    </row>
    <row r="37" spans="1:31" ht="15.75" thickBot="1">
      <c r="A37" s="472">
        <f t="shared" si="5"/>
        <v>27</v>
      </c>
      <c r="B37" s="536" t="s">
        <v>174</v>
      </c>
      <c r="C37" s="537">
        <f>SUM(C13:C36)</f>
        <v>1226561962.1367631</v>
      </c>
      <c r="D37" s="538">
        <f>SUM(D13:D36)</f>
        <v>58.143717853659631</v>
      </c>
      <c r="E37" s="539"/>
      <c r="F37" s="540">
        <f>SUM(F13:F36)</f>
        <v>520859509.76174951</v>
      </c>
      <c r="G37" s="540">
        <f>SUM(G13:G36)</f>
        <v>705702452.37501347</v>
      </c>
      <c r="H37" s="541">
        <f>SUM(H13:H36)</f>
        <v>1261895769.6727285</v>
      </c>
      <c r="I37" s="542">
        <f>SUM(I13:I36)</f>
        <v>59.818675172968419</v>
      </c>
      <c r="J37" s="542"/>
      <c r="K37" s="541">
        <f>SUM(K13:K36)</f>
        <v>486265058.97040737</v>
      </c>
      <c r="L37" s="541">
        <f>SUM(L13:L36)</f>
        <v>40522088.247533947</v>
      </c>
      <c r="M37" s="540">
        <f t="shared" ref="M37" si="6">SUM(M13:M36)</f>
        <v>-35333807.535965756</v>
      </c>
      <c r="N37" s="543" t="s">
        <v>346</v>
      </c>
      <c r="Y37" s="544"/>
      <c r="Z37" s="455"/>
      <c r="AA37" s="455"/>
      <c r="AB37" s="455"/>
      <c r="AC37" s="455"/>
      <c r="AD37" s="455"/>
      <c r="AE37" s="455"/>
    </row>
    <row r="38" spans="1:31">
      <c r="A38" s="472">
        <f t="shared" si="5"/>
        <v>28</v>
      </c>
      <c r="B38" s="448" t="s">
        <v>176</v>
      </c>
      <c r="C38" s="545">
        <v>0.95437899999999998</v>
      </c>
      <c r="D38" s="545">
        <f>+C38</f>
        <v>0.95437899999999998</v>
      </c>
      <c r="E38" s="545"/>
      <c r="F38" s="546">
        <f>+D38</f>
        <v>0.95437899999999998</v>
      </c>
      <c r="G38" s="547">
        <f>+F38</f>
        <v>0.95437899999999998</v>
      </c>
      <c r="H38" s="545">
        <v>0.95437899999999998</v>
      </c>
      <c r="I38" s="448"/>
      <c r="J38" s="448"/>
      <c r="K38" s="448"/>
      <c r="L38" s="448"/>
      <c r="M38" s="548">
        <v>0</v>
      </c>
      <c r="N38" s="543" t="s">
        <v>347</v>
      </c>
      <c r="Y38" s="549"/>
      <c r="Z38" s="455"/>
      <c r="AA38" s="455"/>
      <c r="AB38" s="455"/>
      <c r="AC38" s="455"/>
      <c r="AD38" s="455"/>
      <c r="AE38" s="455"/>
    </row>
    <row r="39" spans="1:31">
      <c r="A39" s="472">
        <f t="shared" si="5"/>
        <v>29</v>
      </c>
      <c r="B39" s="448" t="s">
        <v>348</v>
      </c>
      <c r="C39" s="540">
        <f>+C37/C38</f>
        <v>1285193787.9362006</v>
      </c>
      <c r="D39" s="550">
        <f>+D37/C38</f>
        <v>60.923090149363759</v>
      </c>
      <c r="E39" s="550"/>
      <c r="F39" s="540">
        <f>+F37/F38</f>
        <v>545757513.27486205</v>
      </c>
      <c r="G39" s="540">
        <f>+G37/G38</f>
        <v>739436274.66133845</v>
      </c>
      <c r="H39" s="540">
        <f>+H37/H38</f>
        <v>1322216613.8114192</v>
      </c>
      <c r="I39" s="448"/>
      <c r="J39" s="448"/>
      <c r="K39" s="448"/>
      <c r="L39" s="448"/>
      <c r="M39" s="525"/>
      <c r="Y39" s="455"/>
      <c r="Z39" s="455"/>
      <c r="AA39" s="455"/>
      <c r="AB39" s="455"/>
      <c r="AC39" s="455"/>
      <c r="AD39" s="455"/>
      <c r="AE39" s="455"/>
    </row>
    <row r="40" spans="1:31">
      <c r="A40" s="472">
        <f t="shared" si="5"/>
        <v>30</v>
      </c>
      <c r="B40" s="448" t="s">
        <v>177</v>
      </c>
      <c r="C40" s="551">
        <v>21095348</v>
      </c>
      <c r="D40" s="434" t="s">
        <v>178</v>
      </c>
      <c r="E40" s="434"/>
      <c r="F40" s="478"/>
      <c r="G40" s="486"/>
      <c r="H40" s="551">
        <v>21095348</v>
      </c>
      <c r="I40" s="434" t="s">
        <v>178</v>
      </c>
      <c r="J40" s="434"/>
      <c r="K40" s="448"/>
      <c r="L40" s="448"/>
      <c r="M40" s="549"/>
      <c r="N40" s="549"/>
      <c r="O40" s="549"/>
      <c r="Y40" s="455"/>
      <c r="Z40" s="455"/>
      <c r="AA40" s="455"/>
      <c r="AB40" s="455"/>
      <c r="AC40" s="455"/>
      <c r="AD40" s="455"/>
      <c r="AE40" s="455"/>
    </row>
    <row r="41" spans="1:31" ht="26.25">
      <c r="A41" s="472">
        <f t="shared" si="5"/>
        <v>31</v>
      </c>
      <c r="B41" s="552"/>
      <c r="C41" s="553"/>
      <c r="D41" s="554" t="s">
        <v>1</v>
      </c>
      <c r="E41" s="554"/>
      <c r="F41" s="554" t="s">
        <v>349</v>
      </c>
      <c r="G41" s="555" t="s">
        <v>350</v>
      </c>
      <c r="H41" s="455"/>
      <c r="I41" s="455"/>
      <c r="J41" s="455"/>
      <c r="K41" s="455"/>
      <c r="L41" s="455"/>
    </row>
    <row r="42" spans="1:31" ht="15.75" thickBot="1">
      <c r="A42" s="472">
        <f t="shared" si="5"/>
        <v>32</v>
      </c>
      <c r="B42" s="448" t="s">
        <v>351</v>
      </c>
      <c r="F42" s="556"/>
      <c r="G42" s="557"/>
      <c r="H42" s="455"/>
      <c r="I42" s="455"/>
      <c r="J42" s="455"/>
      <c r="K42" s="455"/>
      <c r="L42" s="455"/>
    </row>
    <row r="43" spans="1:31" ht="15.75" thickBot="1">
      <c r="A43" s="472">
        <f t="shared" si="5"/>
        <v>33</v>
      </c>
      <c r="B43" s="448" t="s">
        <v>352</v>
      </c>
      <c r="C43" s="558"/>
      <c r="D43" s="559">
        <f>+F43+G43</f>
        <v>58.143717853659638</v>
      </c>
      <c r="E43" s="559"/>
      <c r="F43" s="560">
        <f>+F37/$C$40</f>
        <v>24.690728484865456</v>
      </c>
      <c r="G43" s="561">
        <f>+G37/$C$40</f>
        <v>33.452989368794178</v>
      </c>
      <c r="H43" s="455"/>
      <c r="I43" s="455"/>
      <c r="J43" s="455"/>
      <c r="K43" s="455"/>
      <c r="L43" s="455"/>
    </row>
    <row r="44" spans="1:31">
      <c r="A44" s="472">
        <f t="shared" si="5"/>
        <v>34</v>
      </c>
      <c r="B44" s="448" t="s">
        <v>353</v>
      </c>
      <c r="C44" s="556"/>
      <c r="D44" s="560">
        <f>+F44+G44</f>
        <v>60.923090149363759</v>
      </c>
      <c r="E44" s="560"/>
      <c r="F44" s="560">
        <f>+F39/$C$40</f>
        <v>25.870988868013082</v>
      </c>
      <c r="G44" s="559">
        <f>+G39/$C$40</f>
        <v>35.05210128135068</v>
      </c>
      <c r="H44" s="455"/>
      <c r="I44" s="455"/>
      <c r="J44" s="455"/>
      <c r="K44" s="455"/>
      <c r="L44" s="455"/>
    </row>
    <row r="45" spans="1:31">
      <c r="A45" s="472">
        <f t="shared" si="5"/>
        <v>35</v>
      </c>
      <c r="B45" s="448"/>
      <c r="C45" s="455"/>
      <c r="D45" s="455"/>
      <c r="E45" s="455"/>
      <c r="F45" s="455"/>
      <c r="G45" s="455"/>
      <c r="H45" s="455"/>
      <c r="I45" s="455"/>
      <c r="J45" s="455"/>
      <c r="K45" s="455"/>
      <c r="L45" s="455"/>
    </row>
    <row r="46" spans="1:31">
      <c r="A46" s="472">
        <f t="shared" si="5"/>
        <v>36</v>
      </c>
      <c r="B46" s="448" t="s">
        <v>354</v>
      </c>
      <c r="C46" s="448"/>
      <c r="D46" s="448"/>
      <c r="E46" s="448"/>
      <c r="F46" s="448"/>
      <c r="G46" s="448"/>
      <c r="H46" s="455"/>
      <c r="I46" s="455"/>
      <c r="J46" s="455"/>
      <c r="K46" s="455"/>
      <c r="L46" s="455"/>
    </row>
    <row r="47" spans="1:31">
      <c r="A47" s="455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</row>
    <row r="48" spans="1:31" ht="15.75" thickBot="1">
      <c r="A48" s="455"/>
      <c r="B48" s="562"/>
      <c r="C48" s="562"/>
      <c r="D48" s="562"/>
      <c r="E48" s="562"/>
      <c r="F48" s="562"/>
      <c r="G48" s="562"/>
      <c r="H48" s="563"/>
      <c r="I48" s="564" t="s">
        <v>136</v>
      </c>
      <c r="J48" s="564"/>
      <c r="K48" s="564" t="s">
        <v>355</v>
      </c>
      <c r="L48" s="455"/>
    </row>
    <row r="49" spans="1:12">
      <c r="A49" s="455"/>
      <c r="B49" s="565" t="s">
        <v>189</v>
      </c>
      <c r="C49" s="566"/>
      <c r="D49" s="566"/>
      <c r="E49" s="566"/>
      <c r="F49" s="566"/>
      <c r="G49" s="566"/>
      <c r="H49" s="567" t="s">
        <v>190</v>
      </c>
      <c r="I49" s="568" t="s">
        <v>356</v>
      </c>
      <c r="J49" s="568"/>
      <c r="K49" s="569">
        <v>0.99019000000000001</v>
      </c>
      <c r="L49" s="455"/>
    </row>
    <row r="50" spans="1:12">
      <c r="A50" s="455"/>
      <c r="B50" s="570" t="s">
        <v>357</v>
      </c>
      <c r="C50" s="571"/>
      <c r="D50" s="571"/>
      <c r="E50" s="571"/>
      <c r="F50" s="571"/>
      <c r="G50" s="571"/>
      <c r="H50" s="572">
        <v>555</v>
      </c>
      <c r="I50" s="573">
        <v>3526620</v>
      </c>
      <c r="J50" s="573"/>
      <c r="K50" s="574">
        <f t="shared" ref="K50:K55" si="7">+I50*$K$49</f>
        <v>3492023.8577999999</v>
      </c>
      <c r="L50" s="575"/>
    </row>
    <row r="51" spans="1:12">
      <c r="A51" s="455"/>
      <c r="B51" s="576" t="s">
        <v>358</v>
      </c>
      <c r="C51" s="577"/>
      <c r="D51" s="577"/>
      <c r="E51" s="577"/>
      <c r="F51" s="577"/>
      <c r="G51" s="577"/>
      <c r="H51" s="564">
        <v>547</v>
      </c>
      <c r="I51" s="578">
        <v>-392169.66666666669</v>
      </c>
      <c r="J51" s="578"/>
      <c r="K51" s="579">
        <f t="shared" si="7"/>
        <v>-388322.48223666666</v>
      </c>
      <c r="L51" s="455"/>
    </row>
    <row r="52" spans="1:12">
      <c r="A52" s="455"/>
      <c r="B52" s="576" t="s">
        <v>359</v>
      </c>
      <c r="C52" s="577"/>
      <c r="D52" s="577"/>
      <c r="E52" s="577"/>
      <c r="F52" s="577"/>
      <c r="G52" s="577"/>
      <c r="H52" s="564">
        <v>547</v>
      </c>
      <c r="I52" s="578">
        <v>-537626.2135922329</v>
      </c>
      <c r="J52" s="578"/>
      <c r="K52" s="579">
        <f t="shared" si="7"/>
        <v>-532352.10043689306</v>
      </c>
      <c r="L52" s="455"/>
    </row>
    <row r="53" spans="1:12">
      <c r="A53" s="455"/>
      <c r="B53" s="576" t="s">
        <v>360</v>
      </c>
      <c r="C53" s="577"/>
      <c r="D53" s="577"/>
      <c r="E53" s="577"/>
      <c r="F53" s="577"/>
      <c r="G53" s="577"/>
      <c r="H53" s="564">
        <v>555</v>
      </c>
      <c r="I53" s="578">
        <v>7088065.5894999942</v>
      </c>
      <c r="J53" s="578"/>
      <c r="K53" s="579">
        <f t="shared" si="7"/>
        <v>7018531.6660669995</v>
      </c>
      <c r="L53" s="455"/>
    </row>
    <row r="54" spans="1:12">
      <c r="A54" s="455"/>
      <c r="B54" s="576" t="s">
        <v>361</v>
      </c>
      <c r="C54" s="577"/>
      <c r="D54" s="577"/>
      <c r="E54" s="577"/>
      <c r="F54" s="577"/>
      <c r="G54" s="577"/>
      <c r="H54" s="564">
        <v>501</v>
      </c>
      <c r="I54" s="578">
        <v>500000.00000000006</v>
      </c>
      <c r="J54" s="578"/>
      <c r="K54" s="579">
        <f t="shared" si="7"/>
        <v>495095.00000000006</v>
      </c>
      <c r="L54" s="455"/>
    </row>
    <row r="55" spans="1:12">
      <c r="A55" s="455"/>
      <c r="B55" s="576" t="s">
        <v>362</v>
      </c>
      <c r="C55" s="577"/>
      <c r="D55" s="577"/>
      <c r="E55" s="577"/>
      <c r="F55" s="577"/>
      <c r="G55" s="577"/>
      <c r="H55" s="564">
        <v>565</v>
      </c>
      <c r="I55" s="578">
        <v>3201552.2970685721</v>
      </c>
      <c r="J55" s="578"/>
      <c r="K55" s="580">
        <f t="shared" si="7"/>
        <v>3170145.0690343296</v>
      </c>
      <c r="L55" s="455"/>
    </row>
    <row r="56" spans="1:12">
      <c r="A56" s="455"/>
      <c r="B56" s="576" t="s">
        <v>199</v>
      </c>
      <c r="C56" s="577"/>
      <c r="D56" s="577"/>
      <c r="E56" s="577"/>
      <c r="F56" s="577"/>
      <c r="G56" s="577"/>
      <c r="H56" s="581"/>
      <c r="I56" s="582">
        <f>SUM(I50:I55)</f>
        <v>13386442.006309668</v>
      </c>
      <c r="J56" s="582"/>
      <c r="K56" s="583">
        <f>SUM(K50:K55)</f>
        <v>13255121.01022777</v>
      </c>
      <c r="L56" s="455"/>
    </row>
    <row r="57" spans="1:12" ht="15.75" thickBot="1">
      <c r="A57" s="455"/>
      <c r="B57" s="584"/>
      <c r="C57" s="585"/>
      <c r="D57" s="585"/>
      <c r="E57" s="585"/>
      <c r="F57" s="585"/>
      <c r="G57" s="585"/>
      <c r="H57" s="586" t="s">
        <v>363</v>
      </c>
      <c r="I57" s="587"/>
      <c r="J57" s="587"/>
      <c r="K57" s="588">
        <f>+K56/I56-K49</f>
        <v>0</v>
      </c>
      <c r="L57" s="455"/>
    </row>
    <row r="58" spans="1:12" ht="15.75" thickBot="1">
      <c r="A58" s="455"/>
      <c r="B58" s="577"/>
      <c r="C58" s="577"/>
      <c r="D58" s="577"/>
      <c r="E58" s="577"/>
      <c r="F58" s="577"/>
      <c r="G58" s="577"/>
      <c r="H58" s="581"/>
      <c r="I58" s="589"/>
      <c r="J58" s="589"/>
      <c r="K58" s="590"/>
      <c r="L58" s="455"/>
    </row>
    <row r="59" spans="1:12">
      <c r="A59" s="455"/>
      <c r="B59" s="565" t="s">
        <v>200</v>
      </c>
      <c r="C59" s="566"/>
      <c r="D59" s="566"/>
      <c r="E59" s="566"/>
      <c r="F59" s="566"/>
      <c r="G59" s="566"/>
      <c r="H59" s="591"/>
      <c r="I59" s="568" t="s">
        <v>356</v>
      </c>
      <c r="J59" s="568"/>
      <c r="K59" s="569">
        <f>+K49</f>
        <v>0.99019000000000001</v>
      </c>
      <c r="L59" s="455"/>
    </row>
    <row r="60" spans="1:12">
      <c r="A60" s="455"/>
      <c r="B60" s="576" t="s">
        <v>364</v>
      </c>
      <c r="C60" s="577"/>
      <c r="D60" s="577"/>
      <c r="E60" s="577"/>
      <c r="F60" s="577"/>
      <c r="G60" s="577"/>
      <c r="H60" s="572">
        <v>407</v>
      </c>
      <c r="I60" s="573">
        <v>1494701.7220710218</v>
      </c>
      <c r="J60" s="573"/>
      <c r="K60" s="574">
        <f t="shared" ref="K60:K69" si="8">+I60*$K$59</f>
        <v>1480038.6981775051</v>
      </c>
      <c r="L60" s="455"/>
    </row>
    <row r="61" spans="1:12">
      <c r="A61" s="455"/>
      <c r="B61" s="576" t="s">
        <v>365</v>
      </c>
      <c r="C61" s="577"/>
      <c r="D61" s="577"/>
      <c r="E61" s="577"/>
      <c r="F61" s="577"/>
      <c r="G61" s="577"/>
      <c r="H61" s="564"/>
      <c r="I61" s="578">
        <v>241268.10200000007</v>
      </c>
      <c r="J61" s="578"/>
      <c r="K61" s="579">
        <f t="shared" si="8"/>
        <v>238901.26191938008</v>
      </c>
      <c r="L61" s="455"/>
    </row>
    <row r="62" spans="1:12">
      <c r="A62" s="455"/>
      <c r="B62" s="576" t="s">
        <v>366</v>
      </c>
      <c r="C62" s="577"/>
      <c r="D62" s="577"/>
      <c r="E62" s="577"/>
      <c r="F62" s="577"/>
      <c r="G62" s="577"/>
      <c r="H62" s="564">
        <v>407.3</v>
      </c>
      <c r="I62" s="578">
        <v>687420</v>
      </c>
      <c r="J62" s="578"/>
      <c r="K62" s="592">
        <f t="shared" si="8"/>
        <v>680676.40980000002</v>
      </c>
      <c r="L62" s="455"/>
    </row>
    <row r="63" spans="1:12">
      <c r="A63" s="455"/>
      <c r="B63" s="576" t="s">
        <v>367</v>
      </c>
      <c r="C63" s="577"/>
      <c r="D63" s="577"/>
      <c r="E63" s="577"/>
      <c r="F63" s="577"/>
      <c r="G63" s="577"/>
      <c r="H63" s="564">
        <v>407.3</v>
      </c>
      <c r="I63" s="578">
        <v>2885052</v>
      </c>
      <c r="J63" s="578"/>
      <c r="K63" s="592">
        <f t="shared" si="8"/>
        <v>2856749.6398800001</v>
      </c>
      <c r="L63" s="455"/>
    </row>
    <row r="64" spans="1:12">
      <c r="A64" s="455"/>
      <c r="B64" s="593" t="s">
        <v>368</v>
      </c>
      <c r="C64" s="594"/>
      <c r="D64" s="594"/>
      <c r="E64" s="594"/>
      <c r="F64" s="594"/>
      <c r="G64" s="594"/>
      <c r="H64" s="564"/>
      <c r="I64" s="578">
        <v>4499640</v>
      </c>
      <c r="J64" s="578"/>
      <c r="K64" s="592">
        <f t="shared" si="8"/>
        <v>4455498.5316000003</v>
      </c>
      <c r="L64" s="455"/>
    </row>
    <row r="65" spans="1:12">
      <c r="A65" s="455"/>
      <c r="B65" s="593" t="s">
        <v>369</v>
      </c>
      <c r="C65" s="594"/>
      <c r="D65" s="594"/>
      <c r="E65" s="594"/>
      <c r="F65" s="594"/>
      <c r="G65" s="594"/>
      <c r="H65" s="564">
        <v>407.3</v>
      </c>
      <c r="I65" s="578">
        <v>4520422.508572978</v>
      </c>
      <c r="J65" s="578"/>
      <c r="K65" s="592">
        <f t="shared" si="8"/>
        <v>4476077.163763877</v>
      </c>
      <c r="L65" s="455"/>
    </row>
    <row r="66" spans="1:12">
      <c r="A66" s="455"/>
      <c r="B66" s="593" t="s">
        <v>370</v>
      </c>
      <c r="C66" s="594"/>
      <c r="D66" s="594"/>
      <c r="E66" s="594"/>
      <c r="F66" s="594"/>
      <c r="G66" s="594"/>
      <c r="H66" s="564">
        <v>407.3</v>
      </c>
      <c r="I66" s="578">
        <v>2644123.3835876156</v>
      </c>
      <c r="J66" s="578"/>
      <c r="K66" s="592">
        <f t="shared" si="8"/>
        <v>2618184.5331946211</v>
      </c>
      <c r="L66" s="455"/>
    </row>
    <row r="67" spans="1:12">
      <c r="A67" s="455"/>
      <c r="B67" s="593" t="s">
        <v>371</v>
      </c>
      <c r="C67" s="594"/>
      <c r="D67" s="594"/>
      <c r="E67" s="594"/>
      <c r="F67" s="594"/>
      <c r="G67" s="594"/>
      <c r="H67" s="564">
        <v>407.3</v>
      </c>
      <c r="I67" s="578">
        <v>673351.60905598255</v>
      </c>
      <c r="J67" s="578"/>
      <c r="K67" s="592">
        <f t="shared" si="8"/>
        <v>666746.02977114334</v>
      </c>
      <c r="L67" s="455"/>
    </row>
    <row r="68" spans="1:12">
      <c r="A68" s="455"/>
      <c r="B68" s="593" t="s">
        <v>372</v>
      </c>
      <c r="C68" s="594"/>
      <c r="D68" s="594"/>
      <c r="E68" s="594"/>
      <c r="F68" s="594"/>
      <c r="G68" s="594"/>
      <c r="H68" s="564">
        <v>407.4</v>
      </c>
      <c r="I68" s="578">
        <v>-2138247.8860143879</v>
      </c>
      <c r="J68" s="578"/>
      <c r="K68" s="592">
        <f t="shared" si="8"/>
        <v>-2117271.6742525869</v>
      </c>
      <c r="L68" s="455"/>
    </row>
    <row r="69" spans="1:12">
      <c r="A69" s="455"/>
      <c r="B69" s="593" t="s">
        <v>373</v>
      </c>
      <c r="C69" s="594"/>
      <c r="D69" s="594"/>
      <c r="E69" s="594"/>
      <c r="F69" s="594"/>
      <c r="G69" s="594"/>
      <c r="H69" s="564">
        <v>407</v>
      </c>
      <c r="I69" s="578">
        <v>3391494.3549999972</v>
      </c>
      <c r="J69" s="578"/>
      <c r="K69" s="595">
        <f t="shared" si="8"/>
        <v>3358223.7953774473</v>
      </c>
      <c r="L69" s="455"/>
    </row>
    <row r="70" spans="1:12">
      <c r="A70" s="455"/>
      <c r="B70" s="576" t="s">
        <v>374</v>
      </c>
      <c r="C70" s="577"/>
      <c r="D70" s="577"/>
      <c r="E70" s="577"/>
      <c r="F70" s="577"/>
      <c r="G70" s="577"/>
      <c r="H70" s="596"/>
      <c r="I70" s="597">
        <f>SUM(I60:I69)</f>
        <v>18899225.794273205</v>
      </c>
      <c r="J70" s="597"/>
      <c r="K70" s="595">
        <f>SUM(K60:K69)</f>
        <v>18713824.389231384</v>
      </c>
      <c r="L70" s="455"/>
    </row>
    <row r="71" spans="1:12" ht="15.75" thickBot="1">
      <c r="A71" s="455"/>
      <c r="B71" s="598"/>
      <c r="C71" s="599"/>
      <c r="D71" s="599"/>
      <c r="E71" s="599"/>
      <c r="F71" s="599"/>
      <c r="G71" s="599"/>
      <c r="H71" s="586" t="s">
        <v>363</v>
      </c>
      <c r="I71" s="587"/>
      <c r="J71" s="587"/>
      <c r="K71" s="588">
        <f>+K70/I70-K59</f>
        <v>0</v>
      </c>
      <c r="L71" s="455"/>
    </row>
    <row r="72" spans="1:12">
      <c r="A72" s="600"/>
      <c r="B72" s="600"/>
      <c r="C72" s="600"/>
      <c r="D72" s="600"/>
      <c r="E72" s="600"/>
      <c r="F72" s="600"/>
      <c r="G72" s="600"/>
      <c r="H72" s="600"/>
      <c r="I72" s="600"/>
      <c r="J72" s="600"/>
      <c r="K72" s="600"/>
      <c r="L72" s="455"/>
    </row>
    <row r="73" spans="1:12">
      <c r="A73" s="600"/>
      <c r="B73" s="600"/>
      <c r="C73" s="600"/>
      <c r="D73" s="600"/>
      <c r="E73" s="600"/>
      <c r="F73" s="600"/>
      <c r="G73" s="600"/>
      <c r="H73" s="600"/>
      <c r="I73" s="600"/>
      <c r="J73" s="600"/>
      <c r="K73" s="600"/>
      <c r="L73" s="455"/>
    </row>
    <row r="74" spans="1:12">
      <c r="A74" s="455"/>
      <c r="B74" s="601"/>
      <c r="C74" s="601"/>
      <c r="D74" s="601"/>
      <c r="E74" s="601"/>
      <c r="F74" s="601"/>
      <c r="G74" s="601"/>
      <c r="H74" s="602"/>
      <c r="I74" s="602"/>
      <c r="J74" s="602"/>
      <c r="K74" s="602"/>
      <c r="L74" s="455"/>
    </row>
  </sheetData>
  <printOptions horizontalCentered="1"/>
  <pageMargins left="0.7" right="0.7" top="0.75" bottom="0.75" header="0.3" footer="0.3"/>
  <pageSetup scale="46" orientation="landscape" r:id="rId1"/>
  <headerFooter alignWithMargins="0">
    <oddFooter xml:space="preserve">&amp;L&amp;F 
&amp;A&amp;RPage &amp;P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L36"/>
  <sheetViews>
    <sheetView workbookViewId="0">
      <selection activeCell="N41" sqref="N41"/>
    </sheetView>
  </sheetViews>
  <sheetFormatPr defaultRowHeight="15"/>
  <cols>
    <col min="1" max="1" width="8.28515625" bestFit="1" customWidth="1"/>
    <col min="2" max="2" width="38.7109375" bestFit="1" customWidth="1"/>
    <col min="3" max="3" width="11.7109375" bestFit="1" customWidth="1"/>
    <col min="4" max="4" width="15.140625" bestFit="1" customWidth="1"/>
    <col min="5" max="5" width="9.85546875" bestFit="1" customWidth="1"/>
    <col min="6" max="6" width="10.42578125" bestFit="1" customWidth="1"/>
    <col min="7" max="8" width="9.85546875" bestFit="1" customWidth="1"/>
    <col min="9" max="10" width="13.28515625" bestFit="1" customWidth="1"/>
    <col min="11" max="11" width="15.140625" bestFit="1" customWidth="1"/>
    <col min="12" max="12" width="11.5703125" bestFit="1" customWidth="1"/>
  </cols>
  <sheetData>
    <row r="1" spans="1:12">
      <c r="A1" s="788" t="s">
        <v>216</v>
      </c>
      <c r="B1" s="789"/>
      <c r="C1" s="789"/>
      <c r="D1" s="790"/>
      <c r="E1" s="790"/>
      <c r="F1" s="790"/>
      <c r="G1" s="790"/>
      <c r="H1" s="790"/>
      <c r="I1" s="790"/>
      <c r="J1" s="790"/>
      <c r="K1" s="790"/>
      <c r="L1" s="791"/>
    </row>
    <row r="2" spans="1:12">
      <c r="A2" s="792" t="s">
        <v>217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4"/>
    </row>
    <row r="3" spans="1:12">
      <c r="A3" s="409"/>
      <c r="B3" s="410"/>
      <c r="C3" s="411"/>
      <c r="D3" s="412"/>
      <c r="E3" s="410"/>
      <c r="F3" s="412"/>
      <c r="G3" s="410"/>
      <c r="H3" s="410"/>
      <c r="I3" s="410"/>
      <c r="J3" s="410"/>
      <c r="K3" s="410"/>
      <c r="L3" s="413"/>
    </row>
    <row r="4" spans="1:12" ht="78" thickBot="1">
      <c r="A4" s="414" t="s">
        <v>29</v>
      </c>
      <c r="B4" s="415" t="s">
        <v>218</v>
      </c>
      <c r="C4" s="416" t="s">
        <v>219</v>
      </c>
      <c r="D4" s="417" t="s">
        <v>220</v>
      </c>
      <c r="E4" s="417" t="s">
        <v>221</v>
      </c>
      <c r="F4" s="417" t="s">
        <v>222</v>
      </c>
      <c r="G4" s="417" t="s">
        <v>223</v>
      </c>
      <c r="H4" s="418" t="s">
        <v>224</v>
      </c>
      <c r="I4" s="419" t="s">
        <v>298</v>
      </c>
      <c r="J4" s="419" t="s">
        <v>298</v>
      </c>
      <c r="K4" s="419" t="s">
        <v>284</v>
      </c>
      <c r="L4" s="420" t="s">
        <v>299</v>
      </c>
    </row>
    <row r="5" spans="1:12" ht="25.5">
      <c r="A5" s="421"/>
      <c r="B5" s="422"/>
      <c r="C5" s="422"/>
      <c r="D5" s="423" t="s">
        <v>228</v>
      </c>
      <c r="E5" s="424" t="s">
        <v>286</v>
      </c>
      <c r="F5" s="423" t="s">
        <v>230</v>
      </c>
      <c r="G5" s="424" t="s">
        <v>231</v>
      </c>
      <c r="H5" s="425" t="s">
        <v>232</v>
      </c>
      <c r="I5" s="425" t="s">
        <v>233</v>
      </c>
      <c r="J5" s="426" t="s">
        <v>234</v>
      </c>
      <c r="K5" s="425" t="s">
        <v>235</v>
      </c>
      <c r="L5" s="427" t="s">
        <v>287</v>
      </c>
    </row>
    <row r="6" spans="1:12">
      <c r="A6" s="428"/>
      <c r="B6" s="429"/>
      <c r="C6" s="429"/>
      <c r="D6" s="430"/>
      <c r="E6" s="431"/>
      <c r="F6" s="430"/>
      <c r="G6" s="431"/>
      <c r="H6" s="429"/>
      <c r="I6" s="429"/>
      <c r="J6" s="429"/>
      <c r="K6" s="429"/>
      <c r="L6" s="432"/>
    </row>
    <row r="7" spans="1:12">
      <c r="A7" s="433">
        <v>1</v>
      </c>
      <c r="B7" s="410" t="s">
        <v>2</v>
      </c>
      <c r="C7" s="411">
        <v>7</v>
      </c>
      <c r="D7" s="434">
        <v>11660620432</v>
      </c>
      <c r="E7" s="435">
        <v>0.41341881061557145</v>
      </c>
      <c r="F7" s="434">
        <v>2556735</v>
      </c>
      <c r="G7" s="436">
        <v>0.11909155539305931</v>
      </c>
      <c r="H7" s="436">
        <f t="shared" ref="H7:H12" si="0">+G7+E7</f>
        <v>0.53251036600863078</v>
      </c>
      <c r="I7" s="436"/>
      <c r="J7" s="437">
        <f>+H7*($I$27)</f>
        <v>-35675883.931238055</v>
      </c>
      <c r="K7" s="412">
        <v>10704689132.038425</v>
      </c>
      <c r="L7" s="438">
        <f>+J7/K7</f>
        <v>-3.3327342336791918E-3</v>
      </c>
    </row>
    <row r="8" spans="1:12">
      <c r="A8" s="433">
        <f t="shared" ref="A8:A31" si="1">+A7+1</f>
        <v>2</v>
      </c>
      <c r="B8" s="439" t="s">
        <v>237</v>
      </c>
      <c r="C8" s="411" t="s">
        <v>288</v>
      </c>
      <c r="D8" s="434">
        <v>2822861364</v>
      </c>
      <c r="E8" s="435">
        <v>0.10008249513335413</v>
      </c>
      <c r="F8" s="434">
        <v>443234</v>
      </c>
      <c r="G8" s="436">
        <v>2.0645638465889994E-2</v>
      </c>
      <c r="H8" s="436">
        <f t="shared" si="0"/>
        <v>0.12072813359924411</v>
      </c>
      <c r="I8" s="436"/>
      <c r="J8" s="437">
        <f t="shared" ref="J8:J14" si="2">+H8*($I$27)</f>
        <v>-8088261.1052341964</v>
      </c>
      <c r="K8" s="412">
        <v>2631310630.0537453</v>
      </c>
      <c r="L8" s="438">
        <f t="shared" ref="L8:L14" si="3">+J8/K8</f>
        <v>-3.0738526317848651E-3</v>
      </c>
    </row>
    <row r="9" spans="1:12">
      <c r="A9" s="433">
        <f t="shared" si="1"/>
        <v>3</v>
      </c>
      <c r="B9" s="410" t="s">
        <v>238</v>
      </c>
      <c r="C9" s="411" t="s">
        <v>289</v>
      </c>
      <c r="D9" s="434">
        <v>3169146062.8231239</v>
      </c>
      <c r="E9" s="435">
        <v>0.11235976709814208</v>
      </c>
      <c r="F9" s="434">
        <v>449013.77786666667</v>
      </c>
      <c r="G9" s="436">
        <v>2.0914857894562777E-2</v>
      </c>
      <c r="H9" s="436">
        <f t="shared" si="0"/>
        <v>0.13327462499270484</v>
      </c>
      <c r="I9" s="436"/>
      <c r="J9" s="437">
        <f t="shared" si="2"/>
        <v>-8928821.5886898879</v>
      </c>
      <c r="K9" s="412">
        <v>2915406533.5393066</v>
      </c>
      <c r="L9" s="438">
        <f t="shared" si="3"/>
        <v>-3.0626334564223842E-3</v>
      </c>
    </row>
    <row r="10" spans="1:12">
      <c r="A10" s="433">
        <f t="shared" si="1"/>
        <v>4</v>
      </c>
      <c r="B10" s="410" t="s">
        <v>240</v>
      </c>
      <c r="C10" s="411" t="s">
        <v>290</v>
      </c>
      <c r="D10" s="434">
        <v>2157691595</v>
      </c>
      <c r="E10" s="435">
        <v>7.6499385095507855E-2</v>
      </c>
      <c r="F10" s="434">
        <v>284127.75</v>
      </c>
      <c r="G10" s="436">
        <v>1.3234541584415399E-2</v>
      </c>
      <c r="H10" s="436">
        <f t="shared" si="0"/>
        <v>8.9733926679923248E-2</v>
      </c>
      <c r="I10" s="436"/>
      <c r="J10" s="437">
        <f t="shared" si="2"/>
        <v>-6011783.727183409</v>
      </c>
      <c r="K10" s="412">
        <v>1903096551.4107246</v>
      </c>
      <c r="L10" s="438">
        <f t="shared" si="3"/>
        <v>-3.1589483585196991E-3</v>
      </c>
    </row>
    <row r="11" spans="1:12">
      <c r="A11" s="433">
        <f t="shared" si="1"/>
        <v>5</v>
      </c>
      <c r="B11" s="410" t="s">
        <v>242</v>
      </c>
      <c r="C11" s="411">
        <v>29</v>
      </c>
      <c r="D11" s="434">
        <v>15687149.176876003</v>
      </c>
      <c r="E11" s="435">
        <v>5.5617645668797099E-4</v>
      </c>
      <c r="F11" s="434">
        <v>1035.9721333333325</v>
      </c>
      <c r="G11" s="436">
        <v>4.82551115788427E-5</v>
      </c>
      <c r="H11" s="436">
        <f t="shared" si="0"/>
        <v>6.0443156826681371E-4</v>
      </c>
      <c r="I11" s="436"/>
      <c r="J11" s="437">
        <f t="shared" si="2"/>
        <v>-40494.292412541581</v>
      </c>
      <c r="K11" s="412">
        <v>14047528.598707804</v>
      </c>
      <c r="L11" s="438">
        <f t="shared" si="3"/>
        <v>-2.8826631053284735E-3</v>
      </c>
    </row>
    <row r="12" spans="1:12">
      <c r="A12" s="433">
        <f t="shared" si="1"/>
        <v>6</v>
      </c>
      <c r="B12" s="410" t="s">
        <v>243</v>
      </c>
      <c r="C12" s="411" t="s">
        <v>291</v>
      </c>
      <c r="D12" s="434">
        <v>1367953304</v>
      </c>
      <c r="E12" s="435">
        <v>4.849978877327385E-2</v>
      </c>
      <c r="F12" s="434">
        <v>165975.58333333334</v>
      </c>
      <c r="G12" s="436">
        <v>7.7310673090629266E-3</v>
      </c>
      <c r="H12" s="436">
        <f t="shared" si="0"/>
        <v>5.6230856082336779E-2</v>
      </c>
      <c r="I12" s="436"/>
      <c r="J12" s="437">
        <f t="shared" si="2"/>
        <v>-3767223.368784307</v>
      </c>
      <c r="K12" s="412">
        <v>1316794760.0766146</v>
      </c>
      <c r="L12" s="438">
        <f t="shared" si="3"/>
        <v>-2.8609039791175355E-3</v>
      </c>
    </row>
    <row r="13" spans="1:12">
      <c r="A13" s="433">
        <f t="shared" si="1"/>
        <v>7</v>
      </c>
      <c r="B13" s="410" t="s">
        <v>244</v>
      </c>
      <c r="C13" s="411">
        <v>35</v>
      </c>
      <c r="D13" s="434">
        <v>4806559</v>
      </c>
      <c r="E13" s="435">
        <v>1.7041305104832611E-4</v>
      </c>
      <c r="F13" s="434">
        <v>4</v>
      </c>
      <c r="G13" s="436">
        <v>1.86318183766498E-7</v>
      </c>
      <c r="H13" s="436">
        <f>+G13+E13</f>
        <v>1.7059936923209261E-4</v>
      </c>
      <c r="I13" s="436"/>
      <c r="J13" s="437">
        <f t="shared" si="2"/>
        <v>-11429.417498640611</v>
      </c>
      <c r="K13" s="412">
        <v>4593600</v>
      </c>
      <c r="L13" s="438">
        <f t="shared" si="3"/>
        <v>-2.4881177069489314E-3</v>
      </c>
    </row>
    <row r="14" spans="1:12">
      <c r="A14" s="433">
        <f t="shared" si="1"/>
        <v>8</v>
      </c>
      <c r="B14" s="410" t="s">
        <v>245</v>
      </c>
      <c r="C14" s="411">
        <v>43</v>
      </c>
      <c r="D14" s="434">
        <v>154110146</v>
      </c>
      <c r="E14" s="435">
        <v>5.4638630624034758E-3</v>
      </c>
      <c r="F14" s="434">
        <v>0</v>
      </c>
      <c r="G14" s="436">
        <v>0</v>
      </c>
      <c r="H14" s="436">
        <f>+G14+E14</f>
        <v>5.4638630624034758E-3</v>
      </c>
      <c r="I14" s="436"/>
      <c r="J14" s="437">
        <f t="shared" si="2"/>
        <v>-366055.11718306341</v>
      </c>
      <c r="K14" s="412">
        <v>130432925.631</v>
      </c>
      <c r="L14" s="438">
        <f t="shared" si="3"/>
        <v>-2.806462520197148E-3</v>
      </c>
    </row>
    <row r="15" spans="1:12">
      <c r="A15" s="433">
        <f t="shared" si="1"/>
        <v>9</v>
      </c>
      <c r="B15" s="410"/>
      <c r="C15" s="411"/>
      <c r="D15" s="412"/>
      <c r="E15" s="436"/>
      <c r="F15" s="412"/>
      <c r="G15" s="436"/>
      <c r="H15" s="436"/>
      <c r="I15" s="436"/>
      <c r="J15" s="437"/>
      <c r="K15" s="412"/>
      <c r="L15" s="440"/>
    </row>
    <row r="16" spans="1:12">
      <c r="A16" s="433">
        <f t="shared" si="1"/>
        <v>10</v>
      </c>
      <c r="B16" s="439"/>
      <c r="C16" s="411"/>
      <c r="D16" s="412"/>
      <c r="E16" s="436"/>
      <c r="F16" s="412"/>
      <c r="G16" s="436"/>
      <c r="H16" s="436"/>
      <c r="I16" s="436"/>
      <c r="J16" s="437"/>
      <c r="K16" s="412"/>
      <c r="L16" s="440"/>
    </row>
    <row r="17" spans="1:12">
      <c r="A17" s="433">
        <f t="shared" si="1"/>
        <v>11</v>
      </c>
      <c r="B17" s="439" t="s">
        <v>246</v>
      </c>
      <c r="C17" s="411">
        <v>40</v>
      </c>
      <c r="D17" s="412">
        <v>801873373</v>
      </c>
      <c r="E17" s="435">
        <v>2.8429836822421707E-2</v>
      </c>
      <c r="F17" s="412">
        <v>96819.916666666672</v>
      </c>
      <c r="G17" s="436">
        <v>4.509827756439256E-3</v>
      </c>
      <c r="H17" s="436">
        <f>+G17+E17</f>
        <v>3.2939664578860967E-2</v>
      </c>
      <c r="I17" s="436"/>
      <c r="J17" s="437">
        <f>+H17*($I$27)</f>
        <v>-2206814.5997937452</v>
      </c>
      <c r="K17" s="412">
        <v>696662806</v>
      </c>
      <c r="L17" s="438">
        <f>+J17/K17</f>
        <v>-3.1676940132121037E-3</v>
      </c>
    </row>
    <row r="18" spans="1:12">
      <c r="A18" s="433">
        <f t="shared" si="1"/>
        <v>12</v>
      </c>
      <c r="B18" s="439" t="s">
        <v>247</v>
      </c>
      <c r="C18" s="411">
        <f>+C17</f>
        <v>40</v>
      </c>
      <c r="D18" s="412">
        <v>0</v>
      </c>
      <c r="E18" s="435">
        <v>0</v>
      </c>
      <c r="F18" s="412">
        <v>0</v>
      </c>
      <c r="G18" s="436">
        <v>0</v>
      </c>
      <c r="H18" s="436">
        <f>+G18+E18</f>
        <v>0</v>
      </c>
      <c r="I18" s="436"/>
      <c r="J18" s="437"/>
      <c r="K18" s="412">
        <v>0</v>
      </c>
      <c r="L18" s="438">
        <f>+L21</f>
        <v>-2.3323694338915728E-3</v>
      </c>
    </row>
    <row r="19" spans="1:12">
      <c r="A19" s="433">
        <f t="shared" si="1"/>
        <v>13</v>
      </c>
      <c r="B19" s="441"/>
      <c r="C19" s="442"/>
      <c r="D19" s="412"/>
      <c r="E19" s="436"/>
      <c r="F19" s="412"/>
      <c r="G19" s="436"/>
      <c r="H19" s="436"/>
      <c r="I19" s="436"/>
      <c r="J19" s="437"/>
      <c r="K19" s="412"/>
      <c r="L19" s="440"/>
    </row>
    <row r="20" spans="1:12">
      <c r="A20" s="433">
        <f t="shared" si="1"/>
        <v>14</v>
      </c>
      <c r="B20" s="443" t="s">
        <v>248</v>
      </c>
      <c r="C20" s="411">
        <v>46</v>
      </c>
      <c r="D20" s="412">
        <v>53295879.17946253</v>
      </c>
      <c r="E20" s="435">
        <v>1.8895666066462867E-3</v>
      </c>
      <c r="F20" s="412">
        <v>0</v>
      </c>
      <c r="G20" s="436">
        <v>0</v>
      </c>
      <c r="H20" s="436">
        <f t="shared" ref="H20:H21" si="4">+G20+E20</f>
        <v>1.8895666066462867E-3</v>
      </c>
      <c r="I20" s="436"/>
      <c r="J20" s="437">
        <f t="shared" ref="J20:J21" si="5">+H20*($I$27)</f>
        <v>-126592.76371338034</v>
      </c>
      <c r="K20" s="412">
        <v>47291096.004999995</v>
      </c>
      <c r="L20" s="438">
        <f>+J20/K20</f>
        <v>-2.6768836928625197E-3</v>
      </c>
    </row>
    <row r="21" spans="1:12">
      <c r="A21" s="433">
        <f t="shared" si="1"/>
        <v>15</v>
      </c>
      <c r="B21" s="443" t="s">
        <v>249</v>
      </c>
      <c r="C21" s="411">
        <v>49</v>
      </c>
      <c r="D21" s="412">
        <v>539784440.87161875</v>
      </c>
      <c r="E21" s="435">
        <v>1.9137664486662358E-2</v>
      </c>
      <c r="F21" s="412">
        <v>69539.626533333343</v>
      </c>
      <c r="G21" s="436">
        <v>3.2391242288728104E-3</v>
      </c>
      <c r="H21" s="436">
        <f t="shared" si="4"/>
        <v>2.2376788715535167E-2</v>
      </c>
      <c r="I21" s="436"/>
      <c r="J21" s="437">
        <f t="shared" si="5"/>
        <v>-1499147.7498417962</v>
      </c>
      <c r="K21" s="412">
        <v>642757415.72399998</v>
      </c>
      <c r="L21" s="438">
        <f>+J21/K21</f>
        <v>-2.3323694338915728E-3</v>
      </c>
    </row>
    <row r="22" spans="1:12">
      <c r="A22" s="433">
        <f t="shared" si="1"/>
        <v>16</v>
      </c>
      <c r="B22" s="439"/>
      <c r="C22" s="442"/>
      <c r="D22" s="412"/>
      <c r="E22" s="436"/>
      <c r="F22" s="412"/>
      <c r="G22" s="436"/>
      <c r="H22" s="436"/>
      <c r="I22" s="436"/>
      <c r="J22" s="437"/>
      <c r="K22" s="412"/>
      <c r="L22" s="440"/>
    </row>
    <row r="23" spans="1:12">
      <c r="A23" s="433">
        <f t="shared" si="1"/>
        <v>17</v>
      </c>
      <c r="B23" s="410" t="s">
        <v>250</v>
      </c>
      <c r="C23" s="411" t="s">
        <v>251</v>
      </c>
      <c r="D23" s="434">
        <v>90893526</v>
      </c>
      <c r="E23" s="435">
        <v>3.2225638104515842E-3</v>
      </c>
      <c r="F23" s="434">
        <v>10941</v>
      </c>
      <c r="G23" s="436">
        <v>5.096268121473137E-4</v>
      </c>
      <c r="H23" s="436">
        <f>+G23+E23</f>
        <v>3.732190622598898E-3</v>
      </c>
      <c r="I23" s="436"/>
      <c r="J23" s="437">
        <f>+H23*($I$27)</f>
        <v>-250040.57753672975</v>
      </c>
      <c r="K23" s="412">
        <v>80910221.975582257</v>
      </c>
      <c r="L23" s="438">
        <f>+J23/K23</f>
        <v>-3.0903459591569162E-3</v>
      </c>
    </row>
    <row r="24" spans="1:12">
      <c r="A24" s="433">
        <f t="shared" si="1"/>
        <v>18</v>
      </c>
      <c r="B24" s="410"/>
      <c r="C24" s="411"/>
      <c r="D24" s="412"/>
      <c r="E24" s="436"/>
      <c r="F24" s="412"/>
      <c r="G24" s="410"/>
      <c r="H24" s="410"/>
      <c r="I24" s="410"/>
      <c r="J24" s="437"/>
      <c r="K24" s="410"/>
      <c r="L24" s="440"/>
    </row>
    <row r="25" spans="1:12">
      <c r="A25" s="433">
        <f t="shared" si="1"/>
        <v>19</v>
      </c>
      <c r="B25" s="410" t="s">
        <v>14</v>
      </c>
      <c r="C25" s="411">
        <v>5</v>
      </c>
      <c r="D25" s="434">
        <v>7606107</v>
      </c>
      <c r="E25" s="435">
        <v>2.6966898782892931E-4</v>
      </c>
      <c r="F25" s="434">
        <v>1617</v>
      </c>
      <c r="G25" s="436">
        <v>7.5319125787606813E-5</v>
      </c>
      <c r="H25" s="436">
        <f>+G25+E25</f>
        <v>3.4498811361653611E-4</v>
      </c>
      <c r="I25" s="436"/>
      <c r="J25" s="437">
        <f>+H25*($I$27)</f>
        <v>-23112.706690184561</v>
      </c>
      <c r="K25" s="412">
        <v>7354696</v>
      </c>
      <c r="L25" s="438">
        <f>+J25/K25</f>
        <v>-3.1425781147425484E-3</v>
      </c>
    </row>
    <row r="26" spans="1:12">
      <c r="A26" s="433">
        <f t="shared" si="1"/>
        <v>20</v>
      </c>
      <c r="B26" s="410"/>
      <c r="C26" s="411"/>
      <c r="D26" s="412"/>
      <c r="E26" s="436"/>
      <c r="F26" s="412"/>
      <c r="G26" s="410"/>
      <c r="H26" s="410"/>
      <c r="I26" s="410"/>
      <c r="J26" s="437"/>
      <c r="K26" s="410"/>
      <c r="L26" s="440"/>
    </row>
    <row r="27" spans="1:12">
      <c r="A27" s="433">
        <f t="shared" si="1"/>
        <v>21</v>
      </c>
      <c r="B27" s="410" t="s">
        <v>115</v>
      </c>
      <c r="C27" s="411"/>
      <c r="D27" s="412">
        <f>SUM(D7:D25)</f>
        <v>22846329938.051083</v>
      </c>
      <c r="E27" s="436">
        <f>SUM(E7:E25)</f>
        <v>0.80999999999999994</v>
      </c>
      <c r="F27" s="412">
        <f>SUM(F7:F25)</f>
        <v>4079043.6265333332</v>
      </c>
      <c r="G27" s="436">
        <f>SUM(G7:G25)</f>
        <v>0.19000000000000003</v>
      </c>
      <c r="H27" s="436">
        <f>SUM(H7:H25)</f>
        <v>1</v>
      </c>
      <c r="I27" s="437">
        <v>-66995660.945799939</v>
      </c>
      <c r="J27" s="437">
        <f>SUM(J7:J25)</f>
        <v>-66995660.945799947</v>
      </c>
      <c r="K27" s="412">
        <f>SUM(K7:K25)</f>
        <v>21095347897.053108</v>
      </c>
      <c r="L27" s="438">
        <f>+J27/K27</f>
        <v>-3.1758500154983856E-3</v>
      </c>
    </row>
    <row r="28" spans="1:12">
      <c r="A28" s="433">
        <f t="shared" si="1"/>
        <v>22</v>
      </c>
      <c r="B28" s="410"/>
      <c r="C28" s="411"/>
      <c r="D28" s="412"/>
      <c r="E28" s="410"/>
      <c r="F28" s="412"/>
      <c r="G28" s="410"/>
      <c r="H28" s="410"/>
      <c r="I28" s="410"/>
      <c r="J28" s="437"/>
      <c r="K28" s="410"/>
      <c r="L28" s="444"/>
    </row>
    <row r="29" spans="1:12">
      <c r="A29" s="433">
        <f t="shared" si="1"/>
        <v>23</v>
      </c>
      <c r="B29" s="439" t="s">
        <v>300</v>
      </c>
      <c r="C29" s="411" t="s">
        <v>253</v>
      </c>
      <c r="D29" s="412"/>
      <c r="E29" s="436"/>
      <c r="F29" s="412"/>
      <c r="G29" s="436"/>
      <c r="H29" s="436"/>
      <c r="I29" s="436"/>
      <c r="J29" s="437"/>
      <c r="K29" s="412">
        <v>2089434881.3309999</v>
      </c>
      <c r="L29" s="440"/>
    </row>
    <row r="30" spans="1:12">
      <c r="A30" s="433">
        <f t="shared" si="1"/>
        <v>24</v>
      </c>
      <c r="B30" s="439"/>
      <c r="C30" s="442"/>
      <c r="D30" s="412"/>
      <c r="E30" s="436"/>
      <c r="F30" s="412"/>
      <c r="G30" s="436"/>
      <c r="H30" s="436"/>
      <c r="I30" s="436"/>
      <c r="J30" s="437"/>
      <c r="K30" s="412"/>
      <c r="L30" s="440"/>
    </row>
    <row r="31" spans="1:12">
      <c r="A31" s="433">
        <f t="shared" si="1"/>
        <v>25</v>
      </c>
      <c r="B31" s="410" t="s">
        <v>1</v>
      </c>
      <c r="C31" s="411"/>
      <c r="D31" s="412">
        <f>SUM(D27:D30)</f>
        <v>22846329938.051083</v>
      </c>
      <c r="E31" s="436"/>
      <c r="F31" s="412">
        <f>SUM(F27:F30)</f>
        <v>4079043.6265333332</v>
      </c>
      <c r="G31" s="436"/>
      <c r="H31" s="436"/>
      <c r="I31" s="437"/>
      <c r="J31" s="437"/>
      <c r="K31" s="412">
        <f>SUM(K27:K30)</f>
        <v>23184782778.384109</v>
      </c>
      <c r="L31" s="440"/>
    </row>
    <row r="32" spans="1:12">
      <c r="A32" s="409"/>
      <c r="B32" s="410"/>
      <c r="C32" s="411"/>
      <c r="D32" s="412"/>
      <c r="E32" s="410"/>
      <c r="F32" s="412"/>
      <c r="G32" s="410"/>
      <c r="H32" s="410"/>
      <c r="I32" s="410"/>
      <c r="J32" s="410"/>
      <c r="K32" s="410"/>
      <c r="L32" s="413"/>
    </row>
    <row r="33" spans="1:12">
      <c r="A33" s="795" t="s">
        <v>255</v>
      </c>
      <c r="B33" s="796"/>
      <c r="C33" s="796"/>
      <c r="D33" s="796"/>
      <c r="E33" s="796"/>
      <c r="F33" s="796"/>
      <c r="G33" s="796"/>
      <c r="H33" s="796"/>
      <c r="I33" s="796"/>
      <c r="J33" s="796"/>
      <c r="K33" s="796"/>
      <c r="L33" s="797"/>
    </row>
    <row r="34" spans="1:12">
      <c r="A34" s="795" t="s">
        <v>256</v>
      </c>
      <c r="B34" s="796"/>
      <c r="C34" s="796"/>
      <c r="D34" s="796"/>
      <c r="E34" s="796"/>
      <c r="F34" s="796"/>
      <c r="G34" s="796"/>
      <c r="H34" s="796"/>
      <c r="I34" s="796"/>
      <c r="J34" s="796"/>
      <c r="K34" s="796"/>
      <c r="L34" s="797"/>
    </row>
    <row r="35" spans="1:12" ht="15.75" thickBot="1">
      <c r="A35" s="798" t="s">
        <v>257</v>
      </c>
      <c r="B35" s="799"/>
      <c r="C35" s="799"/>
      <c r="D35" s="799"/>
      <c r="E35" s="799"/>
      <c r="F35" s="799"/>
      <c r="G35" s="799"/>
      <c r="H35" s="799"/>
      <c r="I35" s="799"/>
      <c r="J35" s="799"/>
      <c r="K35" s="799"/>
      <c r="L35" s="800"/>
    </row>
    <row r="36" spans="1:12">
      <c r="A36" s="410"/>
      <c r="B36" s="410"/>
      <c r="C36" s="410"/>
      <c r="D36" s="412"/>
      <c r="E36" s="410"/>
      <c r="F36" s="412"/>
      <c r="G36" s="410"/>
      <c r="H36" s="410"/>
      <c r="I36" s="410"/>
      <c r="J36" s="410"/>
      <c r="K36" s="410"/>
      <c r="L36" s="410"/>
    </row>
  </sheetData>
  <mergeCells count="5">
    <mergeCell ref="A1:L1"/>
    <mergeCell ref="A2:L2"/>
    <mergeCell ref="A33:L33"/>
    <mergeCell ref="A34:L34"/>
    <mergeCell ref="A35:L35"/>
  </mergeCells>
  <printOptions horizontalCentered="1"/>
  <pageMargins left="0.7" right="0.7" top="0.75" bottom="0.75" header="0.3" footer="0.3"/>
  <pageSetup scale="73" orientation="landscape" r:id="rId1"/>
  <headerFooter alignWithMargins="0">
    <oddFooter>&amp;L&amp;F 
&amp;A&amp;RPage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69"/>
  <sheetViews>
    <sheetView zoomScale="80" workbookViewId="0">
      <pane xSplit="2" ySplit="5" topLeftCell="C31" activePane="bottomRight" state="frozen"/>
      <selection sqref="A1:N52"/>
      <selection pane="topRight" sqref="A1:N52"/>
      <selection pane="bottomLeft" sqref="A1:N52"/>
      <selection pane="bottomRight" sqref="A1:N52"/>
    </sheetView>
  </sheetViews>
  <sheetFormatPr defaultColWidth="14.7109375" defaultRowHeight="12.75"/>
  <cols>
    <col min="1" max="1" width="34.28515625" style="99" bestFit="1" customWidth="1"/>
    <col min="2" max="6" width="14.28515625" style="99" bestFit="1" customWidth="1"/>
    <col min="7" max="7" width="12.28515625" style="99" bestFit="1" customWidth="1"/>
    <col min="8" max="8" width="13.42578125" style="99" bestFit="1" customWidth="1"/>
    <col min="9" max="9" width="14.28515625" style="99" customWidth="1"/>
    <col min="10" max="13" width="15" style="99" customWidth="1"/>
    <col min="14" max="14" width="13.28515625" style="99" customWidth="1"/>
    <col min="15" max="16384" width="14.7109375" style="99"/>
  </cols>
  <sheetData>
    <row r="1" spans="1:14">
      <c r="A1" s="299" t="s">
        <v>275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>
      <c r="A2" s="299" t="s">
        <v>276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>
      <c r="A3" s="299" t="s">
        <v>277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 s="305" customFormat="1">
      <c r="A5" s="303"/>
      <c r="B5" s="303" t="s">
        <v>1</v>
      </c>
      <c r="C5" s="304">
        <v>41640</v>
      </c>
      <c r="D5" s="304">
        <v>41671</v>
      </c>
      <c r="E5" s="304">
        <v>41699</v>
      </c>
      <c r="F5" s="304">
        <v>41730</v>
      </c>
      <c r="G5" s="304">
        <v>41760</v>
      </c>
      <c r="H5" s="304">
        <v>41791</v>
      </c>
      <c r="I5" s="304">
        <v>41821</v>
      </c>
      <c r="J5" s="304">
        <v>41852</v>
      </c>
      <c r="K5" s="304">
        <v>41883</v>
      </c>
      <c r="L5" s="304">
        <v>41913</v>
      </c>
      <c r="M5" s="304">
        <v>41944</v>
      </c>
      <c r="N5" s="304">
        <v>41974</v>
      </c>
    </row>
    <row r="6" spans="1:14">
      <c r="A6" s="306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/>
    </row>
    <row r="7" spans="1:14">
      <c r="A7" s="309" t="s">
        <v>258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1"/>
    </row>
    <row r="8" spans="1:14">
      <c r="A8" s="312" t="s">
        <v>259</v>
      </c>
      <c r="B8" s="313">
        <f>SUM(C8:N8)</f>
        <v>15589655</v>
      </c>
      <c r="C8" s="313">
        <f t="shared" ref="C8:N18" si="0">ROUND(+C24*C41,0)</f>
        <v>2800743</v>
      </c>
      <c r="D8" s="313">
        <f t="shared" si="0"/>
        <v>-1437028</v>
      </c>
      <c r="E8" s="313">
        <f t="shared" si="0"/>
        <v>2019538</v>
      </c>
      <c r="F8" s="313">
        <f t="shared" si="0"/>
        <v>1849411</v>
      </c>
      <c r="G8" s="313">
        <f t="shared" si="0"/>
        <v>2226127</v>
      </c>
      <c r="H8" s="313">
        <f t="shared" si="0"/>
        <v>39417</v>
      </c>
      <c r="I8" s="313">
        <f t="shared" si="0"/>
        <v>-1256222</v>
      </c>
      <c r="J8" s="313">
        <f t="shared" si="0"/>
        <v>-1279475</v>
      </c>
      <c r="K8" s="313">
        <f t="shared" si="0"/>
        <v>-384331</v>
      </c>
      <c r="L8" s="313">
        <f t="shared" si="0"/>
        <v>4944375</v>
      </c>
      <c r="M8" s="313">
        <f t="shared" si="0"/>
        <v>-15312</v>
      </c>
      <c r="N8" s="314">
        <f t="shared" si="0"/>
        <v>6082412</v>
      </c>
    </row>
    <row r="9" spans="1:14">
      <c r="A9" s="315" t="s">
        <v>260</v>
      </c>
      <c r="B9" s="313">
        <f t="shared" ref="B9:B18" si="1">SUM(C9:N9)</f>
        <v>687447</v>
      </c>
      <c r="C9" s="313">
        <f t="shared" si="0"/>
        <v>272171</v>
      </c>
      <c r="D9" s="313">
        <f t="shared" si="0"/>
        <v>-139362</v>
      </c>
      <c r="E9" s="313">
        <f t="shared" si="0"/>
        <v>160673</v>
      </c>
      <c r="F9" s="313">
        <f t="shared" si="0"/>
        <v>120470</v>
      </c>
      <c r="G9" s="313">
        <f t="shared" si="0"/>
        <v>63908</v>
      </c>
      <c r="H9" s="313">
        <f t="shared" si="0"/>
        <v>7228</v>
      </c>
      <c r="I9" s="313">
        <f t="shared" si="0"/>
        <v>-230324</v>
      </c>
      <c r="J9" s="313">
        <f t="shared" si="0"/>
        <v>-234820</v>
      </c>
      <c r="K9" s="313">
        <f t="shared" si="0"/>
        <v>-70479</v>
      </c>
      <c r="L9" s="313">
        <f t="shared" si="0"/>
        <v>247229</v>
      </c>
      <c r="M9" s="313">
        <f t="shared" si="0"/>
        <v>-10418</v>
      </c>
      <c r="N9" s="314">
        <f t="shared" si="0"/>
        <v>501171</v>
      </c>
    </row>
    <row r="10" spans="1:14">
      <c r="A10" s="315" t="s">
        <v>261</v>
      </c>
      <c r="B10" s="313">
        <f t="shared" si="1"/>
        <v>197858</v>
      </c>
      <c r="C10" s="313">
        <f t="shared" si="0"/>
        <v>253809</v>
      </c>
      <c r="D10" s="313">
        <f t="shared" si="0"/>
        <v>-125381</v>
      </c>
      <c r="E10" s="313">
        <f t="shared" si="0"/>
        <v>121715</v>
      </c>
      <c r="F10" s="313">
        <f t="shared" si="0"/>
        <v>71269</v>
      </c>
      <c r="G10" s="313">
        <f t="shared" si="0"/>
        <v>-27620</v>
      </c>
      <c r="H10" s="313">
        <f t="shared" si="0"/>
        <v>7779</v>
      </c>
      <c r="I10" s="313">
        <f t="shared" si="0"/>
        <v>-248238</v>
      </c>
      <c r="J10" s="313">
        <f t="shared" si="0"/>
        <v>-253110</v>
      </c>
      <c r="K10" s="313">
        <f t="shared" si="0"/>
        <v>-75928</v>
      </c>
      <c r="L10" s="313">
        <f t="shared" si="0"/>
        <v>82798</v>
      </c>
      <c r="M10" s="313">
        <f t="shared" si="0"/>
        <v>-14777</v>
      </c>
      <c r="N10" s="314">
        <f t="shared" si="0"/>
        <v>405542</v>
      </c>
    </row>
    <row r="11" spans="1:14">
      <c r="A11" s="315" t="s">
        <v>262</v>
      </c>
      <c r="B11" s="313">
        <f t="shared" si="1"/>
        <v>-190299</v>
      </c>
      <c r="C11" s="313">
        <f t="shared" si="0"/>
        <v>71093</v>
      </c>
      <c r="D11" s="313">
        <f t="shared" si="0"/>
        <v>-35467</v>
      </c>
      <c r="E11" s="313">
        <f t="shared" si="0"/>
        <v>30722</v>
      </c>
      <c r="F11" s="313">
        <f t="shared" si="0"/>
        <v>13641</v>
      </c>
      <c r="G11" s="313">
        <f t="shared" si="0"/>
        <v>-43955</v>
      </c>
      <c r="H11" s="313">
        <f t="shared" si="0"/>
        <v>4306</v>
      </c>
      <c r="I11" s="313">
        <f t="shared" si="0"/>
        <v>-136808</v>
      </c>
      <c r="J11" s="313">
        <f t="shared" si="0"/>
        <v>-140561</v>
      </c>
      <c r="K11" s="313">
        <f t="shared" si="0"/>
        <v>-42014</v>
      </c>
      <c r="L11" s="313">
        <f t="shared" si="0"/>
        <v>-12330</v>
      </c>
      <c r="M11" s="313">
        <f t="shared" si="0"/>
        <v>-5255</v>
      </c>
      <c r="N11" s="314">
        <f t="shared" si="0"/>
        <v>106329</v>
      </c>
    </row>
    <row r="12" spans="1:14">
      <c r="A12" s="312" t="s">
        <v>263</v>
      </c>
      <c r="B12" s="313">
        <f t="shared" si="1"/>
        <v>-7847</v>
      </c>
      <c r="C12" s="313">
        <f t="shared" si="0"/>
        <v>0</v>
      </c>
      <c r="D12" s="313">
        <f t="shared" si="0"/>
        <v>0</v>
      </c>
      <c r="E12" s="313">
        <f t="shared" si="0"/>
        <v>0</v>
      </c>
      <c r="F12" s="313">
        <f t="shared" si="0"/>
        <v>0</v>
      </c>
      <c r="G12" s="313">
        <f t="shared" si="0"/>
        <v>-847</v>
      </c>
      <c r="H12" s="313">
        <f t="shared" si="0"/>
        <v>81</v>
      </c>
      <c r="I12" s="313">
        <f t="shared" si="0"/>
        <v>-2834</v>
      </c>
      <c r="J12" s="313">
        <f t="shared" si="0"/>
        <v>-2937</v>
      </c>
      <c r="K12" s="313">
        <f t="shared" si="0"/>
        <v>-873</v>
      </c>
      <c r="L12" s="313">
        <f t="shared" si="0"/>
        <v>-437</v>
      </c>
      <c r="M12" s="313">
        <f t="shared" si="0"/>
        <v>0</v>
      </c>
      <c r="N12" s="314">
        <f t="shared" si="0"/>
        <v>0</v>
      </c>
    </row>
    <row r="13" spans="1:14">
      <c r="A13" s="315" t="s">
        <v>264</v>
      </c>
      <c r="B13" s="313">
        <f t="shared" si="1"/>
        <v>-46921</v>
      </c>
      <c r="C13" s="313">
        <f t="shared" si="0"/>
        <v>50728</v>
      </c>
      <c r="D13" s="313">
        <f t="shared" si="0"/>
        <v>-25392</v>
      </c>
      <c r="E13" s="313">
        <f t="shared" si="0"/>
        <v>22840</v>
      </c>
      <c r="F13" s="313">
        <f t="shared" si="0"/>
        <v>11449</v>
      </c>
      <c r="G13" s="313">
        <f t="shared" si="0"/>
        <v>-18510</v>
      </c>
      <c r="H13" s="313">
        <f t="shared" si="0"/>
        <v>2217</v>
      </c>
      <c r="I13" s="313">
        <f t="shared" si="0"/>
        <v>-70919</v>
      </c>
      <c r="J13" s="313">
        <f t="shared" si="0"/>
        <v>-71756</v>
      </c>
      <c r="K13" s="313">
        <f t="shared" si="0"/>
        <v>-21486</v>
      </c>
      <c r="L13" s="313">
        <f t="shared" si="0"/>
        <v>2408</v>
      </c>
      <c r="M13" s="313">
        <f t="shared" si="0"/>
        <v>-3396</v>
      </c>
      <c r="N13" s="314">
        <f t="shared" si="0"/>
        <v>74896</v>
      </c>
    </row>
    <row r="14" spans="1:14">
      <c r="A14" s="315" t="s">
        <v>265</v>
      </c>
      <c r="B14" s="313">
        <f t="shared" si="1"/>
        <v>246449</v>
      </c>
      <c r="C14" s="313">
        <f t="shared" si="0"/>
        <v>52442</v>
      </c>
      <c r="D14" s="313">
        <f t="shared" si="0"/>
        <v>-26459</v>
      </c>
      <c r="E14" s="313">
        <f t="shared" si="0"/>
        <v>32672</v>
      </c>
      <c r="F14" s="313">
        <f t="shared" si="0"/>
        <v>26534</v>
      </c>
      <c r="G14" s="313">
        <f t="shared" si="0"/>
        <v>29151</v>
      </c>
      <c r="H14" s="313">
        <f t="shared" si="0"/>
        <v>486</v>
      </c>
      <c r="I14" s="313">
        <f t="shared" si="0"/>
        <v>-15480</v>
      </c>
      <c r="J14" s="313">
        <f t="shared" si="0"/>
        <v>-15762</v>
      </c>
      <c r="K14" s="313">
        <f t="shared" si="0"/>
        <v>-4730</v>
      </c>
      <c r="L14" s="313">
        <f t="shared" si="0"/>
        <v>64929</v>
      </c>
      <c r="M14" s="313">
        <f t="shared" si="0"/>
        <v>-1399</v>
      </c>
      <c r="N14" s="314">
        <f t="shared" si="0"/>
        <v>104065</v>
      </c>
    </row>
    <row r="15" spans="1:14">
      <c r="A15" s="312" t="s">
        <v>266</v>
      </c>
      <c r="B15" s="313">
        <f t="shared" si="1"/>
        <v>2071</v>
      </c>
      <c r="C15" s="313">
        <f t="shared" si="0"/>
        <v>1406</v>
      </c>
      <c r="D15" s="313">
        <f t="shared" si="0"/>
        <v>-681</v>
      </c>
      <c r="E15" s="313">
        <f t="shared" si="0"/>
        <v>656</v>
      </c>
      <c r="F15" s="313">
        <f t="shared" si="0"/>
        <v>375</v>
      </c>
      <c r="G15" s="313">
        <f t="shared" si="0"/>
        <v>-41</v>
      </c>
      <c r="H15" s="313">
        <f t="shared" si="0"/>
        <v>30</v>
      </c>
      <c r="I15" s="313">
        <f t="shared" si="0"/>
        <v>-1019</v>
      </c>
      <c r="J15" s="313">
        <f t="shared" si="0"/>
        <v>-1067</v>
      </c>
      <c r="K15" s="313">
        <f t="shared" si="0"/>
        <v>-311</v>
      </c>
      <c r="L15" s="313">
        <f t="shared" si="0"/>
        <v>478</v>
      </c>
      <c r="M15" s="313">
        <f t="shared" si="0"/>
        <v>-82</v>
      </c>
      <c r="N15" s="314">
        <f t="shared" si="0"/>
        <v>2327</v>
      </c>
    </row>
    <row r="16" spans="1:14">
      <c r="A16" s="312" t="s">
        <v>267</v>
      </c>
      <c r="B16" s="313">
        <f t="shared" si="1"/>
        <v>36484</v>
      </c>
      <c r="C16" s="313">
        <f t="shared" si="0"/>
        <v>17704</v>
      </c>
      <c r="D16" s="313">
        <f t="shared" si="0"/>
        <v>-8723</v>
      </c>
      <c r="E16" s="313">
        <f t="shared" si="0"/>
        <v>8795</v>
      </c>
      <c r="F16" s="313">
        <f t="shared" si="0"/>
        <v>5322</v>
      </c>
      <c r="G16" s="313">
        <f t="shared" si="0"/>
        <v>971</v>
      </c>
      <c r="H16" s="313">
        <f t="shared" si="0"/>
        <v>342</v>
      </c>
      <c r="I16" s="313">
        <f t="shared" si="0"/>
        <v>-10561</v>
      </c>
      <c r="J16" s="313">
        <f t="shared" si="0"/>
        <v>-10590</v>
      </c>
      <c r="K16" s="313">
        <f t="shared" si="0"/>
        <v>-3226</v>
      </c>
      <c r="L16" s="313">
        <f t="shared" si="0"/>
        <v>7853</v>
      </c>
      <c r="M16" s="313">
        <f t="shared" si="0"/>
        <v>-998</v>
      </c>
      <c r="N16" s="314">
        <f t="shared" si="0"/>
        <v>29595</v>
      </c>
    </row>
    <row r="17" spans="1:14">
      <c r="A17" s="312" t="s">
        <v>268</v>
      </c>
      <c r="B17" s="313">
        <f t="shared" si="1"/>
        <v>-39661</v>
      </c>
      <c r="C17" s="313">
        <f t="shared" si="0"/>
        <v>11263</v>
      </c>
      <c r="D17" s="313">
        <f t="shared" si="0"/>
        <v>-5579</v>
      </c>
      <c r="E17" s="313">
        <f t="shared" si="0"/>
        <v>4636</v>
      </c>
      <c r="F17" s="313">
        <f t="shared" si="0"/>
        <v>1849</v>
      </c>
      <c r="G17" s="313">
        <f t="shared" si="0"/>
        <v>-8457</v>
      </c>
      <c r="H17" s="313">
        <f t="shared" si="0"/>
        <v>763</v>
      </c>
      <c r="I17" s="313">
        <f t="shared" si="0"/>
        <v>-24315</v>
      </c>
      <c r="J17" s="313">
        <f t="shared" si="0"/>
        <v>-24757</v>
      </c>
      <c r="K17" s="313">
        <f t="shared" si="0"/>
        <v>-7429</v>
      </c>
      <c r="L17" s="313">
        <f t="shared" si="0"/>
        <v>-3419</v>
      </c>
      <c r="M17" s="313">
        <f t="shared" si="0"/>
        <v>-853</v>
      </c>
      <c r="N17" s="314">
        <f t="shared" si="0"/>
        <v>16637</v>
      </c>
    </row>
    <row r="18" spans="1:14">
      <c r="A18" s="315" t="s">
        <v>14</v>
      </c>
      <c r="B18" s="313">
        <f t="shared" si="1"/>
        <v>3642</v>
      </c>
      <c r="C18" s="313">
        <f t="shared" si="0"/>
        <v>454</v>
      </c>
      <c r="D18" s="313">
        <f t="shared" si="0"/>
        <v>-236</v>
      </c>
      <c r="E18" s="313">
        <f t="shared" si="0"/>
        <v>377</v>
      </c>
      <c r="F18" s="313">
        <f t="shared" si="0"/>
        <v>379</v>
      </c>
      <c r="G18" s="313">
        <f t="shared" si="0"/>
        <v>563</v>
      </c>
      <c r="H18" s="313">
        <f t="shared" si="0"/>
        <v>2</v>
      </c>
      <c r="I18" s="313">
        <f t="shared" si="0"/>
        <v>-58</v>
      </c>
      <c r="J18" s="313">
        <f t="shared" si="0"/>
        <v>-59</v>
      </c>
      <c r="K18" s="313">
        <f t="shared" si="0"/>
        <v>-18</v>
      </c>
      <c r="L18" s="313">
        <f t="shared" si="0"/>
        <v>1107</v>
      </c>
      <c r="M18" s="313">
        <f t="shared" si="0"/>
        <v>9</v>
      </c>
      <c r="N18" s="314">
        <f t="shared" si="0"/>
        <v>1122</v>
      </c>
    </row>
    <row r="19" spans="1:14">
      <c r="A19" s="309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4"/>
    </row>
    <row r="20" spans="1:14">
      <c r="A20" s="309" t="s">
        <v>269</v>
      </c>
      <c r="B20" s="313">
        <f t="shared" ref="B20:K20" si="2">SUM(B8:B19)</f>
        <v>16478878</v>
      </c>
      <c r="C20" s="313">
        <f t="shared" si="2"/>
        <v>3531813</v>
      </c>
      <c r="D20" s="313">
        <f t="shared" si="2"/>
        <v>-1804308</v>
      </c>
      <c r="E20" s="313">
        <f t="shared" si="2"/>
        <v>2402624</v>
      </c>
      <c r="F20" s="313">
        <f t="shared" si="2"/>
        <v>2100699</v>
      </c>
      <c r="G20" s="313">
        <f t="shared" si="2"/>
        <v>2221290</v>
      </c>
      <c r="H20" s="313">
        <f t="shared" si="2"/>
        <v>62651</v>
      </c>
      <c r="I20" s="313">
        <f t="shared" si="2"/>
        <v>-1996778</v>
      </c>
      <c r="J20" s="313">
        <f t="shared" si="2"/>
        <v>-2034894</v>
      </c>
      <c r="K20" s="313">
        <f t="shared" si="2"/>
        <v>-610825</v>
      </c>
      <c r="L20" s="313">
        <f>SUM(L8:L19)</f>
        <v>5334991</v>
      </c>
      <c r="M20" s="313">
        <f>SUM(M8:M19)</f>
        <v>-52481</v>
      </c>
      <c r="N20" s="314">
        <f>SUM(N8:N19)</f>
        <v>7324096</v>
      </c>
    </row>
    <row r="21" spans="1:14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8"/>
    </row>
    <row r="22" spans="1:14" s="305" customFormat="1">
      <c r="A22" s="319"/>
      <c r="B22" s="320"/>
      <c r="C22" s="321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3"/>
    </row>
    <row r="23" spans="1:14">
      <c r="A23" s="324" t="s">
        <v>270</v>
      </c>
      <c r="B23" s="310"/>
      <c r="C23" s="325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1"/>
    </row>
    <row r="24" spans="1:14">
      <c r="A24" s="312" t="s">
        <v>259</v>
      </c>
      <c r="B24" s="326">
        <f>SUM(C24:N24)</f>
        <v>226995154.56844205</v>
      </c>
      <c r="C24" s="327">
        <v>40450368.179100677</v>
      </c>
      <c r="D24" s="328">
        <v>-20754599.142491858</v>
      </c>
      <c r="E24" s="328">
        <v>29167634.072326273</v>
      </c>
      <c r="F24" s="328">
        <v>26710534.777957086</v>
      </c>
      <c r="G24" s="328">
        <v>32151339.429059245</v>
      </c>
      <c r="H24" s="328">
        <v>569291.76936853363</v>
      </c>
      <c r="I24" s="328">
        <v>-18143266.88275405</v>
      </c>
      <c r="J24" s="328">
        <v>-18479109.546372414</v>
      </c>
      <c r="K24" s="328">
        <v>-5550790.0216201041</v>
      </c>
      <c r="L24" s="328">
        <v>71410253.054263696</v>
      </c>
      <c r="M24" s="328">
        <v>-221142.87269291084</v>
      </c>
      <c r="N24" s="329">
        <v>89684641.752297908</v>
      </c>
    </row>
    <row r="25" spans="1:14">
      <c r="A25" s="315" t="s">
        <v>260</v>
      </c>
      <c r="B25" s="326">
        <f t="shared" ref="B25:B34" si="3">SUM(C25:N25)</f>
        <v>10910029.583508</v>
      </c>
      <c r="C25" s="327">
        <v>4234078.937437715</v>
      </c>
      <c r="D25" s="328">
        <v>-2168006.9540110091</v>
      </c>
      <c r="E25" s="328">
        <v>2499535.6474323482</v>
      </c>
      <c r="F25" s="328">
        <v>1874109.3426701066</v>
      </c>
      <c r="G25" s="328">
        <v>994194.24756732618</v>
      </c>
      <c r="H25" s="328">
        <v>112441.44838329592</v>
      </c>
      <c r="I25" s="328">
        <v>-3583082.1182155558</v>
      </c>
      <c r="J25" s="328">
        <v>-3653017.3058631285</v>
      </c>
      <c r="K25" s="328">
        <v>-1096416.2156074026</v>
      </c>
      <c r="L25" s="328">
        <v>3846065.7153686271</v>
      </c>
      <c r="M25" s="328">
        <v>-162069.71429968084</v>
      </c>
      <c r="N25" s="329">
        <v>8012196.5526453583</v>
      </c>
    </row>
    <row r="26" spans="1:14">
      <c r="A26" s="315" t="s">
        <v>261</v>
      </c>
      <c r="B26" s="326">
        <f t="shared" si="3"/>
        <v>3197814.6378830713</v>
      </c>
      <c r="C26" s="327">
        <v>4046375.4853145536</v>
      </c>
      <c r="D26" s="328">
        <v>-1998903.9739328383</v>
      </c>
      <c r="E26" s="328">
        <v>1940454.8532939334</v>
      </c>
      <c r="F26" s="328">
        <v>1136212.1992316062</v>
      </c>
      <c r="G26" s="328">
        <v>-440338.04282591335</v>
      </c>
      <c r="H26" s="328">
        <v>124011.80893859296</v>
      </c>
      <c r="I26" s="328">
        <v>-3957566.4646700537</v>
      </c>
      <c r="J26" s="328">
        <v>-4035240.6065721284</v>
      </c>
      <c r="K26" s="328">
        <v>-1210485.510611485</v>
      </c>
      <c r="L26" s="328">
        <v>1320011.9559974261</v>
      </c>
      <c r="M26" s="328">
        <v>-235585.95006747701</v>
      </c>
      <c r="N26" s="329">
        <v>6508868.8837868553</v>
      </c>
    </row>
    <row r="27" spans="1:14">
      <c r="A27" s="315" t="s">
        <v>262</v>
      </c>
      <c r="B27" s="326">
        <f t="shared" si="3"/>
        <v>-2967319.8638893012</v>
      </c>
      <c r="C27" s="327">
        <v>1107608.0889153329</v>
      </c>
      <c r="D27" s="328">
        <v>-552570.59514807118</v>
      </c>
      <c r="E27" s="328">
        <v>478640.44783883693</v>
      </c>
      <c r="F27" s="328">
        <v>212523.13256962789</v>
      </c>
      <c r="G27" s="328">
        <v>-684805.50211556279</v>
      </c>
      <c r="H27" s="328">
        <v>67086.188054956117</v>
      </c>
      <c r="I27" s="328">
        <v>-2131438.0888677323</v>
      </c>
      <c r="J27" s="328">
        <v>-2189901.4135528733</v>
      </c>
      <c r="K27" s="328">
        <v>-654565.70241009933</v>
      </c>
      <c r="L27" s="328">
        <v>-192097.68155406759</v>
      </c>
      <c r="M27" s="328">
        <v>-81872.145554719085</v>
      </c>
      <c r="N27" s="329">
        <v>1654073.4079350708</v>
      </c>
    </row>
    <row r="28" spans="1:14">
      <c r="A28" s="312" t="s">
        <v>263</v>
      </c>
      <c r="B28" s="326">
        <f t="shared" si="3"/>
        <v>-125091.01426632616</v>
      </c>
      <c r="C28" s="327">
        <v>0</v>
      </c>
      <c r="D28" s="328">
        <v>0</v>
      </c>
      <c r="E28" s="328">
        <v>0</v>
      </c>
      <c r="F28" s="328">
        <v>0</v>
      </c>
      <c r="G28" s="328">
        <v>-13505.320427440012</v>
      </c>
      <c r="H28" s="328">
        <v>1289.0122556702445</v>
      </c>
      <c r="I28" s="328">
        <v>-45173.50145270113</v>
      </c>
      <c r="J28" s="328">
        <v>-46818.144194008193</v>
      </c>
      <c r="K28" s="328">
        <v>-13913.492747732987</v>
      </c>
      <c r="L28" s="328">
        <v>-6969.5677001140857</v>
      </c>
      <c r="M28" s="328">
        <v>0</v>
      </c>
      <c r="N28" s="329">
        <v>0</v>
      </c>
    </row>
    <row r="29" spans="1:14">
      <c r="A29" s="315" t="s">
        <v>264</v>
      </c>
      <c r="B29" s="326">
        <f t="shared" si="3"/>
        <v>-740341.16908138245</v>
      </c>
      <c r="C29" s="327">
        <v>844030.90445124696</v>
      </c>
      <c r="D29" s="328">
        <v>-422480.81129823736</v>
      </c>
      <c r="E29" s="328">
        <v>380027.2323618072</v>
      </c>
      <c r="F29" s="328">
        <v>190499.05899014763</v>
      </c>
      <c r="G29" s="328">
        <v>-307983.06291242968</v>
      </c>
      <c r="H29" s="328">
        <v>36888.337318137666</v>
      </c>
      <c r="I29" s="328">
        <v>-1179981.8466778931</v>
      </c>
      <c r="J29" s="328">
        <v>-1193903.9903137854</v>
      </c>
      <c r="K29" s="328">
        <v>-357484.97218789859</v>
      </c>
      <c r="L29" s="328">
        <v>40062.847041753732</v>
      </c>
      <c r="M29" s="328">
        <v>-56495.959767700064</v>
      </c>
      <c r="N29" s="329">
        <v>1286481.0939134685</v>
      </c>
    </row>
    <row r="30" spans="1:14">
      <c r="A30" s="315" t="s">
        <v>265</v>
      </c>
      <c r="B30" s="326">
        <f t="shared" si="3"/>
        <v>4356168.6001373837</v>
      </c>
      <c r="C30" s="327">
        <v>933325.78951483965</v>
      </c>
      <c r="D30" s="328">
        <v>-470909.61436961201</v>
      </c>
      <c r="E30" s="328">
        <v>581471.13091767381</v>
      </c>
      <c r="F30" s="328">
        <v>472233.52885324432</v>
      </c>
      <c r="G30" s="328">
        <v>518816.27558044897</v>
      </c>
      <c r="H30" s="328">
        <v>8649.2239503498477</v>
      </c>
      <c r="I30" s="328">
        <v>-275512.01454962132</v>
      </c>
      <c r="J30" s="328">
        <v>-280525.12543413113</v>
      </c>
      <c r="K30" s="328">
        <v>-84173.692692432902</v>
      </c>
      <c r="L30" s="328">
        <v>1155568.2397384942</v>
      </c>
      <c r="M30" s="328">
        <v>-24894.95396257758</v>
      </c>
      <c r="N30" s="329">
        <v>1822119.8125907076</v>
      </c>
    </row>
    <row r="31" spans="1:14">
      <c r="A31" s="312" t="s">
        <v>266</v>
      </c>
      <c r="B31" s="326">
        <f>SUM(C31:N31)</f>
        <v>31964.435306351937</v>
      </c>
      <c r="C31" s="327">
        <v>22571.148006715186</v>
      </c>
      <c r="D31" s="328">
        <v>-10937.69084500833</v>
      </c>
      <c r="E31" s="328">
        <v>10525.416101405153</v>
      </c>
      <c r="F31" s="328">
        <v>6013.2084556134023</v>
      </c>
      <c r="G31" s="328">
        <v>-663.71779155728689</v>
      </c>
      <c r="H31" s="328">
        <v>484.19754752790243</v>
      </c>
      <c r="I31" s="328">
        <v>-16358.372371977941</v>
      </c>
      <c r="J31" s="328">
        <v>-17131.909410376349</v>
      </c>
      <c r="K31" s="328">
        <v>-4997.7661091772843</v>
      </c>
      <c r="L31" s="328">
        <v>7680.2325742988196</v>
      </c>
      <c r="M31" s="328">
        <v>-1316.4139655679919</v>
      </c>
      <c r="N31" s="329">
        <v>36096.103114456659</v>
      </c>
    </row>
    <row r="32" spans="1:14">
      <c r="A32" s="312" t="s">
        <v>267</v>
      </c>
      <c r="B32" s="326">
        <f>SUM(C32:N32)</f>
        <v>569663.09036768752</v>
      </c>
      <c r="C32" s="327">
        <v>284203.14814335952</v>
      </c>
      <c r="D32" s="328">
        <v>-140039.65582131979</v>
      </c>
      <c r="E32" s="328">
        <v>141181.43327748033</v>
      </c>
      <c r="F32" s="328">
        <v>85436.042014100894</v>
      </c>
      <c r="G32" s="328">
        <v>15582.562386684302</v>
      </c>
      <c r="H32" s="328">
        <v>5483.4541669866157</v>
      </c>
      <c r="I32" s="328">
        <v>-169532.37289403554</v>
      </c>
      <c r="J32" s="328">
        <v>-170001.70799811988</v>
      </c>
      <c r="K32" s="328">
        <v>-51795.07645330418</v>
      </c>
      <c r="L32" s="328">
        <v>126063.93245661056</v>
      </c>
      <c r="M32" s="328">
        <v>-16025.44055223804</v>
      </c>
      <c r="N32" s="329">
        <v>459106.77164148272</v>
      </c>
    </row>
    <row r="33" spans="1:16">
      <c r="A33" s="312" t="s">
        <v>268</v>
      </c>
      <c r="B33" s="326">
        <f>SUM(C33:N33)</f>
        <v>-645661.78121989523</v>
      </c>
      <c r="C33" s="327">
        <v>180812.88185784713</v>
      </c>
      <c r="D33" s="328">
        <v>-89557.705390185787</v>
      </c>
      <c r="E33" s="328">
        <v>74417.605849051673</v>
      </c>
      <c r="F33" s="328">
        <v>29675.59021929857</v>
      </c>
      <c r="G33" s="328">
        <v>-135769.65149046364</v>
      </c>
      <c r="H33" s="328">
        <v>12253.575494850153</v>
      </c>
      <c r="I33" s="328">
        <v>-390324.87647466722</v>
      </c>
      <c r="J33" s="328">
        <v>-397427.07813345437</v>
      </c>
      <c r="K33" s="328">
        <v>-119251.01072742176</v>
      </c>
      <c r="L33" s="328">
        <v>-54893.406799838485</v>
      </c>
      <c r="M33" s="328">
        <v>-13692.7306207328</v>
      </c>
      <c r="N33" s="329">
        <v>258095.0249958213</v>
      </c>
    </row>
    <row r="34" spans="1:16">
      <c r="A34" s="315" t="s">
        <v>14</v>
      </c>
      <c r="B34" s="326">
        <f t="shared" si="3"/>
        <v>103618.54933379777</v>
      </c>
      <c r="C34" s="327">
        <v>12906.137325023074</v>
      </c>
      <c r="D34" s="328">
        <v>-6704.3056117364795</v>
      </c>
      <c r="E34" s="328">
        <v>10727.744537213177</v>
      </c>
      <c r="F34" s="328">
        <v>10795.708840145782</v>
      </c>
      <c r="G34" s="328">
        <v>16026.272893187683</v>
      </c>
      <c r="H34" s="328">
        <v>52.186457812457277</v>
      </c>
      <c r="I34" s="328">
        <v>-1662.3452238784223</v>
      </c>
      <c r="J34" s="328">
        <v>-1692.5926196199857</v>
      </c>
      <c r="K34" s="328">
        <v>-507.8752600034959</v>
      </c>
      <c r="L34" s="328">
        <v>31494.647842944087</v>
      </c>
      <c r="M34" s="328">
        <v>252.26460728401025</v>
      </c>
      <c r="N34" s="329">
        <v>31930.705545425888</v>
      </c>
    </row>
    <row r="35" spans="1:16">
      <c r="A35" s="309"/>
      <c r="B35" s="98"/>
      <c r="C35" s="309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330"/>
    </row>
    <row r="36" spans="1:16">
      <c r="A36" s="309" t="s">
        <v>269</v>
      </c>
      <c r="B36" s="310">
        <f t="shared" ref="B36:K36" si="4">SUM(B24:B35)</f>
        <v>241685999.63652143</v>
      </c>
      <c r="C36" s="325">
        <f t="shared" si="4"/>
        <v>52116280.700067312</v>
      </c>
      <c r="D36" s="310">
        <f t="shared" si="4"/>
        <v>-26614710.448919877</v>
      </c>
      <c r="E36" s="310">
        <f t="shared" si="4"/>
        <v>35284615.583936021</v>
      </c>
      <c r="F36" s="310">
        <f t="shared" si="4"/>
        <v>30728032.58980098</v>
      </c>
      <c r="G36" s="310">
        <f t="shared" si="4"/>
        <v>32112893.489923518</v>
      </c>
      <c r="H36" s="310">
        <f t="shared" si="4"/>
        <v>937931.20193671354</v>
      </c>
      <c r="I36" s="310">
        <f t="shared" si="4"/>
        <v>-29893898.884152163</v>
      </c>
      <c r="J36" s="310">
        <f t="shared" si="4"/>
        <v>-30464769.420464035</v>
      </c>
      <c r="K36" s="310">
        <f t="shared" si="4"/>
        <v>-9144381.3364270627</v>
      </c>
      <c r="L36" s="310">
        <f>SUM(L24:L35)</f>
        <v>77683239.969229832</v>
      </c>
      <c r="M36" s="310">
        <f>SUM(M24:M35)</f>
        <v>-812843.91687632015</v>
      </c>
      <c r="N36" s="311">
        <f>SUM(N24:N35)</f>
        <v>109753610.10846654</v>
      </c>
    </row>
    <row r="37" spans="1:16">
      <c r="A37" s="309"/>
      <c r="B37" s="98"/>
      <c r="C37" s="316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2"/>
    </row>
    <row r="38" spans="1:16" s="305" customFormat="1">
      <c r="A38" s="319"/>
      <c r="B38" s="320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3"/>
    </row>
    <row r="39" spans="1:16" s="95" customFormat="1" ht="13.5" thickBot="1">
      <c r="A39" s="769" t="s">
        <v>271</v>
      </c>
      <c r="B39" s="770"/>
      <c r="C39" s="770"/>
      <c r="D39" s="770"/>
      <c r="E39" s="770"/>
      <c r="F39" s="770"/>
      <c r="G39" s="770"/>
      <c r="H39" s="770"/>
      <c r="I39" s="770"/>
      <c r="J39" s="770"/>
      <c r="K39" s="770"/>
      <c r="L39" s="770"/>
      <c r="M39" s="770"/>
      <c r="N39" s="771"/>
    </row>
    <row r="40" spans="1:16" s="335" customFormat="1" ht="45.75" customHeight="1" thickBot="1">
      <c r="A40" s="333" t="s">
        <v>219</v>
      </c>
      <c r="B40" s="334"/>
      <c r="C40" s="772" t="s">
        <v>278</v>
      </c>
      <c r="D40" s="773"/>
      <c r="E40" s="773"/>
      <c r="F40" s="773"/>
      <c r="G40" s="773"/>
      <c r="H40" s="773"/>
      <c r="I40" s="773"/>
      <c r="J40" s="773"/>
      <c r="K40" s="773"/>
      <c r="L40" s="773"/>
      <c r="M40" s="773"/>
      <c r="N40" s="774"/>
      <c r="P40" s="336"/>
    </row>
    <row r="41" spans="1:16" s="95" customFormat="1" ht="15">
      <c r="A41" s="337" t="s">
        <v>259</v>
      </c>
      <c r="B41" s="326"/>
      <c r="C41" s="338">
        <f>+'Summary 2013 PCORC Rev Req'!E22</f>
        <v>6.9238999999999995E-2</v>
      </c>
      <c r="D41" s="339">
        <f t="shared" ref="D41:M51" si="5">C41</f>
        <v>6.9238999999999995E-2</v>
      </c>
      <c r="E41" s="339">
        <f t="shared" si="5"/>
        <v>6.9238999999999995E-2</v>
      </c>
      <c r="F41" s="339">
        <f t="shared" si="5"/>
        <v>6.9238999999999995E-2</v>
      </c>
      <c r="G41" s="339">
        <f t="shared" si="5"/>
        <v>6.9238999999999995E-2</v>
      </c>
      <c r="H41" s="339">
        <f t="shared" si="5"/>
        <v>6.9238999999999995E-2</v>
      </c>
      <c r="I41" s="339">
        <f t="shared" si="5"/>
        <v>6.9238999999999995E-2</v>
      </c>
      <c r="J41" s="339">
        <f t="shared" si="5"/>
        <v>6.9238999999999995E-2</v>
      </c>
      <c r="K41" s="339">
        <f t="shared" si="5"/>
        <v>6.9238999999999995E-2</v>
      </c>
      <c r="L41" s="339">
        <f t="shared" si="5"/>
        <v>6.9238999999999995E-2</v>
      </c>
      <c r="M41" s="339">
        <f t="shared" si="5"/>
        <v>6.9238999999999995E-2</v>
      </c>
      <c r="N41" s="352">
        <f>+'Summary 2014 PCORC Rev Req'!E22</f>
        <v>6.7820000000000005E-2</v>
      </c>
      <c r="P41" s="340"/>
    </row>
    <row r="42" spans="1:16" s="95" customFormat="1" ht="15">
      <c r="A42" s="341" t="s">
        <v>260</v>
      </c>
      <c r="B42" s="326"/>
      <c r="C42" s="342">
        <f>+'Summary 2013 PCORC Rev Req'!F22</f>
        <v>6.4281000000000005E-2</v>
      </c>
      <c r="D42" s="343">
        <f t="shared" si="5"/>
        <v>6.4281000000000005E-2</v>
      </c>
      <c r="E42" s="343">
        <f t="shared" si="5"/>
        <v>6.4281000000000005E-2</v>
      </c>
      <c r="F42" s="343">
        <f t="shared" si="5"/>
        <v>6.4281000000000005E-2</v>
      </c>
      <c r="G42" s="343">
        <f t="shared" si="5"/>
        <v>6.4281000000000005E-2</v>
      </c>
      <c r="H42" s="343">
        <f t="shared" si="5"/>
        <v>6.4281000000000005E-2</v>
      </c>
      <c r="I42" s="343">
        <f t="shared" si="5"/>
        <v>6.4281000000000005E-2</v>
      </c>
      <c r="J42" s="343">
        <f t="shared" si="5"/>
        <v>6.4281000000000005E-2</v>
      </c>
      <c r="K42" s="343">
        <f t="shared" si="5"/>
        <v>6.4281000000000005E-2</v>
      </c>
      <c r="L42" s="343">
        <f t="shared" si="5"/>
        <v>6.4281000000000005E-2</v>
      </c>
      <c r="M42" s="343">
        <f t="shared" si="5"/>
        <v>6.4281000000000005E-2</v>
      </c>
      <c r="N42" s="353">
        <f>+'Summary 2014 PCORC Rev Req'!F22</f>
        <v>6.2550999999999995E-2</v>
      </c>
      <c r="P42" s="340"/>
    </row>
    <row r="43" spans="1:16" s="95" customFormat="1" ht="15">
      <c r="A43" s="341" t="s">
        <v>261</v>
      </c>
      <c r="B43" s="326"/>
      <c r="C43" s="342">
        <f>+'Summary 2013 PCORC Rev Req'!G22</f>
        <v>6.2725000000000003E-2</v>
      </c>
      <c r="D43" s="343">
        <f t="shared" si="5"/>
        <v>6.2725000000000003E-2</v>
      </c>
      <c r="E43" s="343">
        <f t="shared" si="5"/>
        <v>6.2725000000000003E-2</v>
      </c>
      <c r="F43" s="343">
        <f t="shared" si="5"/>
        <v>6.2725000000000003E-2</v>
      </c>
      <c r="G43" s="343">
        <f t="shared" si="5"/>
        <v>6.2725000000000003E-2</v>
      </c>
      <c r="H43" s="343">
        <f t="shared" si="5"/>
        <v>6.2725000000000003E-2</v>
      </c>
      <c r="I43" s="343">
        <f t="shared" si="5"/>
        <v>6.2725000000000003E-2</v>
      </c>
      <c r="J43" s="343">
        <f t="shared" si="5"/>
        <v>6.2725000000000003E-2</v>
      </c>
      <c r="K43" s="343">
        <f t="shared" si="5"/>
        <v>6.2725000000000003E-2</v>
      </c>
      <c r="L43" s="343">
        <f t="shared" si="5"/>
        <v>6.2725000000000003E-2</v>
      </c>
      <c r="M43" s="343">
        <f t="shared" si="5"/>
        <v>6.2725000000000003E-2</v>
      </c>
      <c r="N43" s="353">
        <f>+'Summary 2014 PCORC Rev Req'!G22</f>
        <v>6.2306E-2</v>
      </c>
      <c r="P43" s="340"/>
    </row>
    <row r="44" spans="1:16" s="95" customFormat="1" ht="15">
      <c r="A44" s="341" t="s">
        <v>262</v>
      </c>
      <c r="B44" s="326"/>
      <c r="C44" s="342">
        <f>+'Summary 2013 PCORC Rev Req'!H22</f>
        <v>6.4186000000000007E-2</v>
      </c>
      <c r="D44" s="343">
        <f t="shared" si="5"/>
        <v>6.4186000000000007E-2</v>
      </c>
      <c r="E44" s="343">
        <f t="shared" si="5"/>
        <v>6.4186000000000007E-2</v>
      </c>
      <c r="F44" s="343">
        <f t="shared" si="5"/>
        <v>6.4186000000000007E-2</v>
      </c>
      <c r="G44" s="343">
        <f t="shared" si="5"/>
        <v>6.4186000000000007E-2</v>
      </c>
      <c r="H44" s="343">
        <f t="shared" si="5"/>
        <v>6.4186000000000007E-2</v>
      </c>
      <c r="I44" s="343">
        <f t="shared" si="5"/>
        <v>6.4186000000000007E-2</v>
      </c>
      <c r="J44" s="343">
        <f t="shared" si="5"/>
        <v>6.4186000000000007E-2</v>
      </c>
      <c r="K44" s="343">
        <f t="shared" si="5"/>
        <v>6.4186000000000007E-2</v>
      </c>
      <c r="L44" s="343">
        <f t="shared" si="5"/>
        <v>6.4186000000000007E-2</v>
      </c>
      <c r="M44" s="343">
        <f t="shared" si="5"/>
        <v>6.4186000000000007E-2</v>
      </c>
      <c r="N44" s="353">
        <f>+'Summary 2014 PCORC Rev Req'!H22</f>
        <v>6.4283000000000007E-2</v>
      </c>
      <c r="P44" s="340"/>
    </row>
    <row r="45" spans="1:16" s="95" customFormat="1" ht="15">
      <c r="A45" s="337" t="s">
        <v>263</v>
      </c>
      <c r="B45" s="326"/>
      <c r="C45" s="342">
        <f>+'Summary 2013 PCORC Rev Req'!G22</f>
        <v>6.2725000000000003E-2</v>
      </c>
      <c r="D45" s="343">
        <f t="shared" si="5"/>
        <v>6.2725000000000003E-2</v>
      </c>
      <c r="E45" s="343">
        <f t="shared" si="5"/>
        <v>6.2725000000000003E-2</v>
      </c>
      <c r="F45" s="343">
        <f t="shared" si="5"/>
        <v>6.2725000000000003E-2</v>
      </c>
      <c r="G45" s="343">
        <f t="shared" si="5"/>
        <v>6.2725000000000003E-2</v>
      </c>
      <c r="H45" s="343">
        <f t="shared" si="5"/>
        <v>6.2725000000000003E-2</v>
      </c>
      <c r="I45" s="343">
        <f t="shared" si="5"/>
        <v>6.2725000000000003E-2</v>
      </c>
      <c r="J45" s="343">
        <f t="shared" si="5"/>
        <v>6.2725000000000003E-2</v>
      </c>
      <c r="K45" s="343">
        <f t="shared" si="5"/>
        <v>6.2725000000000003E-2</v>
      </c>
      <c r="L45" s="343">
        <f t="shared" si="5"/>
        <v>6.2725000000000003E-2</v>
      </c>
      <c r="M45" s="343">
        <f t="shared" si="5"/>
        <v>6.2725000000000003E-2</v>
      </c>
      <c r="N45" s="353">
        <f>+'Summary 2014 PCORC Rev Req'!G22</f>
        <v>6.2306E-2</v>
      </c>
      <c r="P45" s="340"/>
    </row>
    <row r="46" spans="1:16" s="95" customFormat="1" ht="15">
      <c r="A46" s="341" t="s">
        <v>264</v>
      </c>
      <c r="B46" s="326"/>
      <c r="C46" s="342">
        <f>+'Summary 2013 PCORC Rev Req'!I22</f>
        <v>6.0102000000000003E-2</v>
      </c>
      <c r="D46" s="343">
        <f t="shared" si="5"/>
        <v>6.0102000000000003E-2</v>
      </c>
      <c r="E46" s="343">
        <f t="shared" si="5"/>
        <v>6.0102000000000003E-2</v>
      </c>
      <c r="F46" s="343">
        <f t="shared" si="5"/>
        <v>6.0102000000000003E-2</v>
      </c>
      <c r="G46" s="343">
        <f t="shared" si="5"/>
        <v>6.0102000000000003E-2</v>
      </c>
      <c r="H46" s="343">
        <f t="shared" si="5"/>
        <v>6.0102000000000003E-2</v>
      </c>
      <c r="I46" s="343">
        <f t="shared" si="5"/>
        <v>6.0102000000000003E-2</v>
      </c>
      <c r="J46" s="343">
        <f t="shared" si="5"/>
        <v>6.0102000000000003E-2</v>
      </c>
      <c r="K46" s="343">
        <f t="shared" si="5"/>
        <v>6.0102000000000003E-2</v>
      </c>
      <c r="L46" s="343">
        <f t="shared" si="5"/>
        <v>6.0102000000000003E-2</v>
      </c>
      <c r="M46" s="343">
        <f t="shared" si="5"/>
        <v>6.0102000000000003E-2</v>
      </c>
      <c r="N46" s="353">
        <f>+'Summary 2014 PCORC Rev Req'!I22</f>
        <v>5.8217999999999999E-2</v>
      </c>
      <c r="P46" s="340"/>
    </row>
    <row r="47" spans="1:16" s="95" customFormat="1" ht="15">
      <c r="A47" s="341" t="s">
        <v>265</v>
      </c>
      <c r="B47" s="326"/>
      <c r="C47" s="342">
        <f>+'Summary 2013 PCORC Rev Req'!K22</f>
        <v>5.6188000000000002E-2</v>
      </c>
      <c r="D47" s="343">
        <f t="shared" si="5"/>
        <v>5.6188000000000002E-2</v>
      </c>
      <c r="E47" s="343">
        <f t="shared" si="5"/>
        <v>5.6188000000000002E-2</v>
      </c>
      <c r="F47" s="343">
        <f t="shared" si="5"/>
        <v>5.6188000000000002E-2</v>
      </c>
      <c r="G47" s="343">
        <f t="shared" si="5"/>
        <v>5.6188000000000002E-2</v>
      </c>
      <c r="H47" s="343">
        <f t="shared" si="5"/>
        <v>5.6188000000000002E-2</v>
      </c>
      <c r="I47" s="343">
        <f t="shared" si="5"/>
        <v>5.6188000000000002E-2</v>
      </c>
      <c r="J47" s="343">
        <f t="shared" si="5"/>
        <v>5.6188000000000002E-2</v>
      </c>
      <c r="K47" s="343">
        <f t="shared" si="5"/>
        <v>5.6188000000000002E-2</v>
      </c>
      <c r="L47" s="343">
        <f t="shared" si="5"/>
        <v>5.6188000000000002E-2</v>
      </c>
      <c r="M47" s="343">
        <f t="shared" si="5"/>
        <v>5.6188000000000002E-2</v>
      </c>
      <c r="N47" s="353">
        <f>+'Summary 2014 PCORC Rev Req'!K22</f>
        <v>5.7112000000000003E-2</v>
      </c>
      <c r="P47" s="340"/>
    </row>
    <row r="48" spans="1:16" s="95" customFormat="1" ht="15">
      <c r="A48" s="337" t="s">
        <v>272</v>
      </c>
      <c r="B48" s="326"/>
      <c r="C48" s="342">
        <f>+'Summary 2013 PCORC Rev Req'!L22</f>
        <v>6.2293000000000001E-2</v>
      </c>
      <c r="D48" s="343">
        <f t="shared" si="5"/>
        <v>6.2293000000000001E-2</v>
      </c>
      <c r="E48" s="343">
        <f t="shared" si="5"/>
        <v>6.2293000000000001E-2</v>
      </c>
      <c r="F48" s="343">
        <f t="shared" si="5"/>
        <v>6.2293000000000001E-2</v>
      </c>
      <c r="G48" s="343">
        <f t="shared" si="5"/>
        <v>6.2293000000000001E-2</v>
      </c>
      <c r="H48" s="343">
        <f t="shared" si="5"/>
        <v>6.2293000000000001E-2</v>
      </c>
      <c r="I48" s="343">
        <f t="shared" si="5"/>
        <v>6.2293000000000001E-2</v>
      </c>
      <c r="J48" s="343">
        <f t="shared" si="5"/>
        <v>6.2293000000000001E-2</v>
      </c>
      <c r="K48" s="343">
        <f t="shared" si="5"/>
        <v>6.2293000000000001E-2</v>
      </c>
      <c r="L48" s="343">
        <f t="shared" si="5"/>
        <v>6.2293000000000001E-2</v>
      </c>
      <c r="M48" s="343">
        <f t="shared" si="5"/>
        <v>6.2293000000000001E-2</v>
      </c>
      <c r="N48" s="353">
        <f>+'Summary 2014 PCORC Rev Req'!L22</f>
        <v>6.4462000000000005E-2</v>
      </c>
      <c r="P48" s="340"/>
    </row>
    <row r="49" spans="1:16" s="95" customFormat="1" ht="15">
      <c r="A49" s="337" t="s">
        <v>273</v>
      </c>
      <c r="B49" s="326"/>
      <c r="C49" s="342">
        <f>+'Summary 2013 PCORC Rev Req'!L22</f>
        <v>6.2293000000000001E-2</v>
      </c>
      <c r="D49" s="343">
        <f t="shared" si="5"/>
        <v>6.2293000000000001E-2</v>
      </c>
      <c r="E49" s="343">
        <f t="shared" si="5"/>
        <v>6.2293000000000001E-2</v>
      </c>
      <c r="F49" s="343">
        <f t="shared" si="5"/>
        <v>6.2293000000000001E-2</v>
      </c>
      <c r="G49" s="343">
        <f t="shared" si="5"/>
        <v>6.2293000000000001E-2</v>
      </c>
      <c r="H49" s="343">
        <f t="shared" si="5"/>
        <v>6.2293000000000001E-2</v>
      </c>
      <c r="I49" s="343">
        <f t="shared" si="5"/>
        <v>6.2293000000000001E-2</v>
      </c>
      <c r="J49" s="343">
        <f t="shared" si="5"/>
        <v>6.2293000000000001E-2</v>
      </c>
      <c r="K49" s="343">
        <f t="shared" si="5"/>
        <v>6.2293000000000001E-2</v>
      </c>
      <c r="L49" s="343">
        <f t="shared" si="5"/>
        <v>6.2293000000000001E-2</v>
      </c>
      <c r="M49" s="343">
        <f t="shared" si="5"/>
        <v>6.2293000000000001E-2</v>
      </c>
      <c r="N49" s="353">
        <f>+N48</f>
        <v>6.4462000000000005E-2</v>
      </c>
      <c r="P49" s="340"/>
    </row>
    <row r="50" spans="1:16" s="95" customFormat="1" ht="15">
      <c r="A50" s="337" t="s">
        <v>274</v>
      </c>
      <c r="B50" s="326"/>
      <c r="C50" s="342">
        <f>+'Summary 2013 PCORC Rev Req'!L22</f>
        <v>6.2293000000000001E-2</v>
      </c>
      <c r="D50" s="343">
        <f t="shared" si="5"/>
        <v>6.2293000000000001E-2</v>
      </c>
      <c r="E50" s="343">
        <f t="shared" si="5"/>
        <v>6.2293000000000001E-2</v>
      </c>
      <c r="F50" s="343">
        <f t="shared" si="5"/>
        <v>6.2293000000000001E-2</v>
      </c>
      <c r="G50" s="343">
        <f t="shared" si="5"/>
        <v>6.2293000000000001E-2</v>
      </c>
      <c r="H50" s="343">
        <f t="shared" si="5"/>
        <v>6.2293000000000001E-2</v>
      </c>
      <c r="I50" s="343">
        <f t="shared" si="5"/>
        <v>6.2293000000000001E-2</v>
      </c>
      <c r="J50" s="343">
        <f t="shared" si="5"/>
        <v>6.2293000000000001E-2</v>
      </c>
      <c r="K50" s="343">
        <f t="shared" si="5"/>
        <v>6.2293000000000001E-2</v>
      </c>
      <c r="L50" s="343">
        <f t="shared" si="5"/>
        <v>6.2293000000000001E-2</v>
      </c>
      <c r="M50" s="343">
        <f t="shared" si="5"/>
        <v>6.2293000000000001E-2</v>
      </c>
      <c r="N50" s="353">
        <f>+N49</f>
        <v>6.4462000000000005E-2</v>
      </c>
      <c r="P50" s="340"/>
    </row>
    <row r="51" spans="1:16" s="95" customFormat="1" ht="15">
      <c r="A51" s="341" t="s">
        <v>14</v>
      </c>
      <c r="B51" s="326"/>
      <c r="C51" s="342">
        <v>3.5139999999999998E-2</v>
      </c>
      <c r="D51" s="343">
        <f t="shared" si="5"/>
        <v>3.5139999999999998E-2</v>
      </c>
      <c r="E51" s="343">
        <f t="shared" si="5"/>
        <v>3.5139999999999998E-2</v>
      </c>
      <c r="F51" s="343">
        <f t="shared" si="5"/>
        <v>3.5139999999999998E-2</v>
      </c>
      <c r="G51" s="343">
        <f t="shared" si="5"/>
        <v>3.5139999999999998E-2</v>
      </c>
      <c r="H51" s="343">
        <f t="shared" si="5"/>
        <v>3.5139999999999998E-2</v>
      </c>
      <c r="I51" s="343">
        <f t="shared" si="5"/>
        <v>3.5139999999999998E-2</v>
      </c>
      <c r="J51" s="343">
        <f t="shared" si="5"/>
        <v>3.5139999999999998E-2</v>
      </c>
      <c r="K51" s="343">
        <f t="shared" si="5"/>
        <v>3.5139999999999998E-2</v>
      </c>
      <c r="L51" s="343">
        <f t="shared" si="5"/>
        <v>3.5139999999999998E-2</v>
      </c>
      <c r="M51" s="343">
        <f t="shared" si="5"/>
        <v>3.5139999999999998E-2</v>
      </c>
      <c r="N51" s="353">
        <f>+M51</f>
        <v>3.5139999999999998E-2</v>
      </c>
      <c r="P51" s="340"/>
    </row>
    <row r="52" spans="1:16" ht="13.5" thickBot="1">
      <c r="A52" s="344"/>
      <c r="B52" s="345"/>
      <c r="C52" s="344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6"/>
    </row>
    <row r="53" spans="1:16">
      <c r="C53" s="347"/>
    </row>
    <row r="54" spans="1:16">
      <c r="A54" s="348"/>
    </row>
    <row r="55" spans="1:16">
      <c r="A55" s="770"/>
      <c r="B55" s="770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</row>
    <row r="56" spans="1:16" ht="15">
      <c r="A56" s="349"/>
      <c r="B56" s="326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6" ht="15">
      <c r="A57" s="350"/>
      <c r="B57" s="326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</row>
    <row r="58" spans="1:16" ht="15">
      <c r="A58" s="350"/>
      <c r="B58" s="326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</row>
    <row r="59" spans="1:16" ht="15">
      <c r="A59" s="350"/>
      <c r="B59" s="326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</row>
    <row r="60" spans="1:16" ht="15">
      <c r="A60" s="349"/>
      <c r="B60" s="326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</row>
    <row r="61" spans="1:16" ht="15">
      <c r="A61" s="350"/>
      <c r="B61" s="326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</row>
    <row r="62" spans="1:16" ht="15">
      <c r="A62" s="350"/>
      <c r="B62" s="326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6" ht="15">
      <c r="A63" s="349"/>
      <c r="B63" s="326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</row>
    <row r="64" spans="1:16" ht="15">
      <c r="A64" s="349"/>
      <c r="B64" s="326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</row>
    <row r="65" spans="1:14" ht="15">
      <c r="A65" s="349"/>
      <c r="B65" s="326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</row>
    <row r="66" spans="1:14" ht="15">
      <c r="A66" s="350"/>
      <c r="B66" s="326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4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</row>
    <row r="69" spans="1:14"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</row>
  </sheetData>
  <mergeCells count="3">
    <mergeCell ref="A39:N39"/>
    <mergeCell ref="C40:N40"/>
    <mergeCell ref="A55:N55"/>
  </mergeCells>
  <printOptions horizontalCentered="1"/>
  <pageMargins left="0.7" right="0.7" top="0.75" bottom="0.75" header="0.3" footer="0.3"/>
  <pageSetup scale="55" orientation="landscape" r:id="rId1"/>
  <headerFooter alignWithMargins="0">
    <oddFooter>&amp;L&amp;F 
&amp;A&amp;RPage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BH26"/>
  <sheetViews>
    <sheetView topLeftCell="E1" workbookViewId="0">
      <selection sqref="A1:N52"/>
    </sheetView>
  </sheetViews>
  <sheetFormatPr defaultColWidth="9.140625" defaultRowHeight="15"/>
  <cols>
    <col min="1" max="1" width="24.7109375" style="1" bestFit="1" customWidth="1"/>
    <col min="2" max="2" width="14.5703125" style="1" bestFit="1" customWidth="1"/>
    <col min="3" max="3" width="3.140625" style="1" bestFit="1" customWidth="1"/>
    <col min="4" max="4" width="18.42578125" style="1" bestFit="1" customWidth="1"/>
    <col min="5" max="5" width="17.28515625" style="1" bestFit="1" customWidth="1"/>
    <col min="6" max="6" width="16.140625" style="1" bestFit="1" customWidth="1"/>
    <col min="7" max="7" width="16.28515625" style="1" bestFit="1" customWidth="1"/>
    <col min="8" max="8" width="16.140625" style="1" bestFit="1" customWidth="1"/>
    <col min="9" max="9" width="14.7109375" style="1" bestFit="1" customWidth="1"/>
    <col min="10" max="10" width="12.140625" style="1" bestFit="1" customWidth="1"/>
    <col min="11" max="11" width="13.7109375" style="1" bestFit="1" customWidth="1"/>
    <col min="12" max="15" width="14.7109375" style="1" bestFit="1" customWidth="1"/>
    <col min="16" max="16" width="13.7109375" style="1" bestFit="1" customWidth="1"/>
    <col min="17" max="17" width="12.140625" style="1" bestFit="1" customWidth="1"/>
    <col min="18" max="16384" width="9.140625" style="1"/>
  </cols>
  <sheetData>
    <row r="3" spans="1:17">
      <c r="D3" s="1" t="s">
        <v>0</v>
      </c>
    </row>
    <row r="4" spans="1:17" s="2" customFormat="1" ht="43.9" customHeight="1">
      <c r="B4" s="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</row>
    <row r="5" spans="1:17" s="2" customFormat="1">
      <c r="A5" s="4" t="s">
        <v>15</v>
      </c>
      <c r="B5" s="3"/>
      <c r="D5" s="5">
        <f>SUM(E5:Q5)</f>
        <v>1</v>
      </c>
      <c r="E5" s="5">
        <f>+'p14 2011 GRC ERF - COS'!E7</f>
        <v>0.53251000000000004</v>
      </c>
      <c r="F5" s="5">
        <f>+'p14 2011 GRC ERF - COS'!F7</f>
        <v>0.120728</v>
      </c>
      <c r="G5" s="5">
        <f>+'p14 2011 GRC ERF - COS'!G7</f>
        <v>0.133879</v>
      </c>
      <c r="H5" s="5">
        <f>+'p14 2011 GRC ERF - COS'!H7</f>
        <v>8.9733999999999994E-2</v>
      </c>
      <c r="I5" s="5">
        <f>+'p14 2011 GRC ERF - COS'!I7</f>
        <v>5.6231000000000003E-2</v>
      </c>
      <c r="J5" s="5">
        <f>+'p14 2011 GRC ERF - COS'!J7</f>
        <v>1.7100000000000001E-4</v>
      </c>
      <c r="K5" s="5">
        <f>+'p14 2011 GRC ERF - COS'!K7</f>
        <v>5.4640000000000001E-3</v>
      </c>
      <c r="L5" s="5">
        <f>+'p14 2011 GRC ERF - COS'!L7</f>
        <v>3.2939999999999997E-2</v>
      </c>
      <c r="M5" s="5">
        <f>+'p14 2011 GRC ERF - COS'!M7</f>
        <v>2.4265999999999999E-2</v>
      </c>
      <c r="N5" s="5">
        <f>+'p14 2011 GRC ERF - COS'!N7</f>
        <v>0</v>
      </c>
      <c r="O5" s="5">
        <f>+'p14 2011 GRC ERF - COS'!O7</f>
        <v>3.7320000000000001E-3</v>
      </c>
      <c r="P5" s="5">
        <f>+'p14 2011 GRC ERF - COS'!P7</f>
        <v>0</v>
      </c>
      <c r="Q5" s="5">
        <f>+'p14 2011 GRC ERF - COS'!Q7</f>
        <v>3.4499999999999998E-4</v>
      </c>
    </row>
    <row r="6" spans="1:17" s="2" customFormat="1">
      <c r="A6" s="4"/>
      <c r="B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16</v>
      </c>
      <c r="B7" s="6">
        <f>+'2014 PCORC Exh A-1'!D36</f>
        <v>1322216613.8114192</v>
      </c>
    </row>
    <row r="8" spans="1:17">
      <c r="A8" s="1" t="s">
        <v>17</v>
      </c>
      <c r="B8" s="7">
        <f>-'2014 PCORC Exh A-1'!D27</f>
        <v>29085180.617505684</v>
      </c>
    </row>
    <row r="9" spans="1:17">
      <c r="A9" s="1" t="s">
        <v>18</v>
      </c>
      <c r="B9" s="7">
        <f>-'2014 PCORC Exh A-1'!D25</f>
        <v>6685935.3372543128</v>
      </c>
    </row>
    <row r="10" spans="1:17">
      <c r="A10" s="1" t="s">
        <v>19</v>
      </c>
      <c r="B10" s="7">
        <f>-'2014 PCORC Exh A-1'!D28</f>
        <v>5342456.3775891997</v>
      </c>
    </row>
    <row r="11" spans="1:17">
      <c r="A11" s="1" t="s">
        <v>20</v>
      </c>
      <c r="B11" s="8">
        <f>SUM(B7:B10)</f>
        <v>1363330186.1437685</v>
      </c>
    </row>
    <row r="12" spans="1:17">
      <c r="A12" s="1" t="s">
        <v>21</v>
      </c>
      <c r="B12" s="9">
        <v>0</v>
      </c>
    </row>
    <row r="13" spans="1:17">
      <c r="B13" s="10"/>
    </row>
    <row r="14" spans="1:17" ht="15.75" thickBot="1">
      <c r="A14" s="1" t="s">
        <v>22</v>
      </c>
      <c r="B14" s="11">
        <f>SUM(B11:B12)</f>
        <v>1363330186.1437685</v>
      </c>
      <c r="D14" s="12">
        <f>SUM(E14:Q14)</f>
        <v>1363330186.1437685</v>
      </c>
      <c r="E14" s="12">
        <f t="shared" ref="E14:Q14" si="0">+E5*$B$14</f>
        <v>725986957.42341828</v>
      </c>
      <c r="F14" s="12">
        <f t="shared" si="0"/>
        <v>164592126.71276489</v>
      </c>
      <c r="G14" s="12">
        <f t="shared" si="0"/>
        <v>182521281.99074158</v>
      </c>
      <c r="H14" s="12">
        <f t="shared" si="0"/>
        <v>122337070.92342491</v>
      </c>
      <c r="I14" s="12">
        <f t="shared" si="0"/>
        <v>76661419.697050259</v>
      </c>
      <c r="J14" s="12">
        <f t="shared" si="0"/>
        <v>233129.46183058445</v>
      </c>
      <c r="K14" s="12">
        <f t="shared" si="0"/>
        <v>7449236.1370895514</v>
      </c>
      <c r="L14" s="12">
        <f t="shared" si="0"/>
        <v>44908096.331575729</v>
      </c>
      <c r="M14" s="12">
        <f t="shared" si="0"/>
        <v>33082570.296964686</v>
      </c>
      <c r="N14" s="12">
        <f t="shared" si="0"/>
        <v>0</v>
      </c>
      <c r="O14" s="12">
        <f t="shared" si="0"/>
        <v>5087948.2546885442</v>
      </c>
      <c r="P14" s="12">
        <f t="shared" si="0"/>
        <v>0</v>
      </c>
      <c r="Q14" s="12">
        <f t="shared" si="0"/>
        <v>470348.91421960015</v>
      </c>
    </row>
    <row r="15" spans="1:17" ht="15.75" thickTop="1"/>
    <row r="16" spans="1:17">
      <c r="A16" s="13" t="s">
        <v>292</v>
      </c>
      <c r="B16" s="14">
        <f>+'2014 PCORC Rate Spread (JAP-3)'!K32</f>
        <v>23184782778.384109</v>
      </c>
    </row>
    <row r="17" spans="1:60">
      <c r="A17" s="13" t="s">
        <v>293</v>
      </c>
      <c r="B17" s="14">
        <f>-SUM('2014 PCORC Rate Spread (JAP-3)'!K29:K30)</f>
        <v>-2089434881.3309999</v>
      </c>
      <c r="K17" s="14"/>
      <c r="L17" s="14"/>
    </row>
    <row r="18" spans="1:60">
      <c r="A18" s="13" t="s">
        <v>294</v>
      </c>
      <c r="B18" s="14">
        <f>+B16+B17</f>
        <v>21095347897.053108</v>
      </c>
      <c r="D18" s="14">
        <f>SUM(E18:Q18)</f>
        <v>21095347897.053104</v>
      </c>
      <c r="E18" s="14">
        <f>+'2014 PCORC Rate Spread (JAP-3)'!$K$7</f>
        <v>10704689132.038425</v>
      </c>
      <c r="F18" s="14">
        <f>+'2014 PCORC Rate Spread (JAP-3)'!$K$8</f>
        <v>2631310630.0537453</v>
      </c>
      <c r="G18" s="14">
        <f>+'2014 PCORC Rate Spread (JAP-3)'!$K$9+'2014 PCORC Rate Spread (JAP-3)'!$K$11</f>
        <v>2929454062.1380143</v>
      </c>
      <c r="H18" s="14">
        <f>+'2014 PCORC Rate Spread (JAP-3)'!$K$10</f>
        <v>1903096551.4107246</v>
      </c>
      <c r="I18" s="14">
        <f>+'2014 PCORC Rate Spread (JAP-3)'!$K$12</f>
        <v>1316794760.0766146</v>
      </c>
      <c r="J18" s="14">
        <f>+'2014 PCORC Rate Spread (JAP-3)'!$K$13</f>
        <v>4593600</v>
      </c>
      <c r="K18" s="14">
        <f>+'2014 PCORC Rate Spread (JAP-3)'!$K$14</f>
        <v>130432925.631</v>
      </c>
      <c r="L18" s="14">
        <f>+'2014 PCORC Rate Spread (JAP-3)'!$K$17</f>
        <v>696662806</v>
      </c>
      <c r="M18" s="14">
        <f>+'2014 PCORC Rate Spread (JAP-3)'!$K$20+'2014 PCORC Rate Spread (JAP-3)'!$K$21</f>
        <v>690048511.72899997</v>
      </c>
      <c r="N18" s="14"/>
      <c r="O18" s="14">
        <f>+'2014 PCORC Rate Spread (JAP-3)'!$K$23</f>
        <v>80910221.975582257</v>
      </c>
      <c r="P18" s="14">
        <v>0</v>
      </c>
      <c r="Q18" s="14">
        <f>+'2014 PCORC Rate Spread (JAP-3)'!$K$25</f>
        <v>7354696</v>
      </c>
    </row>
    <row r="19" spans="1:60">
      <c r="A19" s="13" t="s">
        <v>295</v>
      </c>
      <c r="B19" s="14">
        <f>+'2014 PCORC Exh A-1'!D37*1000</f>
        <v>21095348000</v>
      </c>
    </row>
    <row r="20" spans="1:60">
      <c r="A20" s="1" t="s">
        <v>27</v>
      </c>
      <c r="B20" s="14">
        <f>+B18-B19</f>
        <v>-102.94689178466797</v>
      </c>
      <c r="J20" s="14"/>
      <c r="K20" s="14"/>
      <c r="L20" s="14"/>
    </row>
    <row r="21" spans="1:60">
      <c r="J21" s="14"/>
      <c r="L21" s="14"/>
    </row>
    <row r="22" spans="1:60">
      <c r="A22" s="1" t="s">
        <v>28</v>
      </c>
      <c r="E22" s="445">
        <f t="shared" ref="E22:M22" si="1">ROUND(E14/E18,6)</f>
        <v>6.7820000000000005E-2</v>
      </c>
      <c r="F22" s="445">
        <f t="shared" si="1"/>
        <v>6.2550999999999995E-2</v>
      </c>
      <c r="G22" s="445">
        <f t="shared" si="1"/>
        <v>6.2306E-2</v>
      </c>
      <c r="H22" s="445">
        <f t="shared" si="1"/>
        <v>6.4283000000000007E-2</v>
      </c>
      <c r="I22" s="445">
        <f t="shared" si="1"/>
        <v>5.8217999999999999E-2</v>
      </c>
      <c r="J22" s="445">
        <f t="shared" si="1"/>
        <v>5.0750999999999998E-2</v>
      </c>
      <c r="K22" s="445">
        <f t="shared" si="1"/>
        <v>5.7112000000000003E-2</v>
      </c>
      <c r="L22" s="445">
        <f t="shared" si="1"/>
        <v>6.4462000000000005E-2</v>
      </c>
      <c r="M22" s="354">
        <f t="shared" si="1"/>
        <v>4.7941999999999999E-2</v>
      </c>
      <c r="N22" s="15"/>
      <c r="O22" s="15">
        <f>ROUND(O14/O18,6)</f>
        <v>6.2883999999999995E-2</v>
      </c>
      <c r="P22" s="15"/>
      <c r="Q22" s="15">
        <f>ROUND(Q14/Q18,6)</f>
        <v>6.3951999999999995E-2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>
      <c r="L23" s="14"/>
    </row>
    <row r="25" spans="1:60">
      <c r="L25" s="14"/>
    </row>
    <row r="26" spans="1:60">
      <c r="L26" s="14"/>
    </row>
  </sheetData>
  <pageMargins left="0.7" right="0.7" top="0.75" bottom="0.75" header="0.3" footer="0.3"/>
  <pageSetup scale="48" fitToHeight="0" orientation="landscape" r:id="rId1"/>
  <headerFooter>
    <oddFooter>&amp;L&amp;F
&amp;A&amp;RPage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48"/>
  <sheetViews>
    <sheetView workbookViewId="0">
      <selection sqref="A1:N52"/>
    </sheetView>
  </sheetViews>
  <sheetFormatPr defaultRowHeight="15"/>
  <cols>
    <col min="1" max="1" width="6.140625" customWidth="1"/>
    <col min="2" max="2" width="47.28515625" bestFit="1" customWidth="1"/>
    <col min="3" max="3" width="2.28515625" bestFit="1" customWidth="1"/>
    <col min="4" max="4" width="15.140625" bestFit="1" customWidth="1"/>
    <col min="5" max="5" width="26.28515625" bestFit="1" customWidth="1"/>
    <col min="6" max="7" width="3.28515625" bestFit="1" customWidth="1"/>
    <col min="8" max="8" width="13.5703125" bestFit="1" customWidth="1"/>
    <col min="9" max="9" width="12.42578125" bestFit="1" customWidth="1"/>
  </cols>
  <sheetData>
    <row r="1" spans="1:9" ht="18">
      <c r="A1" s="356" t="s">
        <v>122</v>
      </c>
      <c r="B1" s="357"/>
      <c r="C1" s="357"/>
      <c r="D1" s="358"/>
      <c r="E1" s="357"/>
      <c r="F1" s="357"/>
      <c r="G1" s="357"/>
      <c r="H1" s="359"/>
      <c r="I1" s="360"/>
    </row>
    <row r="2" spans="1:9" ht="15.75">
      <c r="A2" s="361"/>
      <c r="B2" s="362"/>
      <c r="C2" s="361"/>
      <c r="D2" s="363"/>
      <c r="E2" s="357"/>
      <c r="F2" s="364"/>
      <c r="G2" s="357"/>
      <c r="H2" s="365"/>
      <c r="I2" s="360"/>
    </row>
    <row r="3" spans="1:9">
      <c r="A3" s="361" t="s">
        <v>124</v>
      </c>
      <c r="B3" s="366"/>
      <c r="C3" s="361"/>
      <c r="D3" s="367" t="s">
        <v>125</v>
      </c>
      <c r="E3" s="368"/>
      <c r="F3" s="368"/>
      <c r="G3" s="368"/>
      <c r="H3" s="365"/>
      <c r="I3" s="360"/>
    </row>
    <row r="4" spans="1:9">
      <c r="A4" s="361">
        <v>3</v>
      </c>
      <c r="B4" s="369" t="s">
        <v>126</v>
      </c>
      <c r="C4" s="361"/>
      <c r="D4" s="112">
        <v>265497444.63352045</v>
      </c>
      <c r="E4" s="368" t="s">
        <v>123</v>
      </c>
      <c r="F4" s="368"/>
      <c r="G4" s="368"/>
      <c r="H4" s="357"/>
      <c r="I4" s="370"/>
    </row>
    <row r="5" spans="1:9">
      <c r="A5" s="361">
        <v>4</v>
      </c>
      <c r="B5" s="369" t="s">
        <v>127</v>
      </c>
      <c r="C5" s="361"/>
      <c r="D5" s="115">
        <v>91215647.577500045</v>
      </c>
      <c r="E5" s="368"/>
      <c r="F5" s="368"/>
      <c r="G5" s="368"/>
      <c r="I5" s="370"/>
    </row>
    <row r="6" spans="1:9">
      <c r="A6" s="361">
        <v>5</v>
      </c>
      <c r="B6" s="369" t="s">
        <v>128</v>
      </c>
      <c r="C6" s="361"/>
      <c r="D6" s="119">
        <v>2127242636.0042129</v>
      </c>
      <c r="E6" s="363"/>
      <c r="F6" s="368"/>
      <c r="G6" s="368"/>
      <c r="I6" s="370"/>
    </row>
    <row r="7" spans="1:9">
      <c r="A7" s="361">
        <v>6</v>
      </c>
      <c r="B7" s="357"/>
      <c r="C7" s="357"/>
      <c r="D7" s="121">
        <v>2483955728.2152333</v>
      </c>
      <c r="E7" s="357"/>
      <c r="F7" s="368"/>
      <c r="G7" s="368"/>
      <c r="H7" s="122" t="s">
        <v>130</v>
      </c>
      <c r="I7" s="371"/>
    </row>
    <row r="8" spans="1:9">
      <c r="A8" s="361">
        <v>7</v>
      </c>
      <c r="B8" s="369" t="s">
        <v>131</v>
      </c>
      <c r="C8" s="372"/>
      <c r="D8" s="373">
        <v>6.6900000000000001E-2</v>
      </c>
      <c r="E8" s="374"/>
      <c r="F8" s="368"/>
      <c r="G8" s="368"/>
      <c r="H8" s="122" t="s">
        <v>132</v>
      </c>
      <c r="I8" s="375"/>
    </row>
    <row r="9" spans="1:9">
      <c r="A9" s="361">
        <v>8</v>
      </c>
      <c r="B9" s="376"/>
      <c r="C9" s="361"/>
      <c r="D9" s="377"/>
      <c r="E9" s="378" t="s">
        <v>133</v>
      </c>
      <c r="F9" s="368"/>
      <c r="G9" s="368"/>
      <c r="H9" s="135">
        <v>0.99019000000000001</v>
      </c>
      <c r="I9" s="379"/>
    </row>
    <row r="10" spans="1:9">
      <c r="A10" s="361">
        <v>9</v>
      </c>
      <c r="B10" s="137"/>
      <c r="C10" s="361"/>
      <c r="D10" s="116"/>
      <c r="E10" s="380" t="s">
        <v>135</v>
      </c>
      <c r="F10" s="357"/>
      <c r="G10" s="357"/>
      <c r="H10" s="139" t="s">
        <v>136</v>
      </c>
      <c r="I10" s="139" t="s">
        <v>137</v>
      </c>
    </row>
    <row r="11" spans="1:9">
      <c r="A11" s="361" t="s">
        <v>141</v>
      </c>
      <c r="B11" s="369"/>
      <c r="C11" s="361"/>
      <c r="D11" s="116"/>
      <c r="E11" s="367" t="s">
        <v>142</v>
      </c>
      <c r="F11" s="357"/>
      <c r="G11" s="357"/>
      <c r="H11" s="144" t="s">
        <v>143</v>
      </c>
      <c r="I11" s="144" t="s">
        <v>144</v>
      </c>
    </row>
    <row r="12" spans="1:9">
      <c r="A12" s="381">
        <v>10</v>
      </c>
      <c r="B12" s="146" t="s">
        <v>145</v>
      </c>
      <c r="C12" s="382" t="s">
        <v>279</v>
      </c>
      <c r="D12" s="112">
        <v>27325813.916896179</v>
      </c>
      <c r="E12" s="148">
        <v>1.2953478613813898</v>
      </c>
      <c r="F12" s="383"/>
      <c r="G12" s="383" t="s">
        <v>146</v>
      </c>
      <c r="H12" s="150"/>
      <c r="I12" s="383"/>
    </row>
    <row r="13" spans="1:9">
      <c r="A13" s="381" t="s">
        <v>280</v>
      </c>
      <c r="B13" s="146" t="s">
        <v>281</v>
      </c>
      <c r="C13" s="382"/>
      <c r="D13" s="154">
        <v>2326384.0720799998</v>
      </c>
      <c r="E13" s="148">
        <v>0.11027948304431857</v>
      </c>
      <c r="F13" s="383"/>
      <c r="G13" s="383" t="s">
        <v>146</v>
      </c>
      <c r="H13" s="155"/>
      <c r="I13" s="383"/>
    </row>
    <row r="14" spans="1:9">
      <c r="A14" s="381">
        <v>11</v>
      </c>
      <c r="B14" s="384" t="s">
        <v>147</v>
      </c>
      <c r="C14" s="382" t="s">
        <v>279</v>
      </c>
      <c r="D14" s="154">
        <v>9388195.1122073121</v>
      </c>
      <c r="E14" s="148">
        <v>0.44503627587500866</v>
      </c>
      <c r="F14" s="383" t="s">
        <v>148</v>
      </c>
      <c r="G14" s="383"/>
      <c r="H14" s="155">
        <v>9388195.1122073121</v>
      </c>
      <c r="I14" s="383"/>
    </row>
    <row r="15" spans="1:9">
      <c r="A15" s="381">
        <v>12</v>
      </c>
      <c r="B15" s="384" t="s">
        <v>149</v>
      </c>
      <c r="C15" s="382" t="s">
        <v>279</v>
      </c>
      <c r="D15" s="154">
        <v>218942357.45951051</v>
      </c>
      <c r="E15" s="148">
        <v>10.378703279012534</v>
      </c>
      <c r="F15" s="383" t="s">
        <v>148</v>
      </c>
      <c r="G15" s="383"/>
      <c r="H15" s="156">
        <v>221111460.89084974</v>
      </c>
      <c r="I15" s="156">
        <v>19208304.666921422</v>
      </c>
    </row>
    <row r="16" spans="1:9">
      <c r="A16" s="381">
        <v>13</v>
      </c>
      <c r="B16" s="383" t="s">
        <v>150</v>
      </c>
      <c r="C16" s="383"/>
      <c r="D16" s="154">
        <v>95199546.121719778</v>
      </c>
      <c r="E16" s="148">
        <v>4.5128217899851562</v>
      </c>
      <c r="F16" s="383"/>
      <c r="G16" s="383" t="s">
        <v>146</v>
      </c>
      <c r="H16" s="156"/>
      <c r="I16" s="383"/>
    </row>
    <row r="17" spans="1:9">
      <c r="A17" s="381">
        <v>14</v>
      </c>
      <c r="B17" s="383" t="s">
        <v>151</v>
      </c>
      <c r="C17" s="383"/>
      <c r="D17" s="154">
        <v>389511954.93561924</v>
      </c>
      <c r="E17" s="148">
        <v>18.464353133004455</v>
      </c>
      <c r="F17" s="383"/>
      <c r="G17" s="383" t="s">
        <v>146</v>
      </c>
      <c r="H17" s="156"/>
      <c r="I17" s="383"/>
    </row>
    <row r="18" spans="1:9">
      <c r="A18" s="385">
        <v>15</v>
      </c>
      <c r="B18" s="383" t="s">
        <v>152</v>
      </c>
      <c r="C18" s="383"/>
      <c r="D18" s="154">
        <v>6523447.0325799994</v>
      </c>
      <c r="E18" s="148">
        <v>0.30923628434951628</v>
      </c>
      <c r="F18" s="383" t="s">
        <v>148</v>
      </c>
      <c r="G18" s="383"/>
      <c r="H18" s="156">
        <v>6588076.0587160029</v>
      </c>
      <c r="I18" s="383"/>
    </row>
    <row r="19" spans="1:9">
      <c r="A19" s="385" t="s">
        <v>153</v>
      </c>
      <c r="B19" s="158" t="s">
        <v>154</v>
      </c>
      <c r="C19" s="383"/>
      <c r="D19" s="154">
        <v>7402046.5420037992</v>
      </c>
      <c r="E19" s="148">
        <v>0.35088525403817938</v>
      </c>
      <c r="F19" s="383" t="s">
        <v>148</v>
      </c>
      <c r="G19" s="383"/>
      <c r="H19" s="156">
        <v>7475380.0199999996</v>
      </c>
      <c r="I19" s="383"/>
    </row>
    <row r="20" spans="1:9">
      <c r="A20" s="385" t="s">
        <v>155</v>
      </c>
      <c r="B20" s="158" t="s">
        <v>156</v>
      </c>
      <c r="C20" s="383"/>
      <c r="D20" s="154">
        <v>2692722.5945816152</v>
      </c>
      <c r="E20" s="148">
        <v>0.12764532704469322</v>
      </c>
      <c r="F20" s="383" t="s">
        <v>148</v>
      </c>
      <c r="G20" s="383"/>
      <c r="H20" s="156">
        <v>2719399.9076759159</v>
      </c>
      <c r="I20" s="383"/>
    </row>
    <row r="21" spans="1:9">
      <c r="A21" s="385" t="s">
        <v>157</v>
      </c>
      <c r="B21" s="158" t="s">
        <v>158</v>
      </c>
      <c r="C21" s="383"/>
      <c r="D21" s="154">
        <v>1732919.8033689763</v>
      </c>
      <c r="E21" s="148">
        <v>8.2147011908453763E-2</v>
      </c>
      <c r="F21" s="383" t="s">
        <v>148</v>
      </c>
      <c r="G21" s="383"/>
      <c r="H21" s="156">
        <v>1750088.1682999993</v>
      </c>
      <c r="I21" s="383"/>
    </row>
    <row r="22" spans="1:9">
      <c r="A22" s="385" t="s">
        <v>159</v>
      </c>
      <c r="B22" s="158" t="s">
        <v>160</v>
      </c>
      <c r="C22" s="383"/>
      <c r="D22" s="154">
        <v>1955229.1839019</v>
      </c>
      <c r="E22" s="148">
        <v>9.2685324930496527E-2</v>
      </c>
      <c r="F22" s="383" t="s">
        <v>148</v>
      </c>
      <c r="G22" s="383"/>
      <c r="H22" s="156">
        <v>1974600.01</v>
      </c>
      <c r="I22" s="383"/>
    </row>
    <row r="23" spans="1:9">
      <c r="A23" s="381">
        <v>16</v>
      </c>
      <c r="B23" s="383" t="s">
        <v>161</v>
      </c>
      <c r="C23" s="383"/>
      <c r="D23" s="154">
        <v>166825562.15201887</v>
      </c>
      <c r="E23" s="148">
        <v>7.9081682915123688</v>
      </c>
      <c r="F23" s="383"/>
      <c r="G23" s="383" t="s">
        <v>146</v>
      </c>
      <c r="H23" s="156"/>
      <c r="I23" s="383"/>
    </row>
    <row r="24" spans="1:9">
      <c r="A24" s="381">
        <v>17</v>
      </c>
      <c r="B24" s="383" t="s">
        <v>162</v>
      </c>
      <c r="C24" s="383"/>
      <c r="D24" s="154">
        <v>106375889.21137141</v>
      </c>
      <c r="E24" s="148">
        <v>5.0426231039834661</v>
      </c>
      <c r="F24" s="383"/>
      <c r="G24" s="383" t="s">
        <v>146</v>
      </c>
      <c r="H24" s="156"/>
      <c r="I24" s="382"/>
    </row>
    <row r="25" spans="1:9">
      <c r="A25" s="381">
        <v>18</v>
      </c>
      <c r="B25" s="383" t="s">
        <v>163</v>
      </c>
      <c r="C25" s="383"/>
      <c r="D25" s="154">
        <v>-6685935.3372543128</v>
      </c>
      <c r="E25" s="148">
        <v>-0.31693885008459272</v>
      </c>
      <c r="F25" s="383"/>
      <c r="G25" s="383" t="s">
        <v>146</v>
      </c>
      <c r="H25" s="156"/>
      <c r="I25" s="383"/>
    </row>
    <row r="26" spans="1:9">
      <c r="A26" s="381">
        <v>19</v>
      </c>
      <c r="B26" s="383" t="s">
        <v>164</v>
      </c>
      <c r="C26" s="383"/>
      <c r="D26" s="154">
        <v>117619473.41572399</v>
      </c>
      <c r="E26" s="148">
        <v>5.5756119034264806</v>
      </c>
      <c r="F26" s="383" t="s">
        <v>148</v>
      </c>
      <c r="G26" s="383"/>
      <c r="H26" s="156">
        <v>118784751.83118795</v>
      </c>
      <c r="I26" s="383"/>
    </row>
    <row r="27" spans="1:9">
      <c r="A27" s="381">
        <v>20</v>
      </c>
      <c r="B27" s="383" t="s">
        <v>165</v>
      </c>
      <c r="C27" s="383"/>
      <c r="D27" s="154">
        <v>-29085180.617505684</v>
      </c>
      <c r="E27" s="148">
        <v>-1.3787485571466129</v>
      </c>
      <c r="F27" s="383"/>
      <c r="G27" s="383" t="s">
        <v>146</v>
      </c>
      <c r="H27" s="156"/>
      <c r="I27" s="383"/>
    </row>
    <row r="28" spans="1:9">
      <c r="A28" s="386">
        <v>21</v>
      </c>
      <c r="B28" s="387" t="s">
        <v>282</v>
      </c>
      <c r="C28" s="383"/>
      <c r="D28" s="154">
        <v>-5342456.3775891997</v>
      </c>
      <c r="E28" s="148">
        <v>-0.25325282036538099</v>
      </c>
      <c r="F28" s="383"/>
      <c r="G28" s="383" t="s">
        <v>146</v>
      </c>
      <c r="H28" s="156"/>
      <c r="I28" s="383"/>
    </row>
    <row r="29" spans="1:9">
      <c r="A29" s="381">
        <v>22</v>
      </c>
      <c r="B29" s="383" t="s">
        <v>167</v>
      </c>
      <c r="C29" s="383"/>
      <c r="D29" s="154">
        <v>926059.73073219997</v>
      </c>
      <c r="E29" s="148">
        <v>4.3898765298026846E-2</v>
      </c>
      <c r="F29" s="383" t="s">
        <v>148</v>
      </c>
      <c r="G29" s="383"/>
      <c r="H29" s="156">
        <v>935234.38</v>
      </c>
      <c r="I29" s="383"/>
    </row>
    <row r="30" spans="1:9">
      <c r="A30" s="381">
        <v>23</v>
      </c>
      <c r="B30" s="161" t="s">
        <v>168</v>
      </c>
      <c r="C30" s="383" t="s">
        <v>123</v>
      </c>
      <c r="D30" s="154">
        <v>111561171.9863264</v>
      </c>
      <c r="E30" s="148">
        <v>5.2884252957726225</v>
      </c>
      <c r="F30" s="383" t="s">
        <v>148</v>
      </c>
      <c r="G30" s="383"/>
      <c r="H30" s="156">
        <v>112666429.66130379</v>
      </c>
      <c r="I30" s="383"/>
    </row>
    <row r="31" spans="1:9">
      <c r="A31" s="381">
        <v>24</v>
      </c>
      <c r="B31" s="388" t="s">
        <v>169</v>
      </c>
      <c r="C31" s="382"/>
      <c r="D31" s="154">
        <v>4204776.2634999994</v>
      </c>
      <c r="E31" s="148">
        <v>0.19932244130317259</v>
      </c>
      <c r="F31" s="383" t="s">
        <v>148</v>
      </c>
      <c r="G31" s="383"/>
      <c r="H31" s="156">
        <v>4204776.2634999994</v>
      </c>
      <c r="I31" s="156">
        <v>21424894.691723637</v>
      </c>
    </row>
    <row r="32" spans="1:9">
      <c r="A32" s="381">
        <v>25</v>
      </c>
      <c r="B32" s="388" t="s">
        <v>170</v>
      </c>
      <c r="C32" s="383"/>
      <c r="D32" s="154">
        <v>31968945.399459153</v>
      </c>
      <c r="E32" s="148">
        <v>1.5154500129345652</v>
      </c>
      <c r="F32" s="383"/>
      <c r="G32" s="383" t="s">
        <v>146</v>
      </c>
      <c r="H32" s="156"/>
      <c r="I32" s="383"/>
    </row>
    <row r="33" spans="1:9" ht="15.75" thickBot="1">
      <c r="A33" s="381">
        <v>26</v>
      </c>
      <c r="B33" s="383" t="s">
        <v>173</v>
      </c>
      <c r="C33" s="381"/>
      <c r="D33" s="154">
        <v>526847.0714766006</v>
      </c>
      <c r="E33" s="148">
        <v>2.4974561760090452E-2</v>
      </c>
      <c r="F33" s="383"/>
      <c r="G33" s="383" t="s">
        <v>146</v>
      </c>
      <c r="H33" s="156"/>
      <c r="I33" s="143"/>
    </row>
    <row r="34" spans="1:9" ht="15.75" thickBot="1">
      <c r="A34" s="381">
        <v>27</v>
      </c>
      <c r="B34" s="389" t="s">
        <v>174</v>
      </c>
      <c r="C34" s="390"/>
      <c r="D34" s="167">
        <v>1261895769.6727285</v>
      </c>
      <c r="E34" s="391">
        <v>59.818675172968419</v>
      </c>
      <c r="F34" s="392" t="s">
        <v>175</v>
      </c>
      <c r="G34" s="393"/>
      <c r="H34" s="171">
        <v>487598392.30374074</v>
      </c>
      <c r="I34" s="171">
        <v>40633199.358645059</v>
      </c>
    </row>
    <row r="35" spans="1:9">
      <c r="A35" s="381">
        <v>28</v>
      </c>
      <c r="B35" s="383" t="s">
        <v>176</v>
      </c>
      <c r="C35" s="383"/>
      <c r="D35" s="173">
        <v>0.95437899999999998</v>
      </c>
      <c r="E35" s="394"/>
      <c r="F35" s="383"/>
      <c r="G35" s="383"/>
      <c r="H35" s="150"/>
      <c r="I35" s="143"/>
    </row>
    <row r="36" spans="1:9">
      <c r="A36" s="381">
        <v>29</v>
      </c>
      <c r="B36" s="383"/>
      <c r="C36" s="383"/>
      <c r="D36" s="155">
        <v>1322216613.8114192</v>
      </c>
      <c r="E36" s="150"/>
      <c r="F36" s="383"/>
      <c r="G36" s="383"/>
      <c r="H36" s="154"/>
      <c r="I36" s="143"/>
    </row>
    <row r="37" spans="1:9">
      <c r="A37" s="381">
        <v>30</v>
      </c>
      <c r="B37" s="383" t="s">
        <v>177</v>
      </c>
      <c r="C37" s="383"/>
      <c r="D37" s="154">
        <v>21095348</v>
      </c>
      <c r="E37" s="154" t="s">
        <v>178</v>
      </c>
      <c r="F37" s="383"/>
      <c r="G37" s="383"/>
      <c r="H37" s="150"/>
      <c r="I37" s="143"/>
    </row>
    <row r="38" spans="1:9">
      <c r="A38" s="381">
        <v>31</v>
      </c>
      <c r="B38" s="395"/>
      <c r="C38" s="383"/>
      <c r="D38" s="154"/>
      <c r="E38" s="154"/>
      <c r="F38" s="383"/>
      <c r="G38" s="383"/>
      <c r="H38" s="150"/>
      <c r="I38" s="143"/>
    </row>
    <row r="39" spans="1:9">
      <c r="A39" s="381">
        <v>32</v>
      </c>
      <c r="B39" s="383"/>
      <c r="C39" s="383"/>
      <c r="D39" s="396" t="s">
        <v>179</v>
      </c>
      <c r="E39" s="397" t="s">
        <v>180</v>
      </c>
      <c r="F39" s="383"/>
      <c r="G39" s="383"/>
      <c r="H39" s="396"/>
      <c r="I39" s="398"/>
    </row>
    <row r="40" spans="1:9">
      <c r="A40" s="381">
        <v>33</v>
      </c>
      <c r="B40" s="383"/>
      <c r="C40" s="383"/>
      <c r="D40" s="399" t="s">
        <v>181</v>
      </c>
      <c r="E40" s="400" t="s">
        <v>181</v>
      </c>
      <c r="F40" s="383"/>
      <c r="G40" s="383"/>
      <c r="H40" s="399"/>
      <c r="I40" s="401"/>
    </row>
    <row r="41" spans="1:9">
      <c r="A41" s="381">
        <v>34</v>
      </c>
      <c r="B41" s="388" t="s">
        <v>182</v>
      </c>
      <c r="C41" s="383"/>
      <c r="D41" s="801" t="s">
        <v>183</v>
      </c>
      <c r="E41" s="802"/>
      <c r="F41" s="383"/>
      <c r="G41" s="383"/>
      <c r="H41" s="402"/>
      <c r="I41" s="402"/>
    </row>
    <row r="42" spans="1:9">
      <c r="A42" s="381">
        <v>35</v>
      </c>
      <c r="B42" s="383" t="s">
        <v>184</v>
      </c>
      <c r="C42" s="383"/>
      <c r="D42" s="148">
        <v>59.818675172968419</v>
      </c>
      <c r="E42" s="198">
        <v>62.678113383643627</v>
      </c>
      <c r="F42" s="383"/>
      <c r="G42" s="383"/>
      <c r="H42" s="148"/>
      <c r="I42" s="201"/>
    </row>
    <row r="43" spans="1:9">
      <c r="A43" s="381">
        <v>36</v>
      </c>
      <c r="B43" s="383" t="s">
        <v>185</v>
      </c>
      <c r="C43" s="383" t="s">
        <v>279</v>
      </c>
      <c r="D43" s="148">
        <v>22.893597162959185</v>
      </c>
      <c r="E43" s="198">
        <v>23.987951498261367</v>
      </c>
      <c r="F43" s="383"/>
      <c r="G43" s="383"/>
      <c r="H43" s="148"/>
      <c r="I43" s="201"/>
    </row>
    <row r="44" spans="1:9">
      <c r="A44" s="381">
        <v>37</v>
      </c>
      <c r="B44" s="383" t="s">
        <v>186</v>
      </c>
      <c r="C44" s="383"/>
      <c r="D44" s="148">
        <v>59.818675172968419</v>
      </c>
      <c r="E44" s="198">
        <v>62.678113383643627</v>
      </c>
      <c r="F44" s="383"/>
      <c r="G44" s="383"/>
      <c r="H44" s="148"/>
      <c r="I44" s="201"/>
    </row>
    <row r="45" spans="1:9">
      <c r="A45" s="381">
        <v>38</v>
      </c>
      <c r="B45" s="403" t="s">
        <v>187</v>
      </c>
      <c r="C45" s="403"/>
      <c r="D45" s="148">
        <v>36.925078010009223</v>
      </c>
      <c r="E45" s="198">
        <v>38.690161885382246</v>
      </c>
      <c r="F45" s="383"/>
      <c r="G45" s="383"/>
      <c r="H45" s="148"/>
      <c r="I45" s="201"/>
    </row>
    <row r="46" spans="1:9">
      <c r="A46" s="381">
        <v>39</v>
      </c>
      <c r="B46" s="383"/>
      <c r="C46" s="383"/>
      <c r="D46" s="383"/>
      <c r="E46" s="383"/>
      <c r="F46" s="383"/>
      <c r="G46" s="383"/>
      <c r="H46" s="150"/>
      <c r="I46" s="404"/>
    </row>
    <row r="47" spans="1:9">
      <c r="A47" s="381">
        <v>40</v>
      </c>
      <c r="B47" s="405" t="s">
        <v>188</v>
      </c>
      <c r="C47" s="383"/>
      <c r="D47" s="406"/>
      <c r="E47" s="383"/>
      <c r="F47" s="383"/>
      <c r="G47" s="383"/>
      <c r="H47" s="206" t="s">
        <v>123</v>
      </c>
      <c r="I47" s="404"/>
    </row>
    <row r="48" spans="1:9">
      <c r="A48" s="381"/>
      <c r="B48" s="381"/>
      <c r="C48" s="403"/>
      <c r="D48" s="407"/>
      <c r="E48" s="408"/>
      <c r="F48" s="383"/>
      <c r="G48" s="383"/>
      <c r="H48" s="206"/>
      <c r="I48" s="404"/>
    </row>
  </sheetData>
  <mergeCells count="1">
    <mergeCell ref="D41:E41"/>
  </mergeCells>
  <pageMargins left="0.7" right="0.7" top="0.75" bottom="0.75" header="0.3" footer="0.3"/>
  <pageSetup scale="69" orientation="portrait" r:id="rId1"/>
  <headerFooter>
    <oddFooter>&amp;L&amp;F
&amp;A&amp;RPage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36"/>
  <sheetViews>
    <sheetView workbookViewId="0">
      <selection activeCell="B29" sqref="B29"/>
    </sheetView>
  </sheetViews>
  <sheetFormatPr defaultRowHeight="15"/>
  <cols>
    <col min="1" max="1" width="8.28515625" bestFit="1" customWidth="1"/>
    <col min="2" max="2" width="38.7109375" bestFit="1" customWidth="1"/>
    <col min="3" max="3" width="11.7109375" bestFit="1" customWidth="1"/>
    <col min="4" max="4" width="15.140625" bestFit="1" customWidth="1"/>
    <col min="5" max="5" width="9.85546875" bestFit="1" customWidth="1"/>
    <col min="6" max="6" width="10.42578125" bestFit="1" customWidth="1"/>
    <col min="7" max="8" width="9.85546875" bestFit="1" customWidth="1"/>
    <col min="9" max="10" width="13.28515625" bestFit="1" customWidth="1"/>
    <col min="11" max="11" width="15.140625" bestFit="1" customWidth="1"/>
    <col min="12" max="12" width="11.5703125" bestFit="1" customWidth="1"/>
  </cols>
  <sheetData>
    <row r="1" spans="1:12">
      <c r="A1" s="788" t="s">
        <v>216</v>
      </c>
      <c r="B1" s="789"/>
      <c r="C1" s="789"/>
      <c r="D1" s="790"/>
      <c r="E1" s="790"/>
      <c r="F1" s="790"/>
      <c r="G1" s="790"/>
      <c r="H1" s="790"/>
      <c r="I1" s="790"/>
      <c r="J1" s="790"/>
      <c r="K1" s="790"/>
      <c r="L1" s="791"/>
    </row>
    <row r="2" spans="1:12">
      <c r="A2" s="792" t="s">
        <v>217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4"/>
    </row>
    <row r="3" spans="1:12">
      <c r="A3" s="409"/>
      <c r="B3" s="410"/>
      <c r="C3" s="411"/>
      <c r="D3" s="412"/>
      <c r="E3" s="410"/>
      <c r="F3" s="412"/>
      <c r="G3" s="410"/>
      <c r="H3" s="410"/>
      <c r="I3" s="410"/>
      <c r="J3" s="410"/>
      <c r="K3" s="410"/>
      <c r="L3" s="413"/>
    </row>
    <row r="4" spans="1:12" ht="78" thickBot="1">
      <c r="A4" s="414" t="s">
        <v>29</v>
      </c>
      <c r="B4" s="415" t="s">
        <v>218</v>
      </c>
      <c r="C4" s="416" t="s">
        <v>219</v>
      </c>
      <c r="D4" s="417" t="s">
        <v>220</v>
      </c>
      <c r="E4" s="417" t="s">
        <v>221</v>
      </c>
      <c r="F4" s="417" t="s">
        <v>222</v>
      </c>
      <c r="G4" s="417" t="s">
        <v>223</v>
      </c>
      <c r="H4" s="418" t="s">
        <v>224</v>
      </c>
      <c r="I4" s="419" t="s">
        <v>283</v>
      </c>
      <c r="J4" s="419" t="s">
        <v>283</v>
      </c>
      <c r="K4" s="419" t="s">
        <v>284</v>
      </c>
      <c r="L4" s="420" t="s">
        <v>285</v>
      </c>
    </row>
    <row r="5" spans="1:12" ht="25.5">
      <c r="A5" s="421"/>
      <c r="B5" s="422"/>
      <c r="C5" s="422"/>
      <c r="D5" s="423" t="s">
        <v>228</v>
      </c>
      <c r="E5" s="424" t="s">
        <v>286</v>
      </c>
      <c r="F5" s="423" t="s">
        <v>230</v>
      </c>
      <c r="G5" s="424" t="s">
        <v>231</v>
      </c>
      <c r="H5" s="425" t="s">
        <v>232</v>
      </c>
      <c r="I5" s="425" t="s">
        <v>233</v>
      </c>
      <c r="J5" s="426" t="s">
        <v>234</v>
      </c>
      <c r="K5" s="425" t="s">
        <v>235</v>
      </c>
      <c r="L5" s="427" t="s">
        <v>287</v>
      </c>
    </row>
    <row r="6" spans="1:12">
      <c r="A6" s="428"/>
      <c r="B6" s="429"/>
      <c r="C6" s="429"/>
      <c r="D6" s="430"/>
      <c r="E6" s="431"/>
      <c r="F6" s="430"/>
      <c r="G6" s="431"/>
      <c r="H6" s="429"/>
      <c r="I6" s="429"/>
      <c r="J6" s="429"/>
      <c r="K6" s="429"/>
      <c r="L6" s="432"/>
    </row>
    <row r="7" spans="1:12">
      <c r="A7" s="433">
        <v>1</v>
      </c>
      <c r="B7" s="410" t="s">
        <v>2</v>
      </c>
      <c r="C7" s="411">
        <v>7</v>
      </c>
      <c r="D7" s="434">
        <v>11660620432</v>
      </c>
      <c r="E7" s="435">
        <v>0.41341881061557145</v>
      </c>
      <c r="F7" s="434">
        <v>2556735</v>
      </c>
      <c r="G7" s="436">
        <v>0.11909155539305931</v>
      </c>
      <c r="H7" s="436">
        <v>0.53251036600863078</v>
      </c>
      <c r="I7" s="436"/>
      <c r="J7" s="437">
        <v>-15960881.706006609</v>
      </c>
      <c r="K7" s="412">
        <v>10704689132.038425</v>
      </c>
      <c r="L7" s="438">
        <v>-1.4910177688613813E-3</v>
      </c>
    </row>
    <row r="8" spans="1:12">
      <c r="A8" s="433">
        <v>2</v>
      </c>
      <c r="B8" s="439" t="s">
        <v>237</v>
      </c>
      <c r="C8" s="411" t="s">
        <v>288</v>
      </c>
      <c r="D8" s="434">
        <v>2822861364</v>
      </c>
      <c r="E8" s="435">
        <v>0.10008249513335413</v>
      </c>
      <c r="F8" s="434">
        <v>443234</v>
      </c>
      <c r="G8" s="436">
        <v>2.0645638465889994E-2</v>
      </c>
      <c r="H8" s="436">
        <v>0.12072813359924411</v>
      </c>
      <c r="I8" s="436"/>
      <c r="J8" s="437">
        <v>-3618572.6738195857</v>
      </c>
      <c r="K8" s="412">
        <v>2631310630.0537453</v>
      </c>
      <c r="L8" s="438">
        <v>-1.3751978320194281E-3</v>
      </c>
    </row>
    <row r="9" spans="1:12">
      <c r="A9" s="433">
        <v>3</v>
      </c>
      <c r="B9" s="410" t="s">
        <v>238</v>
      </c>
      <c r="C9" s="411" t="s">
        <v>289</v>
      </c>
      <c r="D9" s="434">
        <v>3169146062.8231239</v>
      </c>
      <c r="E9" s="435">
        <v>0.11235976709814208</v>
      </c>
      <c r="F9" s="434">
        <v>449013.77786666667</v>
      </c>
      <c r="G9" s="436">
        <v>2.0914857894562777E-2</v>
      </c>
      <c r="H9" s="436">
        <v>0.13327462499270484</v>
      </c>
      <c r="I9" s="436"/>
      <c r="J9" s="437">
        <v>-3994627.4470955129</v>
      </c>
      <c r="K9" s="412">
        <v>2915406533.5393066</v>
      </c>
      <c r="L9" s="438">
        <v>-1.3701785329560988E-3</v>
      </c>
    </row>
    <row r="10" spans="1:12">
      <c r="A10" s="433">
        <v>4</v>
      </c>
      <c r="B10" s="410" t="s">
        <v>240</v>
      </c>
      <c r="C10" s="411" t="s">
        <v>290</v>
      </c>
      <c r="D10" s="434">
        <v>2157691595</v>
      </c>
      <c r="E10" s="435">
        <v>7.6499385095507855E-2</v>
      </c>
      <c r="F10" s="434">
        <v>284127.75</v>
      </c>
      <c r="G10" s="436">
        <v>1.3234541584415399E-2</v>
      </c>
      <c r="H10" s="436">
        <v>8.9733926679923248E-2</v>
      </c>
      <c r="I10" s="436"/>
      <c r="J10" s="437">
        <v>-2689586.3070025425</v>
      </c>
      <c r="K10" s="412">
        <v>1903096551.4107246</v>
      </c>
      <c r="L10" s="438">
        <v>-1.4132684466317855E-3</v>
      </c>
    </row>
    <row r="11" spans="1:12">
      <c r="A11" s="433">
        <v>5</v>
      </c>
      <c r="B11" s="410" t="s">
        <v>242</v>
      </c>
      <c r="C11" s="411">
        <v>29</v>
      </c>
      <c r="D11" s="434">
        <v>15687149.176876003</v>
      </c>
      <c r="E11" s="435">
        <v>5.5617645668797099E-4</v>
      </c>
      <c r="F11" s="434">
        <v>1035.9721333333325</v>
      </c>
      <c r="G11" s="436">
        <v>4.82551115788427E-5</v>
      </c>
      <c r="H11" s="436">
        <v>6.0443156826681371E-4</v>
      </c>
      <c r="I11" s="436"/>
      <c r="J11" s="437">
        <v>-18116.568946427444</v>
      </c>
      <c r="K11" s="412">
        <v>14047528.598707804</v>
      </c>
      <c r="L11" s="438">
        <v>-1.2896623643887039E-3</v>
      </c>
    </row>
    <row r="12" spans="1:12">
      <c r="A12" s="433">
        <v>6</v>
      </c>
      <c r="B12" s="410" t="s">
        <v>243</v>
      </c>
      <c r="C12" s="411" t="s">
        <v>291</v>
      </c>
      <c r="D12" s="434">
        <v>1367953304</v>
      </c>
      <c r="E12" s="435">
        <v>4.849978877327385E-2</v>
      </c>
      <c r="F12" s="434">
        <v>165975.58333333334</v>
      </c>
      <c r="G12" s="436">
        <v>7.7310673090629266E-3</v>
      </c>
      <c r="H12" s="436">
        <v>5.6230856082336779E-2</v>
      </c>
      <c r="I12" s="436"/>
      <c r="J12" s="437">
        <v>-1685402.0117668719</v>
      </c>
      <c r="K12" s="412">
        <v>1316794760.0766146</v>
      </c>
      <c r="L12" s="438">
        <v>-1.2799276416233694E-3</v>
      </c>
    </row>
    <row r="13" spans="1:12">
      <c r="A13" s="433">
        <v>7</v>
      </c>
      <c r="B13" s="410" t="s">
        <v>244</v>
      </c>
      <c r="C13" s="411">
        <v>35</v>
      </c>
      <c r="D13" s="434">
        <v>4806559</v>
      </c>
      <c r="E13" s="435">
        <v>1.7041305104832611E-4</v>
      </c>
      <c r="F13" s="434">
        <v>4</v>
      </c>
      <c r="G13" s="436">
        <v>1.86318183766498E-7</v>
      </c>
      <c r="H13" s="436">
        <v>1.7059936923209261E-4</v>
      </c>
      <c r="I13" s="436"/>
      <c r="J13" s="437">
        <v>-5113.3583968366192</v>
      </c>
      <c r="K13" s="412">
        <v>4593600</v>
      </c>
      <c r="L13" s="438">
        <v>-1.1131483796666273E-3</v>
      </c>
    </row>
    <row r="14" spans="1:12">
      <c r="A14" s="433">
        <v>8</v>
      </c>
      <c r="B14" s="410" t="s">
        <v>245</v>
      </c>
      <c r="C14" s="411">
        <v>43</v>
      </c>
      <c r="D14" s="434">
        <v>154110146</v>
      </c>
      <c r="E14" s="435">
        <v>5.4638630624034758E-3</v>
      </c>
      <c r="F14" s="434">
        <v>0</v>
      </c>
      <c r="G14" s="436">
        <v>0</v>
      </c>
      <c r="H14" s="436">
        <v>5.4638630624034758E-3</v>
      </c>
      <c r="I14" s="436"/>
      <c r="J14" s="437">
        <v>-163767.83920752342</v>
      </c>
      <c r="K14" s="412">
        <v>130432925.631</v>
      </c>
      <c r="L14" s="438">
        <v>-1.2555713092783738E-3</v>
      </c>
    </row>
    <row r="15" spans="1:12">
      <c r="A15" s="433">
        <v>9</v>
      </c>
      <c r="B15" s="410"/>
      <c r="C15" s="411"/>
      <c r="D15" s="412"/>
      <c r="E15" s="436"/>
      <c r="F15" s="412"/>
      <c r="G15" s="436"/>
      <c r="H15" s="436"/>
      <c r="I15" s="436"/>
      <c r="J15" s="437"/>
      <c r="K15" s="412"/>
      <c r="L15" s="440"/>
    </row>
    <row r="16" spans="1:12">
      <c r="A16" s="433">
        <v>10</v>
      </c>
      <c r="B16" s="439"/>
      <c r="C16" s="411"/>
      <c r="D16" s="412"/>
      <c r="E16" s="436"/>
      <c r="F16" s="412"/>
      <c r="G16" s="436"/>
      <c r="H16" s="436"/>
      <c r="I16" s="436"/>
      <c r="J16" s="437"/>
      <c r="K16" s="412"/>
      <c r="L16" s="440"/>
    </row>
    <row r="17" spans="1:12">
      <c r="A17" s="433">
        <v>11</v>
      </c>
      <c r="B17" s="439" t="s">
        <v>246</v>
      </c>
      <c r="C17" s="411">
        <v>40</v>
      </c>
      <c r="D17" s="412">
        <v>801873373</v>
      </c>
      <c r="E17" s="435">
        <v>2.8429836822421707E-2</v>
      </c>
      <c r="F17" s="412">
        <v>96819.916666666672</v>
      </c>
      <c r="G17" s="436">
        <v>4.509827756439256E-3</v>
      </c>
      <c r="H17" s="436">
        <v>3.2939664578860967E-2</v>
      </c>
      <c r="I17" s="436"/>
      <c r="J17" s="437">
        <v>-987297.38111842645</v>
      </c>
      <c r="K17" s="412">
        <v>696662806</v>
      </c>
      <c r="L17" s="438">
        <v>-1.4171811278215797E-3</v>
      </c>
    </row>
    <row r="18" spans="1:12">
      <c r="A18" s="433">
        <v>12</v>
      </c>
      <c r="B18" s="439" t="s">
        <v>247</v>
      </c>
      <c r="C18" s="411">
        <v>40</v>
      </c>
      <c r="D18" s="412">
        <v>0</v>
      </c>
      <c r="E18" s="435">
        <v>0</v>
      </c>
      <c r="F18" s="412">
        <v>0</v>
      </c>
      <c r="G18" s="436">
        <v>0</v>
      </c>
      <c r="H18" s="436">
        <v>0</v>
      </c>
      <c r="I18" s="436"/>
      <c r="J18" s="437"/>
      <c r="K18" s="412">
        <v>0</v>
      </c>
      <c r="L18" s="438">
        <v>-1.0434688233878085E-3</v>
      </c>
    </row>
    <row r="19" spans="1:12">
      <c r="A19" s="433">
        <v>13</v>
      </c>
      <c r="B19" s="441"/>
      <c r="C19" s="442"/>
      <c r="D19" s="412"/>
      <c r="E19" s="436"/>
      <c r="F19" s="412"/>
      <c r="G19" s="436"/>
      <c r="H19" s="436"/>
      <c r="I19" s="436"/>
      <c r="J19" s="437"/>
      <c r="K19" s="412"/>
      <c r="L19" s="440"/>
    </row>
    <row r="20" spans="1:12">
      <c r="A20" s="433">
        <v>14</v>
      </c>
      <c r="B20" s="443" t="s">
        <v>248</v>
      </c>
      <c r="C20" s="411">
        <v>46</v>
      </c>
      <c r="D20" s="412">
        <v>53295879.17946253</v>
      </c>
      <c r="E20" s="435">
        <v>1.8895666066462867E-3</v>
      </c>
      <c r="F20" s="412">
        <v>0</v>
      </c>
      <c r="G20" s="436">
        <v>0</v>
      </c>
      <c r="H20" s="436">
        <v>1.8895666066462867E-3</v>
      </c>
      <c r="I20" s="436"/>
      <c r="J20" s="437">
        <v>-56635.797177726476</v>
      </c>
      <c r="K20" s="412">
        <v>47291096.004999995</v>
      </c>
      <c r="L20" s="438">
        <v>-1.197599589820005E-3</v>
      </c>
    </row>
    <row r="21" spans="1:12">
      <c r="A21" s="433">
        <v>15</v>
      </c>
      <c r="B21" s="443" t="s">
        <v>249</v>
      </c>
      <c r="C21" s="411">
        <v>49</v>
      </c>
      <c r="D21" s="412">
        <v>539784440.87161875</v>
      </c>
      <c r="E21" s="435">
        <v>1.9137664486662358E-2</v>
      </c>
      <c r="F21" s="412">
        <v>69539.626533333343</v>
      </c>
      <c r="G21" s="436">
        <v>3.2391242288728104E-3</v>
      </c>
      <c r="H21" s="436">
        <v>2.2376788715535167E-2</v>
      </c>
      <c r="I21" s="436"/>
      <c r="J21" s="437">
        <v>-670697.32430931076</v>
      </c>
      <c r="K21" s="412">
        <v>642757415.72399998</v>
      </c>
      <c r="L21" s="438">
        <v>-1.0434688233878085E-3</v>
      </c>
    </row>
    <row r="22" spans="1:12">
      <c r="A22" s="433">
        <v>16</v>
      </c>
      <c r="B22" s="439"/>
      <c r="C22" s="442"/>
      <c r="D22" s="412"/>
      <c r="E22" s="436"/>
      <c r="F22" s="412"/>
      <c r="G22" s="436"/>
      <c r="H22" s="436"/>
      <c r="I22" s="436"/>
      <c r="J22" s="437"/>
      <c r="K22" s="412"/>
      <c r="L22" s="440"/>
    </row>
    <row r="23" spans="1:12">
      <c r="A23" s="433">
        <v>17</v>
      </c>
      <c r="B23" s="410" t="s">
        <v>250</v>
      </c>
      <c r="C23" s="411" t="s">
        <v>251</v>
      </c>
      <c r="D23" s="434">
        <v>90893526</v>
      </c>
      <c r="E23" s="435">
        <v>3.2225638104515842E-3</v>
      </c>
      <c r="F23" s="434">
        <v>10941</v>
      </c>
      <c r="G23" s="436">
        <v>5.096268121473137E-4</v>
      </c>
      <c r="H23" s="436">
        <v>3.732190622598898E-3</v>
      </c>
      <c r="I23" s="436"/>
      <c r="J23" s="437">
        <v>-111864.58862399439</v>
      </c>
      <c r="K23" s="412">
        <v>80910221.975582257</v>
      </c>
      <c r="L23" s="438">
        <v>-1.3825767114784805E-3</v>
      </c>
    </row>
    <row r="24" spans="1:12">
      <c r="A24" s="433">
        <v>18</v>
      </c>
      <c r="B24" s="410"/>
      <c r="C24" s="411"/>
      <c r="D24" s="412"/>
      <c r="E24" s="436"/>
      <c r="F24" s="412"/>
      <c r="G24" s="410"/>
      <c r="H24" s="410"/>
      <c r="I24" s="410"/>
      <c r="J24" s="437"/>
      <c r="K24" s="410"/>
      <c r="L24" s="440"/>
    </row>
    <row r="25" spans="1:12">
      <c r="A25" s="433">
        <v>19</v>
      </c>
      <c r="B25" s="410" t="s">
        <v>14</v>
      </c>
      <c r="C25" s="411"/>
      <c r="D25" s="434">
        <v>7606107</v>
      </c>
      <c r="E25" s="435">
        <v>2.6966898782892931E-4</v>
      </c>
      <c r="F25" s="434">
        <v>1617</v>
      </c>
      <c r="G25" s="436">
        <v>7.5319125787606813E-5</v>
      </c>
      <c r="H25" s="436">
        <v>3.4498811361653611E-4</v>
      </c>
      <c r="I25" s="436"/>
      <c r="J25" s="437">
        <v>-10340.29536867768</v>
      </c>
      <c r="K25" s="412">
        <v>7354696</v>
      </c>
      <c r="L25" s="438">
        <v>-1.4059446330178271E-3</v>
      </c>
    </row>
    <row r="26" spans="1:12">
      <c r="A26" s="433">
        <v>20</v>
      </c>
      <c r="B26" s="410"/>
      <c r="C26" s="411"/>
      <c r="D26" s="412"/>
      <c r="E26" s="436"/>
      <c r="F26" s="412"/>
      <c r="G26" s="410"/>
      <c r="H26" s="410"/>
      <c r="I26" s="410"/>
      <c r="J26" s="437"/>
      <c r="K26" s="410"/>
      <c r="L26" s="440"/>
    </row>
    <row r="27" spans="1:12">
      <c r="A27" s="433">
        <v>21</v>
      </c>
      <c r="B27" s="410" t="s">
        <v>115</v>
      </c>
      <c r="C27" s="411"/>
      <c r="D27" s="412">
        <v>22846329938.051083</v>
      </c>
      <c r="E27" s="436">
        <v>0.80999999999999994</v>
      </c>
      <c r="F27" s="412">
        <v>4079043.6265333332</v>
      </c>
      <c r="G27" s="436">
        <v>0.19000000000000003</v>
      </c>
      <c r="H27" s="436">
        <v>1</v>
      </c>
      <c r="I27" s="437">
        <v>-29972903.298840046</v>
      </c>
      <c r="J27" s="437">
        <v>-29972903.298840053</v>
      </c>
      <c r="K27" s="412">
        <v>21095347897.053108</v>
      </c>
      <c r="L27" s="438">
        <v>-1.4208300069337603E-3</v>
      </c>
    </row>
    <row r="28" spans="1:12">
      <c r="A28" s="433">
        <v>22</v>
      </c>
      <c r="B28" s="410"/>
      <c r="C28" s="411"/>
      <c r="D28" s="412"/>
      <c r="E28" s="410"/>
      <c r="F28" s="412"/>
      <c r="G28" s="410"/>
      <c r="H28" s="410"/>
      <c r="I28" s="410"/>
      <c r="J28" s="437"/>
      <c r="K28" s="410"/>
      <c r="L28" s="444"/>
    </row>
    <row r="29" spans="1:12">
      <c r="A29" s="433">
        <v>23</v>
      </c>
      <c r="B29" s="439" t="s">
        <v>252</v>
      </c>
      <c r="C29" s="411" t="s">
        <v>253</v>
      </c>
      <c r="D29" s="412"/>
      <c r="E29" s="436"/>
      <c r="F29" s="412"/>
      <c r="G29" s="436"/>
      <c r="H29" s="436"/>
      <c r="I29" s="436"/>
      <c r="J29" s="437"/>
      <c r="K29" s="412">
        <v>82463152.165999979</v>
      </c>
      <c r="L29" s="440"/>
    </row>
    <row r="30" spans="1:12">
      <c r="A30" s="433">
        <v>24</v>
      </c>
      <c r="B30" s="439" t="s">
        <v>254</v>
      </c>
      <c r="C30" s="411" t="s">
        <v>253</v>
      </c>
      <c r="D30" s="412"/>
      <c r="E30" s="436"/>
      <c r="F30" s="412"/>
      <c r="G30" s="436"/>
      <c r="H30" s="436"/>
      <c r="I30" s="436"/>
      <c r="J30" s="437"/>
      <c r="K30" s="412">
        <v>2006971729.165</v>
      </c>
      <c r="L30" s="440"/>
    </row>
    <row r="31" spans="1:12">
      <c r="A31" s="433">
        <v>25</v>
      </c>
      <c r="B31" s="439"/>
      <c r="C31" s="442"/>
      <c r="D31" s="412"/>
      <c r="E31" s="436"/>
      <c r="F31" s="412"/>
      <c r="G31" s="436"/>
      <c r="H31" s="436"/>
      <c r="I31" s="436"/>
      <c r="J31" s="437"/>
      <c r="K31" s="412"/>
      <c r="L31" s="440"/>
    </row>
    <row r="32" spans="1:12">
      <c r="A32" s="433">
        <v>26</v>
      </c>
      <c r="B32" s="410" t="s">
        <v>1</v>
      </c>
      <c r="C32" s="411"/>
      <c r="D32" s="412">
        <v>22846329938.051083</v>
      </c>
      <c r="E32" s="436"/>
      <c r="F32" s="412">
        <v>4079043.6265333332</v>
      </c>
      <c r="G32" s="436"/>
      <c r="H32" s="436"/>
      <c r="I32" s="437"/>
      <c r="J32" s="437"/>
      <c r="K32" s="412">
        <v>23184782778.384109</v>
      </c>
      <c r="L32" s="440"/>
    </row>
    <row r="33" spans="1:12">
      <c r="A33" s="409"/>
      <c r="B33" s="410"/>
      <c r="C33" s="411"/>
      <c r="D33" s="412"/>
      <c r="E33" s="410"/>
      <c r="F33" s="412"/>
      <c r="G33" s="410"/>
      <c r="H33" s="410"/>
      <c r="I33" s="410"/>
      <c r="J33" s="410"/>
      <c r="K33" s="410"/>
      <c r="L33" s="413"/>
    </row>
    <row r="34" spans="1:12">
      <c r="A34" s="795" t="s">
        <v>255</v>
      </c>
      <c r="B34" s="796"/>
      <c r="C34" s="796"/>
      <c r="D34" s="796"/>
      <c r="E34" s="796"/>
      <c r="F34" s="796"/>
      <c r="G34" s="796"/>
      <c r="H34" s="796"/>
      <c r="I34" s="796"/>
      <c r="J34" s="796"/>
      <c r="K34" s="796"/>
      <c r="L34" s="797"/>
    </row>
    <row r="35" spans="1:12">
      <c r="A35" s="795" t="s">
        <v>256</v>
      </c>
      <c r="B35" s="796"/>
      <c r="C35" s="796"/>
      <c r="D35" s="796"/>
      <c r="E35" s="796"/>
      <c r="F35" s="796"/>
      <c r="G35" s="796"/>
      <c r="H35" s="796"/>
      <c r="I35" s="796"/>
      <c r="J35" s="796"/>
      <c r="K35" s="796"/>
      <c r="L35" s="797"/>
    </row>
    <row r="36" spans="1:12" ht="15.75" thickBot="1">
      <c r="A36" s="798" t="s">
        <v>257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800"/>
    </row>
  </sheetData>
  <mergeCells count="5">
    <mergeCell ref="A1:L1"/>
    <mergeCell ref="A2:L2"/>
    <mergeCell ref="A34:L34"/>
    <mergeCell ref="A35:L35"/>
    <mergeCell ref="A36:L36"/>
  </mergeCells>
  <pageMargins left="0.7" right="0.7" top="0.75" bottom="0.75" header="0.3" footer="0.3"/>
  <pageSetup scale="73" fitToHeight="0" orientation="landscape" r:id="rId1"/>
  <headerFooter>
    <oddFooter>&amp;L&amp;F
&amp;A&amp;RPage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3:BH26"/>
  <sheetViews>
    <sheetView workbookViewId="0">
      <selection sqref="A1:N52"/>
    </sheetView>
  </sheetViews>
  <sheetFormatPr defaultColWidth="9.140625" defaultRowHeight="15"/>
  <cols>
    <col min="1" max="1" width="24.7109375" style="1" bestFit="1" customWidth="1"/>
    <col min="2" max="2" width="14.5703125" style="1" bestFit="1" customWidth="1"/>
    <col min="3" max="3" width="3.140625" style="1" bestFit="1" customWidth="1"/>
    <col min="4" max="4" width="18.42578125" style="1" bestFit="1" customWidth="1"/>
    <col min="5" max="5" width="17.28515625" style="1" bestFit="1" customWidth="1"/>
    <col min="6" max="6" width="16.140625" style="1" bestFit="1" customWidth="1"/>
    <col min="7" max="7" width="16.28515625" style="1" bestFit="1" customWidth="1"/>
    <col min="8" max="8" width="16.140625" style="1" bestFit="1" customWidth="1"/>
    <col min="9" max="9" width="14.7109375" style="1" bestFit="1" customWidth="1"/>
    <col min="10" max="10" width="12.140625" style="1" bestFit="1" customWidth="1"/>
    <col min="11" max="11" width="13.7109375" style="1" bestFit="1" customWidth="1"/>
    <col min="12" max="15" width="14.7109375" style="1" bestFit="1" customWidth="1"/>
    <col min="16" max="16" width="13.7109375" style="1" bestFit="1" customWidth="1"/>
    <col min="17" max="17" width="12.140625" style="1" bestFit="1" customWidth="1"/>
    <col min="18" max="16384" width="9.140625" style="1"/>
  </cols>
  <sheetData>
    <row r="3" spans="1:17">
      <c r="D3" s="1" t="s">
        <v>0</v>
      </c>
    </row>
    <row r="4" spans="1:17" s="2" customFormat="1" ht="43.9" customHeight="1">
      <c r="B4" s="3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</row>
    <row r="5" spans="1:17" s="2" customFormat="1">
      <c r="A5" s="4" t="s">
        <v>15</v>
      </c>
      <c r="B5" s="3"/>
      <c r="D5" s="5">
        <f>SUM(E5:Q5)</f>
        <v>1</v>
      </c>
      <c r="E5" s="5">
        <f>+'p14 2011 GRC ERF - COS'!E7</f>
        <v>0.53251000000000004</v>
      </c>
      <c r="F5" s="5">
        <f>+'p14 2011 GRC ERF - COS'!F7</f>
        <v>0.120728</v>
      </c>
      <c r="G5" s="5">
        <f>+'p14 2011 GRC ERF - COS'!G7</f>
        <v>0.133879</v>
      </c>
      <c r="H5" s="5">
        <f>+'p14 2011 GRC ERF - COS'!H7</f>
        <v>8.9733999999999994E-2</v>
      </c>
      <c r="I5" s="5">
        <f>+'p14 2011 GRC ERF - COS'!I7</f>
        <v>5.6231000000000003E-2</v>
      </c>
      <c r="J5" s="5">
        <f>+'p14 2011 GRC ERF - COS'!J7</f>
        <v>1.7100000000000001E-4</v>
      </c>
      <c r="K5" s="5">
        <f>+'p14 2011 GRC ERF - COS'!K7</f>
        <v>5.4640000000000001E-3</v>
      </c>
      <c r="L5" s="5">
        <f>+'p14 2011 GRC ERF - COS'!L7</f>
        <v>3.2939999999999997E-2</v>
      </c>
      <c r="M5" s="5">
        <f>+'p14 2011 GRC ERF - COS'!M7</f>
        <v>2.4265999999999999E-2</v>
      </c>
      <c r="N5" s="5">
        <f>+'p14 2011 GRC ERF - COS'!N7</f>
        <v>0</v>
      </c>
      <c r="O5" s="5">
        <f>+'p14 2011 GRC ERF - COS'!O7</f>
        <v>3.7320000000000001E-3</v>
      </c>
      <c r="P5" s="5">
        <f>+'p14 2011 GRC ERF - COS'!P7</f>
        <v>0</v>
      </c>
      <c r="Q5" s="5">
        <f>+'p14 2011 GRC ERF - COS'!Q7</f>
        <v>3.4499999999999998E-4</v>
      </c>
    </row>
    <row r="6" spans="1:17" s="2" customFormat="1">
      <c r="A6" s="4"/>
      <c r="B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 t="s">
        <v>16</v>
      </c>
      <c r="B7" s="6">
        <f>+'2013 PCORC Att A p 2 (ExA1)'!D37</f>
        <v>1330184699.4023263</v>
      </c>
    </row>
    <row r="8" spans="1:17">
      <c r="A8" s="1" t="s">
        <v>17</v>
      </c>
      <c r="B8" s="7">
        <f>-'2013 PCORC Att A p 2 (ExA1)'!D26</f>
        <v>29299861.893767804</v>
      </c>
    </row>
    <row r="9" spans="1:17">
      <c r="A9" s="1" t="s">
        <v>18</v>
      </c>
      <c r="B9" s="7">
        <f>-'2013 PCORC Att A p 2 (ExA1)'!D24</f>
        <v>7455772.9102490079</v>
      </c>
    </row>
    <row r="10" spans="1:17">
      <c r="A10" s="1" t="s">
        <v>19</v>
      </c>
      <c r="B10" s="7">
        <f>-'2013 PCORC Att A p 2 (ExA1)'!D27</f>
        <v>8879149.4147473909</v>
      </c>
    </row>
    <row r="11" spans="1:17">
      <c r="A11" s="1" t="s">
        <v>20</v>
      </c>
      <c r="B11" s="8">
        <f>SUM(B7:B10)</f>
        <v>1375819483.6210907</v>
      </c>
    </row>
    <row r="12" spans="1:17">
      <c r="A12" s="1" t="s">
        <v>21</v>
      </c>
      <c r="B12" s="9">
        <v>0</v>
      </c>
    </row>
    <row r="13" spans="1:17">
      <c r="B13" s="10"/>
    </row>
    <row r="14" spans="1:17" ht="15.75" thickBot="1">
      <c r="A14" s="1" t="s">
        <v>22</v>
      </c>
      <c r="B14" s="11">
        <f>SUM(B11:B12)</f>
        <v>1375819483.6210907</v>
      </c>
      <c r="D14" s="12">
        <f>SUM(E14:Q14)</f>
        <v>1375819483.6210904</v>
      </c>
      <c r="E14" s="12">
        <f t="shared" ref="E14:Q14" si="0">+E5*$B$14</f>
        <v>732637633.22306705</v>
      </c>
      <c r="F14" s="12">
        <f t="shared" si="0"/>
        <v>166099934.61860704</v>
      </c>
      <c r="G14" s="12">
        <f t="shared" si="0"/>
        <v>184193336.647708</v>
      </c>
      <c r="H14" s="12">
        <f t="shared" si="0"/>
        <v>123457785.54325494</v>
      </c>
      <c r="I14" s="12">
        <f t="shared" si="0"/>
        <v>77363705.383497551</v>
      </c>
      <c r="J14" s="12">
        <f t="shared" si="0"/>
        <v>235265.13169920651</v>
      </c>
      <c r="K14" s="12">
        <f t="shared" si="0"/>
        <v>7517477.6585056391</v>
      </c>
      <c r="L14" s="12">
        <f t="shared" si="0"/>
        <v>45319493.790478721</v>
      </c>
      <c r="M14" s="12">
        <f t="shared" si="0"/>
        <v>33385635.589549385</v>
      </c>
      <c r="N14" s="12">
        <f t="shared" si="0"/>
        <v>0</v>
      </c>
      <c r="O14" s="12">
        <f t="shared" si="0"/>
        <v>5134558.3128739102</v>
      </c>
      <c r="P14" s="12">
        <f t="shared" si="0"/>
        <v>0</v>
      </c>
      <c r="Q14" s="12">
        <f t="shared" si="0"/>
        <v>474657.72184927628</v>
      </c>
    </row>
    <row r="15" spans="1:17" ht="15.75" thickTop="1"/>
    <row r="16" spans="1:17">
      <c r="A16" s="13" t="s">
        <v>23</v>
      </c>
      <c r="B16" s="14">
        <f>+'2013 PCORC Rate Spread (JAP-3)'!K32</f>
        <v>22852979717.553444</v>
      </c>
    </row>
    <row r="17" spans="1:60">
      <c r="A17" s="13" t="s">
        <v>24</v>
      </c>
      <c r="B17" s="14">
        <f>-SUM('2013 PCORC Rate Spread (JAP-3)'!K30:K31)</f>
        <v>-1937399286.9988999</v>
      </c>
      <c r="K17" s="14"/>
      <c r="L17" s="14"/>
    </row>
    <row r="18" spans="1:60">
      <c r="A18" s="13" t="s">
        <v>25</v>
      </c>
      <c r="B18" s="14">
        <f>+B16+B17</f>
        <v>20915580430.554543</v>
      </c>
      <c r="D18" s="14">
        <f>SUM(E18:Q18)</f>
        <v>20915580430.554543</v>
      </c>
      <c r="E18" s="14">
        <f>+'2013 PCORC Rate Spread (JAP-3)'!$K$7</f>
        <v>10581276029.227865</v>
      </c>
      <c r="F18" s="14">
        <f>+'2013 PCORC Rate Spread (JAP-3)'!$K$8</f>
        <v>2583982506.9596915</v>
      </c>
      <c r="G18" s="14">
        <f>+'2013 PCORC Rate Spread (JAP-3)'!$K$9+'2013 PCORC Rate Spread (JAP-3)'!$K$11</f>
        <v>2936529476.9180202</v>
      </c>
      <c r="H18" s="14">
        <f>+'2013 PCORC Rate Spread (JAP-3)'!$K$10</f>
        <v>1923430361.0509517</v>
      </c>
      <c r="I18" s="14">
        <f>+'2013 PCORC Rate Spread (JAP-3)'!$K$12</f>
        <v>1287205041.4320903</v>
      </c>
      <c r="J18" s="14">
        <f>+'2013 PCORC Rate Spread (JAP-3)'!$K$13</f>
        <v>4065390.8376120622</v>
      </c>
      <c r="K18" s="14">
        <f>+'2013 PCORC Rate Spread (JAP-3)'!$K$14</f>
        <v>133790963.70031348</v>
      </c>
      <c r="L18" s="14">
        <f>+'2013 PCORC Rate Spread (JAP-3)'!$K$17</f>
        <v>727520561.86699033</v>
      </c>
      <c r="M18" s="14">
        <f>+'2013 PCORC Rate Spread (JAP-3)'!$K$20+'2013 PCORC Rate Spread (JAP-3)'!$K$21</f>
        <v>648037123.48686659</v>
      </c>
      <c r="N18" s="14"/>
      <c r="O18" s="14">
        <f>+'2013 PCORC Rate Spread (JAP-3)'!$K$23</f>
        <v>82198395.194599986</v>
      </c>
      <c r="P18" s="14">
        <v>0</v>
      </c>
      <c r="Q18" s="14">
        <f>+'2013 PCORC Rate Spread (JAP-3)'!$K$25</f>
        <v>7544579.8795419829</v>
      </c>
    </row>
    <row r="19" spans="1:60">
      <c r="A19" s="13" t="s">
        <v>26</v>
      </c>
      <c r="B19" s="14">
        <f>+'2013 PCORC Att A p 2 (ExA1)'!D38*1000</f>
        <v>20915581000</v>
      </c>
    </row>
    <row r="20" spans="1:60">
      <c r="A20" s="1" t="s">
        <v>27</v>
      </c>
      <c r="B20" s="14">
        <f>+B18-B19</f>
        <v>-569.44545745849609</v>
      </c>
      <c r="J20" s="14"/>
      <c r="K20" s="14"/>
      <c r="L20" s="14"/>
    </row>
    <row r="21" spans="1:60">
      <c r="J21" s="14"/>
      <c r="L21" s="14"/>
    </row>
    <row r="22" spans="1:60">
      <c r="A22" s="1" t="s">
        <v>28</v>
      </c>
      <c r="E22" s="355">
        <f t="shared" ref="E22:M22" si="1">ROUND(E14/E18,6)</f>
        <v>6.9238999999999995E-2</v>
      </c>
      <c r="F22" s="355">
        <f t="shared" si="1"/>
        <v>6.4281000000000005E-2</v>
      </c>
      <c r="G22" s="355">
        <f t="shared" si="1"/>
        <v>6.2725000000000003E-2</v>
      </c>
      <c r="H22" s="355">
        <f t="shared" si="1"/>
        <v>6.4186000000000007E-2</v>
      </c>
      <c r="I22" s="355">
        <f t="shared" si="1"/>
        <v>6.0102000000000003E-2</v>
      </c>
      <c r="J22" s="355">
        <f t="shared" si="1"/>
        <v>5.7869999999999998E-2</v>
      </c>
      <c r="K22" s="355">
        <f t="shared" si="1"/>
        <v>5.6188000000000002E-2</v>
      </c>
      <c r="L22" s="355">
        <f t="shared" si="1"/>
        <v>6.2293000000000001E-2</v>
      </c>
      <c r="M22" s="354">
        <f t="shared" si="1"/>
        <v>5.1518000000000001E-2</v>
      </c>
      <c r="N22" s="15"/>
      <c r="O22" s="15">
        <f>ROUND(O14/O18,6)</f>
        <v>6.2465E-2</v>
      </c>
      <c r="P22" s="15"/>
      <c r="Q22" s="15">
        <f>ROUND(Q14/Q18,6)</f>
        <v>6.2913999999999998E-2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>
      <c r="L23" s="14"/>
    </row>
    <row r="25" spans="1:60">
      <c r="L25" s="14"/>
    </row>
    <row r="26" spans="1:60">
      <c r="L26" s="14"/>
    </row>
  </sheetData>
  <pageMargins left="0.7" right="0.7" top="0.75" bottom="0.75" header="0.3" footer="0.3"/>
  <pageSetup scale="48" fitToHeight="0" orientation="landscape" r:id="rId1"/>
  <headerFooter>
    <oddFooter>&amp;L&amp;F
&amp;A&amp;RPage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M68"/>
  <sheetViews>
    <sheetView zoomScale="88" zoomScaleNormal="88" workbookViewId="0">
      <pane xSplit="3" ySplit="9" topLeftCell="D10" activePane="bottomRight" state="frozen"/>
      <selection sqref="A1:N52"/>
      <selection pane="topRight" sqref="A1:N52"/>
      <selection pane="bottomLeft" sqref="A1:N52"/>
      <selection pane="bottomRight" sqref="A1:N52"/>
    </sheetView>
  </sheetViews>
  <sheetFormatPr defaultColWidth="9.140625" defaultRowHeight="12.75"/>
  <cols>
    <col min="1" max="1" width="5.42578125" style="44" customWidth="1"/>
    <col min="2" max="2" width="11.42578125" style="44" customWidth="1"/>
    <col min="3" max="3" width="55" style="44" bestFit="1" customWidth="1"/>
    <col min="4" max="4" width="16.7109375" style="44" bestFit="1" customWidth="1"/>
    <col min="5" max="10" width="17.140625" style="44" customWidth="1"/>
    <col min="11" max="13" width="15" style="44" customWidth="1"/>
    <col min="14" max="14" width="15.85546875" style="44" customWidth="1"/>
    <col min="15" max="15" width="14.140625" style="44" bestFit="1" customWidth="1"/>
    <col min="16" max="16" width="12.42578125" style="44" customWidth="1"/>
    <col min="17" max="17" width="12.140625" style="44" bestFit="1" customWidth="1"/>
    <col min="18" max="18" width="8.5703125" style="16" bestFit="1" customWidth="1"/>
    <col min="19" max="19" width="16.5703125" style="16" bestFit="1" customWidth="1"/>
    <col min="20" max="20" width="13.140625" style="16" bestFit="1" customWidth="1"/>
    <col min="21" max="65" width="9.140625" style="16"/>
    <col min="66" max="16384" width="9.140625" style="44"/>
  </cols>
  <sheetData>
    <row r="1" spans="1:20" s="16" customFormat="1"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0" s="16" customFormat="1" ht="39" thickBot="1">
      <c r="A2" s="19" t="s">
        <v>29</v>
      </c>
      <c r="B2" s="19" t="s">
        <v>30</v>
      </c>
      <c r="C2" s="19" t="s">
        <v>31</v>
      </c>
      <c r="D2" s="19" t="s">
        <v>1</v>
      </c>
      <c r="E2" s="19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0" t="s">
        <v>12</v>
      </c>
      <c r="P2" s="19" t="s">
        <v>13</v>
      </c>
      <c r="Q2" s="19" t="s">
        <v>14</v>
      </c>
      <c r="S2" s="19" t="s">
        <v>32</v>
      </c>
    </row>
    <row r="3" spans="1:20" s="16" customFormat="1">
      <c r="B3" s="21"/>
      <c r="C3" s="21"/>
      <c r="D3" s="22" t="s">
        <v>33</v>
      </c>
      <c r="E3" s="23" t="s">
        <v>34</v>
      </c>
      <c r="F3" s="23" t="s">
        <v>35</v>
      </c>
      <c r="G3" s="23" t="s">
        <v>36</v>
      </c>
      <c r="H3" s="23" t="s">
        <v>37</v>
      </c>
      <c r="I3" s="23" t="s">
        <v>38</v>
      </c>
      <c r="J3" s="23" t="s">
        <v>39</v>
      </c>
      <c r="K3" s="23" t="s">
        <v>40</v>
      </c>
      <c r="L3" s="23" t="s">
        <v>41</v>
      </c>
      <c r="M3" s="23" t="s">
        <v>42</v>
      </c>
      <c r="N3" s="23" t="s">
        <v>43</v>
      </c>
      <c r="O3" s="23" t="s">
        <v>44</v>
      </c>
      <c r="P3" s="23" t="s">
        <v>45</v>
      </c>
      <c r="Q3" s="23" t="s">
        <v>46</v>
      </c>
    </row>
    <row r="4" spans="1:20" s="16" customFormat="1">
      <c r="A4" s="23">
        <v>1</v>
      </c>
      <c r="B4" s="21" t="s">
        <v>47</v>
      </c>
      <c r="C4" s="21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0" s="16" customFormat="1">
      <c r="A5" s="23">
        <v>2</v>
      </c>
      <c r="B5" s="21" t="s">
        <v>47</v>
      </c>
      <c r="C5" s="24" t="s">
        <v>49</v>
      </c>
      <c r="D5" s="25">
        <v>22846329938</v>
      </c>
      <c r="E5" s="26">
        <v>11660620432</v>
      </c>
      <c r="F5" s="26">
        <v>2822861364</v>
      </c>
      <c r="G5" s="26">
        <v>3184833212</v>
      </c>
      <c r="H5" s="26">
        <v>2157691595</v>
      </c>
      <c r="I5" s="26">
        <v>1367953304</v>
      </c>
      <c r="J5" s="26">
        <v>4806559</v>
      </c>
      <c r="K5" s="26">
        <v>154110146</v>
      </c>
      <c r="L5" s="26">
        <v>801873373</v>
      </c>
      <c r="M5" s="26">
        <v>593080320</v>
      </c>
      <c r="N5" s="26">
        <v>0</v>
      </c>
      <c r="O5" s="26">
        <v>90893526</v>
      </c>
      <c r="P5" s="26">
        <v>0</v>
      </c>
      <c r="Q5" s="26">
        <v>7606107</v>
      </c>
    </row>
    <row r="6" spans="1:20" s="16" customFormat="1">
      <c r="A6" s="23">
        <v>3</v>
      </c>
      <c r="B6" s="21" t="s">
        <v>47</v>
      </c>
      <c r="C6" s="27" t="s">
        <v>50</v>
      </c>
      <c r="D6" s="25">
        <v>4079044</v>
      </c>
      <c r="E6" s="26">
        <v>2556735</v>
      </c>
      <c r="F6" s="26">
        <v>443234</v>
      </c>
      <c r="G6" s="26">
        <v>450049.75</v>
      </c>
      <c r="H6" s="26">
        <v>284127.75</v>
      </c>
      <c r="I6" s="26">
        <v>165975.58333333334</v>
      </c>
      <c r="J6" s="26">
        <v>4</v>
      </c>
      <c r="K6" s="26">
        <v>0</v>
      </c>
      <c r="L6" s="26">
        <v>96819.916666666672</v>
      </c>
      <c r="M6" s="26">
        <v>69540</v>
      </c>
      <c r="N6" s="26">
        <v>0</v>
      </c>
      <c r="O6" s="26">
        <v>10941</v>
      </c>
      <c r="P6" s="26">
        <v>0</v>
      </c>
      <c r="Q6" s="26">
        <v>1617</v>
      </c>
    </row>
    <row r="7" spans="1:20" s="16" customFormat="1">
      <c r="A7" s="23">
        <v>4</v>
      </c>
      <c r="B7" s="21" t="s">
        <v>47</v>
      </c>
      <c r="C7" s="28" t="s">
        <v>51</v>
      </c>
      <c r="D7" s="29">
        <v>1</v>
      </c>
      <c r="E7" s="30">
        <v>0.53251000000000004</v>
      </c>
      <c r="F7" s="30">
        <v>0.120728</v>
      </c>
      <c r="G7" s="30">
        <v>0.133879</v>
      </c>
      <c r="H7" s="30">
        <v>8.9733999999999994E-2</v>
      </c>
      <c r="I7" s="30">
        <v>5.6231000000000003E-2</v>
      </c>
      <c r="J7" s="30">
        <v>1.7100000000000001E-4</v>
      </c>
      <c r="K7" s="30">
        <v>5.4640000000000001E-3</v>
      </c>
      <c r="L7" s="30">
        <v>3.2939999999999997E-2</v>
      </c>
      <c r="M7" s="30">
        <v>2.4265999999999999E-2</v>
      </c>
      <c r="N7" s="30">
        <v>0</v>
      </c>
      <c r="O7" s="30">
        <v>3.7320000000000001E-3</v>
      </c>
      <c r="P7" s="30">
        <v>0</v>
      </c>
      <c r="Q7" s="30">
        <v>3.4499999999999998E-4</v>
      </c>
    </row>
    <row r="8" spans="1:20" s="16" customFormat="1">
      <c r="A8" s="23">
        <v>5</v>
      </c>
      <c r="B8" s="21"/>
      <c r="C8" s="31"/>
      <c r="D8" s="2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20" s="16" customFormat="1">
      <c r="A9" s="23">
        <v>6</v>
      </c>
      <c r="B9" s="21"/>
      <c r="C9" s="32" t="s">
        <v>52</v>
      </c>
      <c r="D9" s="33">
        <v>1400922486.797811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0" s="16" customFormat="1">
      <c r="A10" s="34">
        <v>7</v>
      </c>
      <c r="B10" s="35" t="s">
        <v>53</v>
      </c>
      <c r="C10" s="36" t="s">
        <v>54</v>
      </c>
      <c r="D10" s="37">
        <v>1400922487</v>
      </c>
      <c r="E10" s="37">
        <v>746005234</v>
      </c>
      <c r="F10" s="37">
        <v>169130570</v>
      </c>
      <c r="G10" s="37">
        <v>187554102</v>
      </c>
      <c r="H10" s="37">
        <v>125710378</v>
      </c>
      <c r="I10" s="37">
        <v>78775272</v>
      </c>
      <c r="J10" s="37">
        <v>239558</v>
      </c>
      <c r="K10" s="37">
        <v>7654640</v>
      </c>
      <c r="L10" s="37">
        <v>46146387</v>
      </c>
      <c r="M10" s="37">
        <v>33994785</v>
      </c>
      <c r="N10" s="37">
        <v>0</v>
      </c>
      <c r="O10" s="37">
        <v>5228243</v>
      </c>
      <c r="P10" s="37">
        <v>0</v>
      </c>
      <c r="Q10" s="37">
        <v>483318</v>
      </c>
      <c r="S10" s="38">
        <f>SUM(E10:M10,E13:M13,O10,O13)</f>
        <v>1419866960</v>
      </c>
    </row>
    <row r="11" spans="1:20" s="16" customFormat="1">
      <c r="A11" s="23">
        <v>8</v>
      </c>
      <c r="B11" s="21"/>
      <c r="C11" s="21"/>
      <c r="D11" s="39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T11" s="38"/>
    </row>
    <row r="12" spans="1:20" s="16" customFormat="1">
      <c r="A12" s="23">
        <v>9</v>
      </c>
      <c r="B12" s="21"/>
      <c r="C12" s="32" t="s">
        <v>55</v>
      </c>
      <c r="D12" s="33">
        <v>19639916.54934952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20" s="16" customFormat="1">
      <c r="A13" s="23">
        <v>10</v>
      </c>
      <c r="B13" s="31" t="s">
        <v>56</v>
      </c>
      <c r="C13" s="27" t="s">
        <v>57</v>
      </c>
      <c r="D13" s="40">
        <v>19639915</v>
      </c>
      <c r="E13" s="40">
        <v>11351963</v>
      </c>
      <c r="F13" s="40">
        <v>2366017</v>
      </c>
      <c r="G13" s="40">
        <v>2276037</v>
      </c>
      <c r="H13" s="40">
        <v>1352528</v>
      </c>
      <c r="I13" s="40">
        <v>912397</v>
      </c>
      <c r="J13" s="40">
        <v>5201</v>
      </c>
      <c r="K13" s="40">
        <v>140235</v>
      </c>
      <c r="L13" s="40">
        <v>480916</v>
      </c>
      <c r="M13" s="40">
        <v>313111</v>
      </c>
      <c r="N13" s="40">
        <v>186246</v>
      </c>
      <c r="O13" s="40">
        <v>229386</v>
      </c>
      <c r="P13" s="40">
        <v>19969</v>
      </c>
      <c r="Q13" s="40">
        <v>5909</v>
      </c>
    </row>
    <row r="14" spans="1:20" s="16" customFormat="1">
      <c r="A14" s="23">
        <v>11</v>
      </c>
      <c r="B14" s="21"/>
      <c r="C14" s="21"/>
      <c r="D14" s="39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20" s="16" customFormat="1">
      <c r="A15" s="23">
        <v>12</v>
      </c>
      <c r="B15" s="21" t="s">
        <v>47</v>
      </c>
      <c r="C15" s="41" t="s">
        <v>58</v>
      </c>
      <c r="D15" s="40">
        <v>39020207.730000012</v>
      </c>
      <c r="E15" s="40">
        <v>21832182.67369435</v>
      </c>
      <c r="F15" s="40">
        <v>4141810.6354227727</v>
      </c>
      <c r="G15" s="40">
        <v>2837687.0791321248</v>
      </c>
      <c r="H15" s="40">
        <v>1628690.2163056252</v>
      </c>
      <c r="I15" s="40">
        <v>1739572.8751051628</v>
      </c>
      <c r="J15" s="40"/>
      <c r="K15" s="40"/>
      <c r="L15" s="40">
        <v>585443.81793880777</v>
      </c>
      <c r="M15" s="40">
        <v>2914273.6048482652</v>
      </c>
      <c r="N15" s="40">
        <v>3095112.7954956852</v>
      </c>
      <c r="O15" s="40">
        <v>163512.80902025825</v>
      </c>
      <c r="P15" s="40">
        <v>81921.223036958589</v>
      </c>
      <c r="Q15" s="40"/>
    </row>
    <row r="16" spans="1:20" s="16" customFormat="1">
      <c r="A16" s="23">
        <v>13</v>
      </c>
      <c r="B16" s="21" t="s">
        <v>47</v>
      </c>
      <c r="C16" s="28" t="s">
        <v>59</v>
      </c>
      <c r="D16" s="29">
        <v>1</v>
      </c>
      <c r="E16" s="30">
        <v>0.55950964753345112</v>
      </c>
      <c r="F16" s="30">
        <v>0.10614527385610029</v>
      </c>
      <c r="G16" s="30">
        <v>7.2723525686164359E-2</v>
      </c>
      <c r="H16" s="30">
        <v>4.1739660321014511E-2</v>
      </c>
      <c r="I16" s="30">
        <v>4.4581333014476046E-2</v>
      </c>
      <c r="J16" s="30">
        <v>0</v>
      </c>
      <c r="K16" s="30">
        <v>0</v>
      </c>
      <c r="L16" s="30">
        <v>1.5003605874929759E-2</v>
      </c>
      <c r="M16" s="30">
        <v>7.4686265768074744E-2</v>
      </c>
      <c r="N16" s="30">
        <v>7.9320766739948978E-2</v>
      </c>
      <c r="O16" s="30">
        <v>4.1904648522551116E-3</v>
      </c>
      <c r="P16" s="30">
        <v>2.0994563535850904E-3</v>
      </c>
      <c r="Q16" s="30">
        <v>0</v>
      </c>
    </row>
    <row r="17" spans="1:65">
      <c r="A17" s="23">
        <v>14</v>
      </c>
      <c r="B17" s="42"/>
      <c r="C17" s="32" t="s">
        <v>60</v>
      </c>
      <c r="D17" s="33">
        <v>33524569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43"/>
    </row>
    <row r="18" spans="1:65">
      <c r="A18" s="23">
        <v>15</v>
      </c>
      <c r="B18" s="31" t="s">
        <v>61</v>
      </c>
      <c r="C18" s="27" t="s">
        <v>62</v>
      </c>
      <c r="D18" s="40">
        <v>33524569</v>
      </c>
      <c r="E18" s="40">
        <v>18757319.784900863</v>
      </c>
      <c r="F18" s="40">
        <v>3558474.5574127301</v>
      </c>
      <c r="G18" s="40">
        <v>2438024.8547890894</v>
      </c>
      <c r="H18" s="40">
        <v>1399304.1224684131</v>
      </c>
      <c r="I18" s="40">
        <v>1494569.9747557803</v>
      </c>
      <c r="J18" s="40">
        <v>0</v>
      </c>
      <c r="K18" s="40">
        <v>0</v>
      </c>
      <c r="L18" s="40">
        <v>502989.42040288803</v>
      </c>
      <c r="M18" s="40">
        <v>2503824.8700941596</v>
      </c>
      <c r="N18" s="40">
        <v>2659194.5177063243</v>
      </c>
      <c r="O18" s="40">
        <v>140483.52808150128</v>
      </c>
      <c r="P18" s="40">
        <v>70383.369388251755</v>
      </c>
      <c r="Q18" s="40">
        <v>0</v>
      </c>
    </row>
    <row r="19" spans="1:65">
      <c r="A19" s="23">
        <v>16</v>
      </c>
      <c r="B19" s="31"/>
      <c r="C19" s="2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65">
      <c r="A20" s="23">
        <v>17</v>
      </c>
      <c r="B20" s="21" t="s">
        <v>47</v>
      </c>
      <c r="C20" s="41" t="s">
        <v>63</v>
      </c>
      <c r="D20" s="40">
        <v>37267394.000000015</v>
      </c>
      <c r="E20" s="40">
        <v>21540727.014955081</v>
      </c>
      <c r="F20" s="40">
        <v>4489596.0982902199</v>
      </c>
      <c r="G20" s="40">
        <v>4318855.2824147427</v>
      </c>
      <c r="H20" s="40">
        <v>2566467.1265916256</v>
      </c>
      <c r="I20" s="40">
        <v>1731304.0983609683</v>
      </c>
      <c r="J20" s="40">
        <v>9869.9003343857821</v>
      </c>
      <c r="K20" s="40">
        <v>266100.52931457612</v>
      </c>
      <c r="L20" s="40">
        <v>912554.26090098161</v>
      </c>
      <c r="M20" s="40">
        <v>594139.28782999411</v>
      </c>
      <c r="N20" s="40">
        <v>353407.14242645801</v>
      </c>
      <c r="O20" s="40">
        <v>435267.6081278596</v>
      </c>
      <c r="P20" s="40">
        <v>37892.783850695901</v>
      </c>
      <c r="Q20" s="40">
        <v>11212.866602419434</v>
      </c>
    </row>
    <row r="21" spans="1:65" s="43" customFormat="1">
      <c r="A21" s="23">
        <v>18</v>
      </c>
      <c r="B21" s="21" t="s">
        <v>47</v>
      </c>
      <c r="C21" s="28" t="s">
        <v>64</v>
      </c>
      <c r="D21" s="29">
        <v>0.99999999999999978</v>
      </c>
      <c r="E21" s="45">
        <v>0.57800464972021048</v>
      </c>
      <c r="F21" s="45">
        <v>0.12046981600833742</v>
      </c>
      <c r="G21" s="45">
        <v>0.11588830929296373</v>
      </c>
      <c r="H21" s="45">
        <v>6.88662890298051E-2</v>
      </c>
      <c r="I21" s="45">
        <v>4.6456269476770166E-2</v>
      </c>
      <c r="J21" s="45">
        <v>2.6484009948175548E-4</v>
      </c>
      <c r="K21" s="45">
        <v>7.140304184257585E-3</v>
      </c>
      <c r="L21" s="45">
        <v>2.4486666840750421E-2</v>
      </c>
      <c r="M21" s="45">
        <v>1.5942603548560273E-2</v>
      </c>
      <c r="N21" s="45">
        <v>9.4830119440725558E-3</v>
      </c>
      <c r="O21" s="45">
        <v>1.1679582643419055E-2</v>
      </c>
      <c r="P21" s="45">
        <v>1.0167811532702255E-3</v>
      </c>
      <c r="Q21" s="45">
        <v>3.0087605810106898E-4</v>
      </c>
      <c r="R21" s="16"/>
      <c r="S21" s="16"/>
    </row>
    <row r="22" spans="1:65">
      <c r="A22" s="23">
        <v>19</v>
      </c>
      <c r="B22" s="42"/>
      <c r="C22" s="32" t="s">
        <v>65</v>
      </c>
      <c r="D22" s="33">
        <v>21490002.185954798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3"/>
    </row>
    <row r="23" spans="1:65">
      <c r="A23" s="23">
        <v>20</v>
      </c>
      <c r="B23" s="31" t="s">
        <v>66</v>
      </c>
      <c r="C23" s="27" t="s">
        <v>67</v>
      </c>
      <c r="D23" s="40">
        <v>21490002.185954794</v>
      </c>
      <c r="E23" s="40">
        <v>12421321.185979361</v>
      </c>
      <c r="F23" s="40">
        <v>2588896.6093607433</v>
      </c>
      <c r="G23" s="40">
        <v>2490440.0200323965</v>
      </c>
      <c r="H23" s="40">
        <v>1479936.7017891065</v>
      </c>
      <c r="I23" s="40">
        <v>998345.33260709606</v>
      </c>
      <c r="J23" s="40">
        <v>5691.4143167914117</v>
      </c>
      <c r="K23" s="40">
        <v>153445.15252807768</v>
      </c>
      <c r="L23" s="40">
        <v>526218.5239344734</v>
      </c>
      <c r="M23" s="40">
        <v>342606.58510837099</v>
      </c>
      <c r="N23" s="40">
        <v>203789.94740755469</v>
      </c>
      <c r="O23" s="40">
        <v>250994.25653811521</v>
      </c>
      <c r="P23" s="40">
        <v>21850.629206414786</v>
      </c>
      <c r="Q23" s="40">
        <v>6465.8271462934354</v>
      </c>
    </row>
    <row r="24" spans="1:65">
      <c r="A24" s="23">
        <v>21</v>
      </c>
      <c r="B24" s="31"/>
      <c r="C24" s="27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65">
      <c r="A25" s="23">
        <v>22</v>
      </c>
      <c r="B25" s="46" t="s">
        <v>68</v>
      </c>
      <c r="C25" s="46" t="s">
        <v>69</v>
      </c>
      <c r="D25" s="38">
        <v>1475576973.185955</v>
      </c>
      <c r="E25" s="38">
        <v>788535837.97088027</v>
      </c>
      <c r="F25" s="38">
        <v>177643958.1667735</v>
      </c>
      <c r="G25" s="38">
        <v>194758603.87482148</v>
      </c>
      <c r="H25" s="38">
        <v>129942146.82425752</v>
      </c>
      <c r="I25" s="38">
        <v>82180584.307362869</v>
      </c>
      <c r="J25" s="38">
        <v>250450.4143167914</v>
      </c>
      <c r="K25" s="38">
        <v>7948320.1525280774</v>
      </c>
      <c r="L25" s="38">
        <v>47656510.944337361</v>
      </c>
      <c r="M25" s="38">
        <v>37154327.455202527</v>
      </c>
      <c r="N25" s="38">
        <v>3049230.4651138792</v>
      </c>
      <c r="O25" s="38">
        <v>5849106.7846196163</v>
      </c>
      <c r="P25" s="38">
        <v>112202.99859466654</v>
      </c>
      <c r="Q25" s="38">
        <v>495692.82714629342</v>
      </c>
    </row>
    <row r="26" spans="1:65">
      <c r="A26" s="23">
        <v>23</v>
      </c>
      <c r="B26" s="16" t="s">
        <v>47</v>
      </c>
      <c r="C26" s="46" t="s">
        <v>70</v>
      </c>
      <c r="D26" s="38">
        <v>2120834583.7299995</v>
      </c>
      <c r="E26" s="47">
        <v>1159786746.2145329</v>
      </c>
      <c r="F26" s="47">
        <v>262257113.37250113</v>
      </c>
      <c r="G26" s="47">
        <v>273864111.78823972</v>
      </c>
      <c r="H26" s="47">
        <v>173066357.992497</v>
      </c>
      <c r="I26" s="47">
        <v>110854909.04903743</v>
      </c>
      <c r="J26" s="47">
        <v>280467.83859592525</v>
      </c>
      <c r="K26" s="47">
        <v>13469556.258055188</v>
      </c>
      <c r="L26" s="47">
        <v>55800063.092996448</v>
      </c>
      <c r="M26" s="47">
        <v>41445548.515931904</v>
      </c>
      <c r="N26" s="47">
        <v>10362332.791139359</v>
      </c>
      <c r="O26" s="47">
        <v>17810314.586679239</v>
      </c>
      <c r="P26" s="47">
        <v>1274470.7193195641</v>
      </c>
      <c r="Q26" s="47">
        <v>562591.51047403575</v>
      </c>
      <c r="R26" s="47"/>
    </row>
    <row r="27" spans="1:65">
      <c r="A27" s="23">
        <v>24</v>
      </c>
      <c r="B27" s="46" t="s">
        <v>71</v>
      </c>
      <c r="C27" s="46" t="s">
        <v>72</v>
      </c>
      <c r="D27" s="38">
        <v>645257610.54404509</v>
      </c>
      <c r="E27" s="38">
        <v>371250908.24365258</v>
      </c>
      <c r="F27" s="38">
        <v>84613155.205727637</v>
      </c>
      <c r="G27" s="38">
        <v>79105507.913418233</v>
      </c>
      <c r="H27" s="38">
        <v>43124211.168239474</v>
      </c>
      <c r="I27" s="38">
        <v>28674324.741674557</v>
      </c>
      <c r="J27" s="38">
        <v>30017.424279133847</v>
      </c>
      <c r="K27" s="38">
        <v>5521236.1055271104</v>
      </c>
      <c r="L27" s="38">
        <v>8143552.1486590877</v>
      </c>
      <c r="M27" s="38">
        <v>4291221.060729377</v>
      </c>
      <c r="N27" s="38">
        <v>7313102.3260254795</v>
      </c>
      <c r="O27" s="38">
        <v>11961207.802059622</v>
      </c>
      <c r="P27" s="38">
        <v>1162267.7207248975</v>
      </c>
      <c r="Q27" s="38">
        <v>66898.683327742328</v>
      </c>
    </row>
    <row r="28" spans="1:65" s="50" customFormat="1">
      <c r="A28" s="23">
        <v>25</v>
      </c>
      <c r="B28" s="16"/>
      <c r="C28" s="16" t="s">
        <v>73</v>
      </c>
      <c r="D28" s="48">
        <v>0.99999999999999989</v>
      </c>
      <c r="E28" s="49">
        <v>0.57535300967722736</v>
      </c>
      <c r="F28" s="49">
        <v>0.13113081321797437</v>
      </c>
      <c r="G28" s="49">
        <v>0.12259523424562307</v>
      </c>
      <c r="H28" s="49">
        <v>6.6832549455526066E-2</v>
      </c>
      <c r="I28" s="49">
        <v>4.4438568833768538E-2</v>
      </c>
      <c r="J28" s="49">
        <v>4.6520062357458805E-5</v>
      </c>
      <c r="K28" s="49">
        <v>8.5566384887299715E-3</v>
      </c>
      <c r="L28" s="49">
        <v>1.262062161776426E-2</v>
      </c>
      <c r="M28" s="49">
        <v>6.6503997637645217E-3</v>
      </c>
      <c r="N28" s="49">
        <v>1.1333616537834372E-2</v>
      </c>
      <c r="O28" s="49">
        <v>1.8537104571265114E-2</v>
      </c>
      <c r="P28" s="49">
        <v>1.8012460476753438E-3</v>
      </c>
      <c r="Q28" s="49">
        <v>1.0367748048928412E-4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>
      <c r="A29" s="23">
        <v>26</v>
      </c>
      <c r="B29" s="16"/>
      <c r="C29" s="51" t="s">
        <v>74</v>
      </c>
      <c r="D29" s="33">
        <v>643516322.81104922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65">
      <c r="A30" s="23">
        <v>27</v>
      </c>
      <c r="B30" s="46" t="s">
        <v>75</v>
      </c>
      <c r="C30" s="52" t="s">
        <v>76</v>
      </c>
      <c r="D30" s="38">
        <v>643516322.8110491</v>
      </c>
      <c r="E30" s="38">
        <v>370249053.10575938</v>
      </c>
      <c r="F30" s="38">
        <v>84384818.729253396</v>
      </c>
      <c r="G30" s="38">
        <v>78892034.335902572</v>
      </c>
      <c r="H30" s="38">
        <v>43007836.469707727</v>
      </c>
      <c r="I30" s="38">
        <v>28596944.406892426</v>
      </c>
      <c r="J30" s="38">
        <v>29936.419465212599</v>
      </c>
      <c r="K30" s="38">
        <v>5506336.5358910048</v>
      </c>
      <c r="L30" s="38">
        <v>8121576.0150532918</v>
      </c>
      <c r="M30" s="38">
        <v>4279640.801201215</v>
      </c>
      <c r="N30" s="38">
        <v>7293367.2385776695</v>
      </c>
      <c r="O30" s="38">
        <v>11928929.369264416</v>
      </c>
      <c r="P30" s="38">
        <v>1159131.2330779731</v>
      </c>
      <c r="Q30" s="38">
        <v>66718.151002778424</v>
      </c>
    </row>
    <row r="31" spans="1:65">
      <c r="A31" s="23">
        <v>28</v>
      </c>
      <c r="B31" s="16"/>
      <c r="C31" s="52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65">
      <c r="A32" s="23">
        <v>29</v>
      </c>
      <c r="B32" s="46" t="s">
        <v>77</v>
      </c>
      <c r="C32" s="53" t="s">
        <v>78</v>
      </c>
      <c r="D32" s="38">
        <v>1741287.7329958689</v>
      </c>
      <c r="E32" s="38">
        <v>1001855.1378931999</v>
      </c>
      <c r="F32" s="38">
        <v>228336.47647424042</v>
      </c>
      <c r="G32" s="38">
        <v>213473.57751566172</v>
      </c>
      <c r="H32" s="38">
        <v>116374.69853174686</v>
      </c>
      <c r="I32" s="38">
        <v>77380.334782131016</v>
      </c>
      <c r="J32" s="38">
        <v>81.004813921248569</v>
      </c>
      <c r="K32" s="38">
        <v>14899.56963610556</v>
      </c>
      <c r="L32" s="38">
        <v>21976.133605795912</v>
      </c>
      <c r="M32" s="38">
        <v>11580.259528161958</v>
      </c>
      <c r="N32" s="38">
        <v>19735.087447809987</v>
      </c>
      <c r="O32" s="38">
        <v>32278.432795206085</v>
      </c>
      <c r="P32" s="38">
        <v>3136.4876469243318</v>
      </c>
      <c r="Q32" s="38">
        <v>180.5323249639041</v>
      </c>
    </row>
    <row r="33" spans="1:17" s="16" customFormat="1">
      <c r="A33" s="23">
        <v>30</v>
      </c>
      <c r="D33" s="18"/>
      <c r="L33" s="18"/>
    </row>
    <row r="34" spans="1:17" s="16" customFormat="1">
      <c r="A34" s="34">
        <v>31</v>
      </c>
      <c r="B34" s="54" t="s">
        <v>47</v>
      </c>
      <c r="C34" s="35" t="s">
        <v>79</v>
      </c>
      <c r="D34" s="55">
        <v>23098213508.62122</v>
      </c>
      <c r="E34" s="56">
        <v>10732747750.487839</v>
      </c>
      <c r="F34" s="56">
        <v>2594865425.6283207</v>
      </c>
      <c r="G34" s="56">
        <v>2932110480.8031054</v>
      </c>
      <c r="H34" s="56">
        <v>1986740729.334866</v>
      </c>
      <c r="I34" s="56">
        <v>1307178282.9575965</v>
      </c>
      <c r="J34" s="56">
        <v>4638422</v>
      </c>
      <c r="K34" s="56">
        <v>148958013.30767041</v>
      </c>
      <c r="L34" s="56">
        <v>770709198.26613879</v>
      </c>
      <c r="M34" s="56">
        <v>576524278.58399999</v>
      </c>
      <c r="N34" s="56">
        <v>1954913503.9983001</v>
      </c>
      <c r="O34" s="56">
        <v>81494849.34449999</v>
      </c>
      <c r="P34" s="56">
        <v>0</v>
      </c>
      <c r="Q34" s="56">
        <v>7332573.9088840308</v>
      </c>
    </row>
    <row r="35" spans="1:17" s="16" customFormat="1">
      <c r="A35" s="34">
        <v>32</v>
      </c>
      <c r="B35" s="35" t="s">
        <v>80</v>
      </c>
      <c r="C35" s="36" t="s">
        <v>81</v>
      </c>
      <c r="D35" s="57">
        <f>ROUND(D10/D$34*100,6)</f>
        <v>6.0650690000000003</v>
      </c>
      <c r="E35" s="57">
        <f t="shared" ref="E35:Q35" si="0">ROUND(E10/E$34*100,6)</f>
        <v>6.9507389999999996</v>
      </c>
      <c r="F35" s="57">
        <f t="shared" si="0"/>
        <v>6.5178940000000001</v>
      </c>
      <c r="G35" s="57">
        <f t="shared" si="0"/>
        <v>6.3965560000000004</v>
      </c>
      <c r="H35" s="57">
        <f t="shared" si="0"/>
        <v>6.3274679999999996</v>
      </c>
      <c r="I35" s="57">
        <f t="shared" si="0"/>
        <v>6.0263600000000004</v>
      </c>
      <c r="J35" s="57">
        <f t="shared" si="0"/>
        <v>5.164644</v>
      </c>
      <c r="K35" s="57">
        <f t="shared" si="0"/>
        <v>5.1387900000000002</v>
      </c>
      <c r="L35" s="57">
        <f t="shared" si="0"/>
        <v>5.9875230000000004</v>
      </c>
      <c r="M35" s="57">
        <f t="shared" si="0"/>
        <v>5.8965050000000003</v>
      </c>
      <c r="N35" s="57">
        <f t="shared" si="0"/>
        <v>0</v>
      </c>
      <c r="O35" s="57">
        <f t="shared" si="0"/>
        <v>6.4154280000000004</v>
      </c>
      <c r="P35" s="57">
        <v>0</v>
      </c>
      <c r="Q35" s="57">
        <f t="shared" si="0"/>
        <v>6.5913830000000004</v>
      </c>
    </row>
    <row r="36" spans="1:17" s="16" customFormat="1">
      <c r="A36" s="23">
        <v>33</v>
      </c>
      <c r="B36" s="31" t="s">
        <v>82</v>
      </c>
      <c r="C36" s="27" t="s">
        <v>83</v>
      </c>
      <c r="D36" s="58">
        <v>8.4941400306465326E-2</v>
      </c>
      <c r="E36" s="58">
        <v>0.1057694009391399</v>
      </c>
      <c r="F36" s="58">
        <v>9.118072084324344E-2</v>
      </c>
      <c r="G36" s="58">
        <v>7.7624530688782001E-2</v>
      </c>
      <c r="H36" s="58">
        <v>6.8077730527667191E-2</v>
      </c>
      <c r="I36" s="58">
        <v>6.9798971716056049E-2</v>
      </c>
      <c r="J36" s="58">
        <v>0.1121286506488629</v>
      </c>
      <c r="K36" s="58">
        <v>9.4143978484961949E-2</v>
      </c>
      <c r="L36" s="58">
        <v>6.2399151467494446E-2</v>
      </c>
      <c r="M36" s="58">
        <v>5.4310115225161243E-2</v>
      </c>
      <c r="N36" s="58">
        <v>9.527071127140874E-3</v>
      </c>
      <c r="O36" s="58">
        <v>0.2814730033186828</v>
      </c>
      <c r="P36" s="58">
        <v>0</v>
      </c>
      <c r="Q36" s="58">
        <v>8.0585618002987316E-2</v>
      </c>
    </row>
    <row r="37" spans="1:17" s="16" customFormat="1">
      <c r="A37" s="23">
        <v>34</v>
      </c>
      <c r="B37" s="31" t="s">
        <v>84</v>
      </c>
      <c r="C37" s="27" t="s">
        <v>85</v>
      </c>
      <c r="D37" s="58">
        <v>9.2942908977508454E-2</v>
      </c>
      <c r="E37" s="58">
        <v>0.1157329089879595</v>
      </c>
      <c r="F37" s="58">
        <v>9.976997588358047E-2</v>
      </c>
      <c r="G37" s="58">
        <v>8.4936772892345608E-2</v>
      </c>
      <c r="H37" s="58">
        <v>7.4490681141095305E-2</v>
      </c>
      <c r="I37" s="58">
        <v>7.6374075795404048E-2</v>
      </c>
      <c r="J37" s="58">
        <v>0.12270152040481466</v>
      </c>
      <c r="K37" s="58">
        <v>0.10301235168271154</v>
      </c>
      <c r="L37" s="58">
        <v>6.8277182252178256E-2</v>
      </c>
      <c r="M37" s="58">
        <v>5.9426219820238324E-2</v>
      </c>
      <c r="N37" s="58">
        <v>1.0424499446689172E-2</v>
      </c>
      <c r="O37" s="58">
        <v>0.30798787721797855</v>
      </c>
      <c r="P37" s="58">
        <v>0</v>
      </c>
      <c r="Q37" s="58">
        <v>8.8179501858952167E-2</v>
      </c>
    </row>
    <row r="38" spans="1:17" s="16" customFormat="1">
      <c r="A38" s="23">
        <v>35</v>
      </c>
      <c r="B38" s="31" t="s">
        <v>86</v>
      </c>
      <c r="C38" s="27" t="s">
        <v>87</v>
      </c>
      <c r="D38" s="58">
        <v>0.14483451552703525</v>
      </c>
      <c r="E38" s="58">
        <v>0.1747671725914576</v>
      </c>
      <c r="F38" s="58">
        <v>0.13713522567556971</v>
      </c>
      <c r="G38" s="58">
        <v>8.3149147030821102E-2</v>
      </c>
      <c r="H38" s="58">
        <v>7.0432145564201576E-2</v>
      </c>
      <c r="I38" s="58">
        <v>0.11433558790268415</v>
      </c>
      <c r="J38" s="58">
        <v>0</v>
      </c>
      <c r="K38" s="58">
        <v>0</v>
      </c>
      <c r="L38" s="58">
        <v>6.5263191555837305E-2</v>
      </c>
      <c r="M38" s="58">
        <v>0.43429651848206602</v>
      </c>
      <c r="N38" s="58">
        <v>0.13602619820608886</v>
      </c>
      <c r="O38" s="58">
        <v>0.17238332141414331</v>
      </c>
      <c r="P38" s="58">
        <v>0</v>
      </c>
      <c r="Q38" s="58">
        <v>0</v>
      </c>
    </row>
    <row r="39" spans="1:17" s="16" customFormat="1">
      <c r="A39" s="23">
        <v>36</v>
      </c>
      <c r="B39" s="31" t="s">
        <v>88</v>
      </c>
      <c r="C39" s="27" t="s">
        <v>89</v>
      </c>
      <c r="D39" s="58">
        <v>2.7809821367276593</v>
      </c>
      <c r="E39" s="58">
        <v>3.4497135469239959</v>
      </c>
      <c r="F39" s="58">
        <v>3.251992103167372</v>
      </c>
      <c r="G39" s="58">
        <v>2.6906228415477047</v>
      </c>
      <c r="H39" s="58">
        <v>2.1647432820338954</v>
      </c>
      <c r="I39" s="58">
        <v>2.1876850908347043</v>
      </c>
      <c r="J39" s="58">
        <v>0.64540094595128683</v>
      </c>
      <c r="K39" s="58">
        <v>3.6965695323270418</v>
      </c>
      <c r="L39" s="58">
        <v>1.0537795621648693</v>
      </c>
      <c r="M39" s="58">
        <v>0.74231753287345181</v>
      </c>
      <c r="N39" s="58">
        <v>0.37307876914558424</v>
      </c>
      <c r="O39" s="58">
        <v>14.637648225886915</v>
      </c>
      <c r="P39" s="58">
        <v>0</v>
      </c>
      <c r="Q39" s="58">
        <v>0.90988719420807707</v>
      </c>
    </row>
    <row r="40" spans="1:17" s="16" customFormat="1">
      <c r="A40" s="23">
        <v>37</v>
      </c>
      <c r="B40" s="31" t="s">
        <v>90</v>
      </c>
      <c r="C40" s="27" t="s">
        <v>91</v>
      </c>
      <c r="D40" s="58">
        <v>7.5250462322559849E-3</v>
      </c>
      <c r="E40" s="58">
        <v>9.3345633493311375E-3</v>
      </c>
      <c r="F40" s="58">
        <v>8.7995498425106587E-3</v>
      </c>
      <c r="G40" s="58">
        <v>7.2805434485944502E-3</v>
      </c>
      <c r="H40" s="58">
        <v>5.8575684694755084E-3</v>
      </c>
      <c r="I40" s="58">
        <v>5.9196465999306353E-3</v>
      </c>
      <c r="J40" s="58">
        <v>1.7463873257165599E-3</v>
      </c>
      <c r="K40" s="58">
        <v>1.00025297768511E-2</v>
      </c>
      <c r="L40" s="58">
        <v>2.8514170656371465E-3</v>
      </c>
      <c r="M40" s="58">
        <v>2.0086334536689775E-3</v>
      </c>
      <c r="N40" s="58">
        <v>1.0095120529602288E-3</v>
      </c>
      <c r="O40" s="58">
        <v>3.960794216424246E-2</v>
      </c>
      <c r="P40" s="58">
        <v>0</v>
      </c>
      <c r="Q40" s="58">
        <v>2.4620593969761967E-3</v>
      </c>
    </row>
    <row r="41" spans="1:17" s="16" customFormat="1">
      <c r="A41" s="23">
        <v>38</v>
      </c>
    </row>
    <row r="42" spans="1:17" s="16" customFormat="1">
      <c r="A42" s="23">
        <v>39</v>
      </c>
      <c r="B42" s="16" t="s">
        <v>92</v>
      </c>
      <c r="C42" s="21" t="s">
        <v>93</v>
      </c>
      <c r="D42" s="18">
        <v>23227477941.710003</v>
      </c>
      <c r="E42" s="26">
        <v>10851832262.92</v>
      </c>
      <c r="F42" s="26">
        <v>2636726692.2799997</v>
      </c>
      <c r="G42" s="26">
        <v>2962955532.46</v>
      </c>
      <c r="H42" s="26">
        <v>2013062186.4900002</v>
      </c>
      <c r="I42" s="26">
        <v>1316633826.49</v>
      </c>
      <c r="J42" s="26">
        <v>4067400</v>
      </c>
      <c r="K42" s="26">
        <v>142120318.97</v>
      </c>
      <c r="L42" s="26">
        <v>630468949.96000004</v>
      </c>
      <c r="M42" s="26">
        <v>639440800</v>
      </c>
      <c r="N42" s="26">
        <v>1939576937</v>
      </c>
      <c r="O42" s="26">
        <v>83017069.139999971</v>
      </c>
      <c r="P42" s="26">
        <v>0</v>
      </c>
      <c r="Q42" s="26">
        <v>7575966</v>
      </c>
    </row>
    <row r="43" spans="1:17" s="16" customFormat="1">
      <c r="A43" s="23">
        <v>40</v>
      </c>
      <c r="C43" s="21" t="s">
        <v>94</v>
      </c>
      <c r="D43" s="18">
        <v>0</v>
      </c>
      <c r="E43" s="26"/>
      <c r="F43" s="26">
        <v>-61810.998899999999</v>
      </c>
      <c r="G43" s="26">
        <v>-3682541.3470000001</v>
      </c>
      <c r="H43" s="26">
        <v>-83024837.939999998</v>
      </c>
      <c r="I43" s="26">
        <v>-13612788</v>
      </c>
      <c r="J43" s="26"/>
      <c r="K43" s="26"/>
      <c r="L43" s="26">
        <v>100381978.2859</v>
      </c>
      <c r="M43" s="26"/>
      <c r="N43" s="26"/>
      <c r="O43" s="26"/>
      <c r="P43" s="26"/>
      <c r="Q43" s="26"/>
    </row>
    <row r="44" spans="1:17" s="16" customFormat="1">
      <c r="A44" s="23">
        <v>41</v>
      </c>
      <c r="B44" s="16" t="s">
        <v>92</v>
      </c>
      <c r="C44" s="21" t="s">
        <v>95</v>
      </c>
      <c r="D44" s="18">
        <v>24042835.089086007</v>
      </c>
      <c r="E44" s="26">
        <v>7752625.688396737</v>
      </c>
      <c r="F44" s="26">
        <v>-2515884.0258630943</v>
      </c>
      <c r="G44" s="26">
        <v>4444168.1110385247</v>
      </c>
      <c r="H44" s="26">
        <v>-145373.47903041128</v>
      </c>
      <c r="I44" s="26">
        <v>371131.11902641098</v>
      </c>
      <c r="J44" s="26">
        <v>-71191.468874219427</v>
      </c>
      <c r="K44" s="26">
        <v>146051.04695785453</v>
      </c>
      <c r="L44" s="26">
        <v>-107162.72810487672</v>
      </c>
      <c r="M44" s="26">
        <v>503760.82553908176</v>
      </c>
      <c r="N44" s="26">
        <v>13664710</v>
      </c>
      <c r="O44" s="26">
        <v>0</v>
      </c>
      <c r="P44" s="26">
        <v>0</v>
      </c>
      <c r="Q44" s="26">
        <v>0</v>
      </c>
    </row>
    <row r="45" spans="1:17" s="16" customFormat="1">
      <c r="A45" s="23">
        <v>42</v>
      </c>
      <c r="B45" s="16" t="s">
        <v>92</v>
      </c>
      <c r="C45" s="21" t="s">
        <v>96</v>
      </c>
      <c r="D45" s="18">
        <v>-97555453.126828209</v>
      </c>
      <c r="E45" s="26">
        <v>-86266564.419191673</v>
      </c>
      <c r="F45" s="26">
        <v>-5601479.6405594498</v>
      </c>
      <c r="G45" s="26">
        <v>-3194676.0827707308</v>
      </c>
      <c r="H45" s="26">
        <v>313264.99310604122</v>
      </c>
      <c r="I45" s="26">
        <v>-621853.24258710595</v>
      </c>
      <c r="J45" s="26">
        <v>0</v>
      </c>
      <c r="K45" s="26">
        <v>-2112416.054770479</v>
      </c>
      <c r="L45" s="26">
        <v>-31900.757788065821</v>
      </c>
      <c r="M45" s="26">
        <v>0</v>
      </c>
      <c r="N45" s="26">
        <v>0</v>
      </c>
      <c r="O45" s="26">
        <v>0</v>
      </c>
      <c r="P45" s="26">
        <v>0</v>
      </c>
      <c r="Q45" s="26">
        <v>-39827.922266740548</v>
      </c>
    </row>
    <row r="46" spans="1:17" s="16" customFormat="1">
      <c r="A46" s="23">
        <v>43</v>
      </c>
      <c r="B46" s="46" t="s">
        <v>92</v>
      </c>
      <c r="C46" s="21" t="s">
        <v>97</v>
      </c>
      <c r="D46" s="18">
        <v>23153965323.67226</v>
      </c>
      <c r="E46" s="18">
        <v>10773318324.189205</v>
      </c>
      <c r="F46" s="18">
        <v>2628547517.614677</v>
      </c>
      <c r="G46" s="18">
        <v>2960522483.1412678</v>
      </c>
      <c r="H46" s="18">
        <v>1930205240.0640759</v>
      </c>
      <c r="I46" s="18">
        <v>1302770316.3664393</v>
      </c>
      <c r="J46" s="18">
        <v>3996208.5311257807</v>
      </c>
      <c r="K46" s="18">
        <v>140153953.96218738</v>
      </c>
      <c r="L46" s="18">
        <v>730711864.76000714</v>
      </c>
      <c r="M46" s="18">
        <v>639944560.82553911</v>
      </c>
      <c r="N46" s="18">
        <v>1953241647</v>
      </c>
      <c r="O46" s="18">
        <v>83017069.139999971</v>
      </c>
      <c r="P46" s="18">
        <v>0</v>
      </c>
      <c r="Q46" s="18">
        <v>7536138.0777332596</v>
      </c>
    </row>
    <row r="47" spans="1:17" s="16" customFormat="1">
      <c r="A47" s="23">
        <v>44</v>
      </c>
      <c r="B47" s="16" t="s">
        <v>92</v>
      </c>
      <c r="C47" s="21" t="s">
        <v>98</v>
      </c>
      <c r="D47" s="18">
        <v>21200723676.672256</v>
      </c>
      <c r="E47" s="26">
        <v>10773318324.189205</v>
      </c>
      <c r="F47" s="26">
        <v>2628547517.614677</v>
      </c>
      <c r="G47" s="26">
        <v>2960522483.1412678</v>
      </c>
      <c r="H47" s="26">
        <v>1930205240.0640759</v>
      </c>
      <c r="I47" s="26">
        <v>1302770316.3664393</v>
      </c>
      <c r="J47" s="26">
        <v>3996208.5311257807</v>
      </c>
      <c r="K47" s="26">
        <v>140153953.96218738</v>
      </c>
      <c r="L47" s="26">
        <v>730711864.76000714</v>
      </c>
      <c r="M47" s="26">
        <v>639944560.82553911</v>
      </c>
      <c r="N47" s="26">
        <v>0</v>
      </c>
      <c r="O47" s="26">
        <v>83017069.139999971</v>
      </c>
      <c r="P47" s="26">
        <v>0</v>
      </c>
      <c r="Q47" s="26">
        <v>7536138.0777332596</v>
      </c>
    </row>
    <row r="48" spans="1:17" s="16" customFormat="1">
      <c r="A48" s="23">
        <v>45</v>
      </c>
      <c r="D48" s="18"/>
    </row>
    <row r="49" spans="1:19" s="16" customFormat="1">
      <c r="A49" s="23">
        <v>46</v>
      </c>
      <c r="B49" s="46" t="s">
        <v>99</v>
      </c>
      <c r="C49" s="21" t="s">
        <v>100</v>
      </c>
      <c r="D49" s="18">
        <v>23153965323.672256</v>
      </c>
      <c r="E49" s="26">
        <v>10773318324.189205</v>
      </c>
      <c r="F49" s="26">
        <v>2628547517.614677</v>
      </c>
      <c r="G49" s="26">
        <v>2960522483.1412678</v>
      </c>
      <c r="H49" s="26">
        <v>1930205240.0640759</v>
      </c>
      <c r="I49" s="26">
        <v>1302770316.3664393</v>
      </c>
      <c r="J49" s="26">
        <v>3996208.5311257807</v>
      </c>
      <c r="K49" s="26">
        <v>140153953.96218738</v>
      </c>
      <c r="L49" s="26">
        <v>730711864.76000714</v>
      </c>
      <c r="M49" s="26">
        <v>639944560.82553911</v>
      </c>
      <c r="N49" s="26">
        <v>1953241647</v>
      </c>
      <c r="O49" s="26">
        <v>83017069.139999971</v>
      </c>
      <c r="P49" s="26">
        <v>0</v>
      </c>
      <c r="Q49" s="26">
        <v>7536138.0777332596</v>
      </c>
    </row>
    <row r="50" spans="1:19" s="16" customFormat="1">
      <c r="A50" s="23">
        <v>47</v>
      </c>
      <c r="B50" s="31" t="s">
        <v>101</v>
      </c>
      <c r="C50" s="27" t="s">
        <v>102</v>
      </c>
      <c r="D50" s="40">
        <v>1404882506</v>
      </c>
      <c r="E50" s="59">
        <v>748825189</v>
      </c>
      <c r="F50" s="59">
        <v>171325933</v>
      </c>
      <c r="G50" s="59">
        <v>189371492</v>
      </c>
      <c r="H50" s="59">
        <v>122133113</v>
      </c>
      <c r="I50" s="59">
        <v>78509632</v>
      </c>
      <c r="J50" s="59">
        <v>206390</v>
      </c>
      <c r="K50" s="59">
        <v>7202218</v>
      </c>
      <c r="L50" s="59">
        <v>43751538</v>
      </c>
      <c r="M50" s="59">
        <v>37734365</v>
      </c>
      <c r="N50" s="59">
        <v>0</v>
      </c>
      <c r="O50" s="59">
        <v>5325900</v>
      </c>
      <c r="P50" s="59">
        <v>0</v>
      </c>
      <c r="Q50" s="59">
        <v>496736</v>
      </c>
      <c r="S50" s="38">
        <f>SUM(E50:O50)</f>
        <v>1404385770</v>
      </c>
    </row>
    <row r="51" spans="1:19" s="16" customFormat="1">
      <c r="A51" s="23">
        <v>48</v>
      </c>
      <c r="B51" s="31" t="s">
        <v>103</v>
      </c>
      <c r="C51" s="27" t="s">
        <v>104</v>
      </c>
      <c r="D51" s="60">
        <v>19678827</v>
      </c>
      <c r="E51" s="59">
        <v>11394874</v>
      </c>
      <c r="F51" s="59">
        <v>2396729</v>
      </c>
      <c r="G51" s="59">
        <v>2298092</v>
      </c>
      <c r="H51" s="59">
        <v>1314040</v>
      </c>
      <c r="I51" s="59">
        <v>909320</v>
      </c>
      <c r="J51" s="59">
        <v>4481</v>
      </c>
      <c r="K51" s="59">
        <v>131947</v>
      </c>
      <c r="L51" s="59">
        <v>455958</v>
      </c>
      <c r="M51" s="59">
        <v>347555</v>
      </c>
      <c r="N51" s="59">
        <v>186087</v>
      </c>
      <c r="O51" s="59">
        <v>233671</v>
      </c>
      <c r="P51" s="59">
        <v>0</v>
      </c>
      <c r="Q51" s="59">
        <v>6073</v>
      </c>
    </row>
    <row r="52" spans="1:19" s="16" customFormat="1">
      <c r="A52" s="23">
        <v>49</v>
      </c>
      <c r="B52" s="31" t="s">
        <v>105</v>
      </c>
      <c r="C52" s="27" t="s">
        <v>106</v>
      </c>
      <c r="D52" s="60">
        <v>21532577</v>
      </c>
      <c r="E52" s="59">
        <v>12468275</v>
      </c>
      <c r="F52" s="59">
        <v>2622501</v>
      </c>
      <c r="G52" s="59">
        <v>2514572</v>
      </c>
      <c r="H52" s="59">
        <v>1437823</v>
      </c>
      <c r="I52" s="59">
        <v>994979</v>
      </c>
      <c r="J52" s="59">
        <v>4903</v>
      </c>
      <c r="K52" s="59">
        <v>144376</v>
      </c>
      <c r="L52" s="59">
        <v>498909</v>
      </c>
      <c r="M52" s="59">
        <v>380295</v>
      </c>
      <c r="N52" s="59">
        <v>203616</v>
      </c>
      <c r="O52" s="59">
        <v>255683</v>
      </c>
      <c r="P52" s="59">
        <v>0</v>
      </c>
      <c r="Q52" s="59">
        <v>6645</v>
      </c>
    </row>
    <row r="53" spans="1:19" s="16" customFormat="1">
      <c r="A53" s="23">
        <v>50</v>
      </c>
      <c r="B53" s="31" t="s">
        <v>107</v>
      </c>
      <c r="C53" s="27" t="s">
        <v>108</v>
      </c>
      <c r="D53" s="60">
        <v>33799724</v>
      </c>
      <c r="E53" s="59">
        <v>18828224</v>
      </c>
      <c r="F53" s="59">
        <v>3604665</v>
      </c>
      <c r="G53" s="59">
        <v>2461649</v>
      </c>
      <c r="H53" s="59">
        <v>1359485</v>
      </c>
      <c r="I53" s="59">
        <v>1489530</v>
      </c>
      <c r="J53" s="59">
        <v>0</v>
      </c>
      <c r="K53" s="59">
        <v>0</v>
      </c>
      <c r="L53" s="59">
        <v>476886</v>
      </c>
      <c r="M53" s="59">
        <v>2779257</v>
      </c>
      <c r="N53" s="59">
        <v>2656920</v>
      </c>
      <c r="O53" s="59">
        <v>143108</v>
      </c>
      <c r="P53" s="59">
        <v>0</v>
      </c>
      <c r="Q53" s="59">
        <v>0</v>
      </c>
    </row>
    <row r="54" spans="1:19" s="16" customFormat="1">
      <c r="A54" s="61">
        <v>51</v>
      </c>
      <c r="B54" s="62" t="s">
        <v>109</v>
      </c>
      <c r="C54" s="63" t="s">
        <v>110</v>
      </c>
      <c r="D54" s="64">
        <v>644234414</v>
      </c>
      <c r="E54" s="65">
        <v>371648622</v>
      </c>
      <c r="F54" s="65">
        <v>85480158</v>
      </c>
      <c r="G54" s="65">
        <v>79656494</v>
      </c>
      <c r="H54" s="65">
        <v>41783988</v>
      </c>
      <c r="I54" s="65">
        <v>28500512</v>
      </c>
      <c r="J54" s="65">
        <v>25792</v>
      </c>
      <c r="K54" s="65">
        <v>5180888</v>
      </c>
      <c r="L54" s="65">
        <v>7700092</v>
      </c>
      <c r="M54" s="65">
        <v>4750421</v>
      </c>
      <c r="N54" s="65">
        <v>7287130</v>
      </c>
      <c r="O54" s="65">
        <v>12151747</v>
      </c>
      <c r="P54" s="65">
        <v>0</v>
      </c>
      <c r="Q54" s="65">
        <v>68570</v>
      </c>
    </row>
    <row r="55" spans="1:19" s="16" customFormat="1">
      <c r="A55" s="23">
        <v>52</v>
      </c>
      <c r="B55" s="31" t="s">
        <v>111</v>
      </c>
      <c r="C55" s="27" t="s">
        <v>112</v>
      </c>
      <c r="D55" s="60">
        <v>1743230</v>
      </c>
      <c r="E55" s="59">
        <v>1005642</v>
      </c>
      <c r="F55" s="59">
        <v>231300</v>
      </c>
      <c r="G55" s="59">
        <v>215542</v>
      </c>
      <c r="H55" s="59">
        <v>113063</v>
      </c>
      <c r="I55" s="59">
        <v>77119</v>
      </c>
      <c r="J55" s="59">
        <v>70</v>
      </c>
      <c r="K55" s="59">
        <v>14019</v>
      </c>
      <c r="L55" s="59">
        <v>20836</v>
      </c>
      <c r="M55" s="59">
        <v>12854</v>
      </c>
      <c r="N55" s="59">
        <v>19718</v>
      </c>
      <c r="O55" s="59">
        <v>32881</v>
      </c>
      <c r="P55" s="59">
        <v>0</v>
      </c>
      <c r="Q55" s="59">
        <v>186</v>
      </c>
    </row>
    <row r="56" spans="1:19" s="16" customFormat="1">
      <c r="D56" s="40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spans="1:19" s="16" customFormat="1" ht="13.5" thickBot="1">
      <c r="D57" s="60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spans="1:19" s="16" customFormat="1">
      <c r="A58" s="66"/>
      <c r="B58" s="67"/>
      <c r="C58" s="67" t="s">
        <v>113</v>
      </c>
      <c r="D58" s="68">
        <f>SUM(E58:Q58)</f>
        <v>1400922487</v>
      </c>
      <c r="E58" s="69">
        <f t="shared" ref="E58:Q58" si="1">+E10</f>
        <v>746005234</v>
      </c>
      <c r="F58" s="69">
        <f t="shared" si="1"/>
        <v>169130570</v>
      </c>
      <c r="G58" s="69">
        <f t="shared" si="1"/>
        <v>187554102</v>
      </c>
      <c r="H58" s="69">
        <f t="shared" si="1"/>
        <v>125710378</v>
      </c>
      <c r="I58" s="69">
        <f t="shared" si="1"/>
        <v>78775272</v>
      </c>
      <c r="J58" s="69">
        <f t="shared" si="1"/>
        <v>239558</v>
      </c>
      <c r="K58" s="69">
        <f t="shared" si="1"/>
        <v>7654640</v>
      </c>
      <c r="L58" s="69">
        <f t="shared" si="1"/>
        <v>46146387</v>
      </c>
      <c r="M58" s="69">
        <f t="shared" si="1"/>
        <v>33994785</v>
      </c>
      <c r="N58" s="69">
        <f t="shared" si="1"/>
        <v>0</v>
      </c>
      <c r="O58" s="69">
        <f t="shared" si="1"/>
        <v>5228243</v>
      </c>
      <c r="P58" s="69">
        <f t="shared" si="1"/>
        <v>0</v>
      </c>
      <c r="Q58" s="70">
        <f t="shared" si="1"/>
        <v>483318</v>
      </c>
    </row>
    <row r="59" spans="1:19" s="16" customFormat="1">
      <c r="A59" s="71"/>
      <c r="B59" s="72"/>
      <c r="C59" s="73" t="s">
        <v>114</v>
      </c>
      <c r="D59" s="74">
        <f>SUM(E59:Q59)</f>
        <v>19639915</v>
      </c>
      <c r="E59" s="75">
        <f t="shared" ref="E59:Q59" si="2">+E13</f>
        <v>11351963</v>
      </c>
      <c r="F59" s="75">
        <f t="shared" si="2"/>
        <v>2366017</v>
      </c>
      <c r="G59" s="75">
        <f t="shared" si="2"/>
        <v>2276037</v>
      </c>
      <c r="H59" s="75">
        <f t="shared" si="2"/>
        <v>1352528</v>
      </c>
      <c r="I59" s="75">
        <f t="shared" si="2"/>
        <v>912397</v>
      </c>
      <c r="J59" s="75">
        <f t="shared" si="2"/>
        <v>5201</v>
      </c>
      <c r="K59" s="75">
        <f t="shared" si="2"/>
        <v>140235</v>
      </c>
      <c r="L59" s="75">
        <f t="shared" si="2"/>
        <v>480916</v>
      </c>
      <c r="M59" s="75">
        <f t="shared" si="2"/>
        <v>313111</v>
      </c>
      <c r="N59" s="75">
        <f t="shared" si="2"/>
        <v>186246</v>
      </c>
      <c r="O59" s="75">
        <f t="shared" si="2"/>
        <v>229386</v>
      </c>
      <c r="P59" s="75">
        <f t="shared" si="2"/>
        <v>19969</v>
      </c>
      <c r="Q59" s="76">
        <f t="shared" si="2"/>
        <v>5909</v>
      </c>
    </row>
    <row r="60" spans="1:19" s="16" customFormat="1">
      <c r="A60" s="71"/>
      <c r="B60" s="72"/>
      <c r="C60" s="72" t="s">
        <v>115</v>
      </c>
      <c r="D60" s="74">
        <f>SUM(E60:Q60)</f>
        <v>1420562402</v>
      </c>
      <c r="E60" s="77">
        <f t="shared" ref="E60:Q60" si="3">SUM(E58:E59)</f>
        <v>757357197</v>
      </c>
      <c r="F60" s="77">
        <f t="shared" si="3"/>
        <v>171496587</v>
      </c>
      <c r="G60" s="77">
        <f t="shared" si="3"/>
        <v>189830139</v>
      </c>
      <c r="H60" s="77">
        <f t="shared" si="3"/>
        <v>127062906</v>
      </c>
      <c r="I60" s="77">
        <f t="shared" si="3"/>
        <v>79687669</v>
      </c>
      <c r="J60" s="77">
        <f t="shared" si="3"/>
        <v>244759</v>
      </c>
      <c r="K60" s="77">
        <f t="shared" si="3"/>
        <v>7794875</v>
      </c>
      <c r="L60" s="77">
        <f t="shared" si="3"/>
        <v>46627303</v>
      </c>
      <c r="M60" s="77">
        <f t="shared" si="3"/>
        <v>34307896</v>
      </c>
      <c r="N60" s="77">
        <f t="shared" si="3"/>
        <v>186246</v>
      </c>
      <c r="O60" s="77">
        <f t="shared" si="3"/>
        <v>5457629</v>
      </c>
      <c r="P60" s="77">
        <f t="shared" si="3"/>
        <v>19969</v>
      </c>
      <c r="Q60" s="78">
        <f t="shared" si="3"/>
        <v>489227</v>
      </c>
    </row>
    <row r="61" spans="1:19" s="16" customFormat="1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9"/>
    </row>
    <row r="62" spans="1:19" s="16" customFormat="1">
      <c r="A62" s="71"/>
      <c r="B62" s="72"/>
      <c r="C62" s="72" t="s">
        <v>116</v>
      </c>
      <c r="D62" s="74">
        <f>SUM(E62:Q62)</f>
        <v>40163723</v>
      </c>
      <c r="E62" s="80">
        <v>21387598.397102669</v>
      </c>
      <c r="F62" s="80">
        <v>4848891.2402761029</v>
      </c>
      <c r="G62" s="80">
        <v>5377081.2661389755</v>
      </c>
      <c r="H62" s="80">
        <v>3604048.5262144217</v>
      </c>
      <c r="I62" s="80">
        <v>2484741.4876767867</v>
      </c>
      <c r="J62" s="80">
        <v>1322979.5472769097</v>
      </c>
      <c r="K62" s="80">
        <v>974627.86008199153</v>
      </c>
      <c r="L62" s="80">
        <v>0</v>
      </c>
      <c r="M62" s="80">
        <v>149898.66847550549</v>
      </c>
      <c r="N62" s="80">
        <v>13856.006756641329</v>
      </c>
      <c r="O62" s="80">
        <v>0</v>
      </c>
      <c r="P62" s="80">
        <v>0</v>
      </c>
      <c r="Q62" s="81">
        <v>0</v>
      </c>
    </row>
    <row r="63" spans="1:19" s="16" customFormat="1">
      <c r="A63" s="71"/>
      <c r="B63" s="72"/>
      <c r="C63" s="73" t="s">
        <v>117</v>
      </c>
      <c r="D63" s="74">
        <v>5495638</v>
      </c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1"/>
    </row>
    <row r="64" spans="1:19" s="16" customFormat="1">
      <c r="A64" s="71"/>
      <c r="B64" s="72"/>
      <c r="C64" s="82" t="s">
        <v>118</v>
      </c>
      <c r="D64" s="74">
        <f>SUM(E64:Q64)</f>
        <v>5495638</v>
      </c>
      <c r="E64" s="80">
        <f t="shared" ref="E64:Q64" si="4">ROUND(+E7*$D$63,0)</f>
        <v>2926482</v>
      </c>
      <c r="F64" s="80">
        <f t="shared" si="4"/>
        <v>663477</v>
      </c>
      <c r="G64" s="80">
        <f t="shared" si="4"/>
        <v>735751</v>
      </c>
      <c r="H64" s="80">
        <f t="shared" si="4"/>
        <v>493146</v>
      </c>
      <c r="I64" s="80">
        <f t="shared" si="4"/>
        <v>309025</v>
      </c>
      <c r="J64" s="80">
        <f t="shared" si="4"/>
        <v>940</v>
      </c>
      <c r="K64" s="80">
        <f t="shared" si="4"/>
        <v>30028</v>
      </c>
      <c r="L64" s="80">
        <f t="shared" si="4"/>
        <v>181026</v>
      </c>
      <c r="M64" s="80">
        <f t="shared" si="4"/>
        <v>133357</v>
      </c>
      <c r="N64" s="80">
        <f t="shared" si="4"/>
        <v>0</v>
      </c>
      <c r="O64" s="80">
        <f t="shared" si="4"/>
        <v>20510</v>
      </c>
      <c r="P64" s="80">
        <f t="shared" si="4"/>
        <v>0</v>
      </c>
      <c r="Q64" s="81">
        <f t="shared" si="4"/>
        <v>1896</v>
      </c>
    </row>
    <row r="65" spans="1:65">
      <c r="A65" s="71"/>
      <c r="B65" s="72"/>
      <c r="C65" s="72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1"/>
    </row>
    <row r="66" spans="1:65" s="88" customFormat="1">
      <c r="A66" s="83"/>
      <c r="B66" s="84"/>
      <c r="C66" s="84" t="s">
        <v>119</v>
      </c>
      <c r="D66" s="85">
        <f>SUM(E66:Q66)</f>
        <v>1374903041.0000002</v>
      </c>
      <c r="E66" s="86">
        <f>+E60-E62-E64</f>
        <v>733043116.60289729</v>
      </c>
      <c r="F66" s="86">
        <f t="shared" ref="F66:Q66" si="5">+F60-F62-F64</f>
        <v>165984218.7597239</v>
      </c>
      <c r="G66" s="86">
        <f t="shared" si="5"/>
        <v>183717306.73386103</v>
      </c>
      <c r="H66" s="86">
        <f t="shared" si="5"/>
        <v>122965711.47378558</v>
      </c>
      <c r="I66" s="86">
        <f t="shared" si="5"/>
        <v>76893902.512323216</v>
      </c>
      <c r="J66" s="86">
        <f t="shared" si="5"/>
        <v>-1079160.5472769097</v>
      </c>
      <c r="K66" s="86">
        <f t="shared" si="5"/>
        <v>6790219.1399180088</v>
      </c>
      <c r="L66" s="86">
        <f t="shared" si="5"/>
        <v>46446277</v>
      </c>
      <c r="M66" s="86">
        <f t="shared" si="5"/>
        <v>34024640.331524491</v>
      </c>
      <c r="N66" s="86">
        <f t="shared" si="5"/>
        <v>172389.99324335868</v>
      </c>
      <c r="O66" s="86">
        <f t="shared" si="5"/>
        <v>5437119</v>
      </c>
      <c r="P66" s="86">
        <f t="shared" si="5"/>
        <v>19969</v>
      </c>
      <c r="Q66" s="87">
        <f t="shared" si="5"/>
        <v>487331</v>
      </c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</row>
    <row r="67" spans="1:65" s="88" customFormat="1">
      <c r="A67" s="83"/>
      <c r="B67" s="84"/>
      <c r="C67" s="84" t="s">
        <v>120</v>
      </c>
      <c r="D67" s="86">
        <f>+E66</f>
        <v>733043116.60289729</v>
      </c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9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</row>
    <row r="68" spans="1:65" s="88" customFormat="1" ht="13.5" thickBot="1">
      <c r="A68" s="90"/>
      <c r="B68" s="91"/>
      <c r="C68" s="91" t="s">
        <v>121</v>
      </c>
      <c r="D68" s="92">
        <f>SUM(F66:M66)</f>
        <v>635743115.40385938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3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</row>
  </sheetData>
  <printOptions horizontalCentered="1"/>
  <pageMargins left="0.7" right="0.7" top="0.75" bottom="0.75" header="0.3" footer="0.3"/>
  <pageSetup scale="39" orientation="landscape" blackAndWhite="1" horizontalDpi="300" verticalDpi="300" r:id="rId1"/>
  <headerFooter alignWithMargins="0">
    <oddFooter>&amp;L&amp;F
&amp;A&amp;RPage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140"/>
  <sheetViews>
    <sheetView zoomScale="90" zoomScaleNormal="90" workbookViewId="0">
      <selection sqref="A1:N52"/>
    </sheetView>
  </sheetViews>
  <sheetFormatPr defaultColWidth="8.85546875" defaultRowHeight="12.75" outlineLevelCol="1"/>
  <cols>
    <col min="1" max="1" width="5.140625" style="99" customWidth="1"/>
    <col min="2" max="2" width="46.5703125" style="99" customWidth="1"/>
    <col min="3" max="3" width="4.140625" style="99" customWidth="1"/>
    <col min="4" max="4" width="17.85546875" style="99" bestFit="1" customWidth="1"/>
    <col min="5" max="5" width="11.85546875" style="99" customWidth="1"/>
    <col min="6" max="6" width="3.42578125" style="99" bestFit="1" customWidth="1"/>
    <col min="7" max="7" width="3.28515625" style="99" bestFit="1" customWidth="1"/>
    <col min="8" max="8" width="15.28515625" style="99" bestFit="1" customWidth="1"/>
    <col min="9" max="9" width="15" style="203" bestFit="1" customWidth="1"/>
    <col min="10" max="10" width="14.85546875" style="99" hidden="1" customWidth="1" outlineLevel="1"/>
    <col min="11" max="11" width="20.7109375" style="99" hidden="1" customWidth="1" outlineLevel="1"/>
    <col min="12" max="12" width="17" style="99" hidden="1" customWidth="1" outlineLevel="1"/>
    <col min="13" max="13" width="15.5703125" style="99" hidden="1" customWidth="1" outlineLevel="1"/>
    <col min="14" max="14" width="15" style="99" bestFit="1" customWidth="1" collapsed="1"/>
    <col min="15" max="16384" width="8.85546875" style="99"/>
  </cols>
  <sheetData>
    <row r="1" spans="1:21" ht="18" customHeight="1">
      <c r="A1" s="94" t="s">
        <v>122</v>
      </c>
      <c r="B1" s="95"/>
      <c r="C1" s="95"/>
      <c r="D1" s="96" t="s">
        <v>123</v>
      </c>
      <c r="E1" s="95"/>
      <c r="F1" s="95"/>
      <c r="G1" s="95"/>
      <c r="H1" s="97"/>
      <c r="I1" s="98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18" customHeight="1">
      <c r="A2" s="100"/>
      <c r="B2" s="101"/>
      <c r="C2" s="100"/>
      <c r="D2" s="102"/>
      <c r="E2" s="95"/>
      <c r="F2" s="103"/>
      <c r="G2" s="95"/>
      <c r="H2" s="104"/>
      <c r="I2" s="98"/>
      <c r="J2" s="95"/>
      <c r="K2" s="95"/>
      <c r="L2" s="95"/>
      <c r="M2" s="95"/>
      <c r="N2" s="98"/>
      <c r="O2" s="98"/>
      <c r="P2" s="98"/>
      <c r="Q2" s="98"/>
      <c r="R2" s="98"/>
      <c r="S2" s="98"/>
      <c r="T2" s="98"/>
      <c r="U2" s="98"/>
    </row>
    <row r="3" spans="1:21">
      <c r="A3" s="100" t="s">
        <v>124</v>
      </c>
      <c r="B3" s="105"/>
      <c r="C3" s="100"/>
      <c r="D3" s="106" t="s">
        <v>125</v>
      </c>
      <c r="E3" s="107"/>
      <c r="F3" s="107"/>
      <c r="G3" s="107"/>
      <c r="H3" s="104"/>
      <c r="I3" s="108"/>
      <c r="J3" s="95"/>
      <c r="K3" s="95"/>
      <c r="L3" s="95"/>
      <c r="M3" s="95"/>
      <c r="N3" s="109"/>
      <c r="O3" s="110"/>
      <c r="P3" s="110"/>
      <c r="Q3" s="110"/>
      <c r="R3" s="110"/>
      <c r="S3" s="110"/>
      <c r="T3" s="110"/>
      <c r="U3" s="110"/>
    </row>
    <row r="4" spans="1:21">
      <c r="A4" s="100">
        <v>3</v>
      </c>
      <c r="B4" s="111" t="s">
        <v>126</v>
      </c>
      <c r="C4" s="100"/>
      <c r="D4" s="112">
        <v>284772614.59773409</v>
      </c>
      <c r="E4" s="107" t="s">
        <v>123</v>
      </c>
      <c r="F4" s="107"/>
      <c r="G4" s="107"/>
      <c r="I4" s="113"/>
      <c r="J4" s="95"/>
      <c r="K4" s="95"/>
      <c r="L4" s="95"/>
      <c r="M4" s="95"/>
      <c r="N4" s="114"/>
      <c r="O4" s="110"/>
      <c r="P4" s="110"/>
      <c r="Q4" s="110"/>
      <c r="R4" s="110"/>
      <c r="S4" s="110"/>
      <c r="T4" s="110"/>
      <c r="U4" s="110"/>
    </row>
    <row r="5" spans="1:21">
      <c r="A5" s="100">
        <v>4</v>
      </c>
      <c r="B5" s="111" t="s">
        <v>127</v>
      </c>
      <c r="C5" s="100"/>
      <c r="D5" s="115">
        <v>91760898.563750044</v>
      </c>
      <c r="E5" s="107"/>
      <c r="F5" s="107"/>
      <c r="G5" s="107"/>
      <c r="H5" s="116"/>
      <c r="I5" s="117"/>
      <c r="J5" s="95"/>
      <c r="K5" s="95"/>
      <c r="L5" s="95"/>
      <c r="M5" s="95"/>
      <c r="N5" s="118"/>
      <c r="O5" s="110"/>
      <c r="P5" s="110"/>
      <c r="Q5" s="110"/>
      <c r="R5" s="110"/>
      <c r="S5" s="110"/>
      <c r="T5" s="110"/>
      <c r="U5" s="110"/>
    </row>
    <row r="6" spans="1:21">
      <c r="A6" s="100">
        <v>5</v>
      </c>
      <c r="B6" s="111" t="s">
        <v>128</v>
      </c>
      <c r="C6" s="100"/>
      <c r="D6" s="119">
        <v>2310529555.6374841</v>
      </c>
      <c r="E6" s="102"/>
      <c r="F6" s="107"/>
      <c r="G6" s="107"/>
      <c r="H6" s="102" t="s">
        <v>129</v>
      </c>
      <c r="I6" s="117"/>
      <c r="J6" s="120">
        <v>0</v>
      </c>
      <c r="K6" s="95"/>
      <c r="L6" s="95"/>
      <c r="M6" s="95"/>
      <c r="N6" s="118"/>
      <c r="O6" s="110"/>
      <c r="P6" s="110"/>
      <c r="Q6" s="110"/>
      <c r="R6" s="110"/>
      <c r="S6" s="110"/>
      <c r="T6" s="110"/>
      <c r="U6" s="110"/>
    </row>
    <row r="7" spans="1:21">
      <c r="A7" s="100">
        <v>6</v>
      </c>
      <c r="B7" s="95"/>
      <c r="C7" s="95"/>
      <c r="D7" s="121">
        <f>SUM(D4:D6)</f>
        <v>2687063068.7989683</v>
      </c>
      <c r="E7" s="95"/>
      <c r="F7" s="107"/>
      <c r="G7" s="107"/>
      <c r="H7" s="122" t="s">
        <v>130</v>
      </c>
      <c r="I7" s="123"/>
      <c r="J7" s="95"/>
      <c r="K7" s="95"/>
      <c r="L7" s="95"/>
      <c r="M7" s="95"/>
      <c r="N7" s="124"/>
      <c r="O7" s="125"/>
      <c r="P7" s="125"/>
      <c r="Q7" s="125"/>
      <c r="R7" s="125"/>
      <c r="S7" s="125"/>
      <c r="T7" s="125"/>
      <c r="U7" s="125"/>
    </row>
    <row r="8" spans="1:21" ht="13.5" thickBot="1">
      <c r="A8" s="100">
        <v>7</v>
      </c>
      <c r="B8" s="111" t="s">
        <v>131</v>
      </c>
      <c r="C8" s="126" t="str">
        <f>IF(ROUND((D7*D8/0.65)-SUM(D12:D14),0)=0,"",(D7*D8/0.65)-SUM(D12:D14))</f>
        <v/>
      </c>
      <c r="D8" s="127">
        <v>6.6900000000000001E-2</v>
      </c>
      <c r="E8" s="128"/>
      <c r="F8" s="107"/>
      <c r="G8" s="107"/>
      <c r="H8" s="122" t="s">
        <v>132</v>
      </c>
      <c r="I8" s="129"/>
      <c r="J8" s="95"/>
      <c r="K8" s="95"/>
      <c r="L8" s="95"/>
      <c r="M8" s="95"/>
      <c r="N8" s="130"/>
      <c r="O8" s="131"/>
      <c r="P8" s="131"/>
      <c r="Q8" s="131"/>
      <c r="R8" s="131"/>
      <c r="S8" s="131"/>
      <c r="T8" s="131"/>
      <c r="U8" s="131"/>
    </row>
    <row r="9" spans="1:21" ht="13.5" thickBot="1">
      <c r="A9" s="100">
        <v>8</v>
      </c>
      <c r="B9" s="132"/>
      <c r="C9" s="100"/>
      <c r="D9" s="133"/>
      <c r="E9" s="134" t="s">
        <v>133</v>
      </c>
      <c r="F9" s="107"/>
      <c r="G9" s="107"/>
      <c r="H9" s="135">
        <v>0.98248000000000002</v>
      </c>
      <c r="I9" s="129"/>
      <c r="J9" s="95"/>
      <c r="K9" s="95"/>
      <c r="L9" s="136" t="s">
        <v>134</v>
      </c>
      <c r="M9" s="95"/>
      <c r="N9" s="130"/>
      <c r="O9" s="109"/>
      <c r="P9" s="109"/>
      <c r="Q9" s="109"/>
      <c r="R9" s="109"/>
      <c r="S9" s="109"/>
      <c r="T9" s="109"/>
      <c r="U9" s="109"/>
    </row>
    <row r="10" spans="1:21" ht="16.5" thickBot="1">
      <c r="A10" s="100">
        <v>9</v>
      </c>
      <c r="B10" s="137"/>
      <c r="C10" s="100"/>
      <c r="D10" s="116"/>
      <c r="E10" s="138" t="s">
        <v>135</v>
      </c>
      <c r="F10" s="95"/>
      <c r="G10" s="95"/>
      <c r="H10" s="139" t="s">
        <v>136</v>
      </c>
      <c r="I10" s="139" t="s">
        <v>137</v>
      </c>
      <c r="J10" s="95"/>
      <c r="K10" s="140" t="s">
        <v>138</v>
      </c>
      <c r="L10" s="141" t="s">
        <v>139</v>
      </c>
      <c r="M10" s="142" t="s">
        <v>140</v>
      </c>
      <c r="N10" s="143"/>
      <c r="O10" s="109"/>
      <c r="P10" s="109"/>
      <c r="Q10" s="109"/>
      <c r="R10" s="109"/>
      <c r="S10" s="109"/>
      <c r="T10" s="109"/>
      <c r="U10" s="109"/>
    </row>
    <row r="11" spans="1:21" ht="14.25">
      <c r="A11" s="100" t="s">
        <v>141</v>
      </c>
      <c r="B11" s="111"/>
      <c r="C11" s="100"/>
      <c r="D11" s="116"/>
      <c r="E11" s="106" t="s">
        <v>142</v>
      </c>
      <c r="F11" s="95"/>
      <c r="G11" s="95"/>
      <c r="H11" s="144" t="s">
        <v>143</v>
      </c>
      <c r="I11" s="144" t="s">
        <v>144</v>
      </c>
      <c r="J11" s="95"/>
      <c r="K11" s="145"/>
      <c r="L11" s="145"/>
      <c r="M11" s="145"/>
      <c r="N11" s="143"/>
      <c r="O11" s="109"/>
      <c r="P11" s="109"/>
      <c r="Q11" s="109"/>
      <c r="R11" s="109"/>
      <c r="S11" s="109"/>
      <c r="T11" s="109"/>
      <c r="U11" s="109"/>
    </row>
    <row r="12" spans="1:21" ht="14.25">
      <c r="A12" s="100">
        <v>10</v>
      </c>
      <c r="B12" s="146" t="s">
        <v>145</v>
      </c>
      <c r="C12" s="147" t="str">
        <f>IF((ROUND(D4*$D$8/0.65,0)-ROUND(D12,0))=0,"",ROUND(D4*$D$8/0.65,0)-D12)</f>
        <v/>
      </c>
      <c r="D12" s="112">
        <f>D4*D8/0.65</f>
        <v>29309673.717828322</v>
      </c>
      <c r="E12" s="148">
        <f t="shared" ref="E12:E34" si="0">D12/$D$38</f>
        <v>1.4013320365247479</v>
      </c>
      <c r="F12" s="149"/>
      <c r="G12" s="149" t="s">
        <v>146</v>
      </c>
      <c r="H12" s="150"/>
      <c r="I12" s="150"/>
      <c r="J12" s="151"/>
      <c r="K12" s="152">
        <f t="shared" ref="K12:K33" si="1">D12</f>
        <v>29309673.717828322</v>
      </c>
      <c r="L12" s="152">
        <f t="shared" ref="L12:L34" si="2">IF(F12="(a)",E12*$D$38,0)</f>
        <v>0</v>
      </c>
      <c r="M12" s="152">
        <f t="shared" ref="M12:M34" si="3">IF(F12="",E12*$D$38,0)</f>
        <v>29309673.717828322</v>
      </c>
      <c r="N12" s="148"/>
      <c r="O12" s="149"/>
      <c r="P12" s="149"/>
      <c r="Q12" s="149"/>
      <c r="R12" s="149"/>
      <c r="S12" s="149"/>
      <c r="T12" s="149"/>
      <c r="U12" s="149"/>
    </row>
    <row r="13" spans="1:21" ht="14.25">
      <c r="A13" s="100">
        <v>11</v>
      </c>
      <c r="B13" s="153" t="s">
        <v>147</v>
      </c>
      <c r="C13" s="147" t="str">
        <f>IF((ROUND(D5*$D$8/0.65,0)-ROUND(D13,0))=0,"",(D5*$D$8/0.65)-D13)</f>
        <v/>
      </c>
      <c r="D13" s="154">
        <f>D5*D8/0.65</f>
        <v>9444314.0214075036</v>
      </c>
      <c r="E13" s="148">
        <f t="shared" si="0"/>
        <v>0.45154442620587509</v>
      </c>
      <c r="F13" s="149" t="s">
        <v>148</v>
      </c>
      <c r="G13" s="149"/>
      <c r="H13" s="155">
        <f>E13*$D$38</f>
        <v>9444314.0214075036</v>
      </c>
      <c r="I13" s="155"/>
      <c r="J13" s="151"/>
      <c r="K13" s="152">
        <f t="shared" si="1"/>
        <v>9444314.0214075036</v>
      </c>
      <c r="L13" s="152">
        <f t="shared" si="2"/>
        <v>9444314.0214075036</v>
      </c>
      <c r="M13" s="152">
        <f t="shared" si="3"/>
        <v>0</v>
      </c>
      <c r="N13" s="148"/>
      <c r="O13" s="149"/>
      <c r="P13" s="149"/>
      <c r="Q13" s="149"/>
      <c r="R13" s="149"/>
      <c r="S13" s="149"/>
      <c r="T13" s="149"/>
      <c r="U13" s="149"/>
    </row>
    <row r="14" spans="1:21" ht="14.25">
      <c r="A14" s="100">
        <v>12</v>
      </c>
      <c r="B14" s="153" t="s">
        <v>149</v>
      </c>
      <c r="C14" s="147" t="str">
        <f>IF((ROUND(D6*$D$8/0.65,0)-ROUND(D14,0))=0,"",ROUND(D6*$D$8/0.65,0)-D14)</f>
        <v/>
      </c>
      <c r="D14" s="154">
        <f>D6*$D$8/0.65</f>
        <v>237806811.1879195</v>
      </c>
      <c r="E14" s="148">
        <f t="shared" si="0"/>
        <v>11.369840081799282</v>
      </c>
      <c r="F14" s="149" t="s">
        <v>148</v>
      </c>
      <c r="G14" s="149"/>
      <c r="H14" s="156">
        <f>E14*$D$38/H9</f>
        <v>242047483.09168583</v>
      </c>
      <c r="I14" s="156">
        <f>SUM(H13:H14)/12</f>
        <v>20957649.759424444</v>
      </c>
      <c r="J14" s="151"/>
      <c r="K14" s="152">
        <f t="shared" si="1"/>
        <v>237806811.1879195</v>
      </c>
      <c r="L14" s="152">
        <f t="shared" si="2"/>
        <v>237806811.1879195</v>
      </c>
      <c r="M14" s="152">
        <f t="shared" si="3"/>
        <v>0</v>
      </c>
      <c r="N14" s="148"/>
      <c r="O14" s="149"/>
      <c r="P14" s="149"/>
      <c r="Q14" s="149"/>
      <c r="R14" s="149"/>
      <c r="S14" s="149"/>
      <c r="T14" s="149"/>
      <c r="U14" s="149"/>
    </row>
    <row r="15" spans="1:21" ht="14.25">
      <c r="A15" s="100">
        <v>13</v>
      </c>
      <c r="B15" s="95" t="s">
        <v>150</v>
      </c>
      <c r="C15" s="95"/>
      <c r="D15" s="154">
        <v>89840342.437663913</v>
      </c>
      <c r="E15" s="148">
        <f t="shared" si="0"/>
        <v>4.2953787627350115</v>
      </c>
      <c r="F15" s="149"/>
      <c r="G15" s="149" t="s">
        <v>146</v>
      </c>
      <c r="H15" s="156"/>
      <c r="I15" s="156"/>
      <c r="J15" s="151"/>
      <c r="K15" s="152">
        <f t="shared" si="1"/>
        <v>89840342.437663913</v>
      </c>
      <c r="L15" s="152">
        <f t="shared" si="2"/>
        <v>0</v>
      </c>
      <c r="M15" s="152">
        <f t="shared" si="3"/>
        <v>89840342.437663913</v>
      </c>
      <c r="N15" s="148"/>
      <c r="O15" s="149"/>
      <c r="P15" s="149"/>
      <c r="Q15" s="149"/>
      <c r="R15" s="149"/>
      <c r="S15" s="149"/>
      <c r="T15" s="149"/>
      <c r="U15" s="149"/>
    </row>
    <row r="16" spans="1:21" ht="14.25">
      <c r="A16" s="100">
        <v>14</v>
      </c>
      <c r="B16" s="95" t="s">
        <v>151</v>
      </c>
      <c r="C16" s="95"/>
      <c r="D16" s="154">
        <v>397269315.95198619</v>
      </c>
      <c r="E16" s="148">
        <f t="shared" si="0"/>
        <v>18.993941213107405</v>
      </c>
      <c r="F16" s="149"/>
      <c r="G16" s="149" t="s">
        <v>146</v>
      </c>
      <c r="H16" s="156"/>
      <c r="I16" s="156"/>
      <c r="J16" s="151"/>
      <c r="K16" s="152">
        <f t="shared" si="1"/>
        <v>397269315.95198619</v>
      </c>
      <c r="L16" s="152">
        <f t="shared" si="2"/>
        <v>0</v>
      </c>
      <c r="M16" s="152">
        <f t="shared" si="3"/>
        <v>397269315.95198619</v>
      </c>
      <c r="N16" s="148"/>
      <c r="O16" s="149"/>
      <c r="P16" s="149"/>
      <c r="Q16" s="149"/>
      <c r="R16" s="149"/>
      <c r="S16" s="149"/>
      <c r="T16" s="149"/>
      <c r="U16" s="149"/>
    </row>
    <row r="17" spans="1:21" ht="14.25">
      <c r="A17" s="157">
        <v>15</v>
      </c>
      <c r="B17" s="95" t="s">
        <v>152</v>
      </c>
      <c r="C17" s="95"/>
      <c r="D17" s="154">
        <v>6346742.7321392009</v>
      </c>
      <c r="E17" s="148">
        <f t="shared" si="0"/>
        <v>0.30344568157772911</v>
      </c>
      <c r="F17" s="149" t="s">
        <v>148</v>
      </c>
      <c r="G17" s="149"/>
      <c r="H17" s="156">
        <f>E17*$D$38/H9</f>
        <v>6459920.540000001</v>
      </c>
      <c r="I17" s="156"/>
      <c r="J17" s="151"/>
      <c r="K17" s="152">
        <f t="shared" si="1"/>
        <v>6346742.7321392009</v>
      </c>
      <c r="L17" s="152">
        <f t="shared" si="2"/>
        <v>6346742.7321392009</v>
      </c>
      <c r="M17" s="152">
        <f t="shared" si="3"/>
        <v>0</v>
      </c>
      <c r="N17" s="148"/>
      <c r="O17" s="149"/>
      <c r="P17" s="149"/>
      <c r="Q17" s="149"/>
      <c r="R17" s="149"/>
      <c r="S17" s="149"/>
      <c r="T17" s="149"/>
      <c r="U17" s="149"/>
    </row>
    <row r="18" spans="1:21" ht="14.25">
      <c r="A18" s="157" t="s">
        <v>153</v>
      </c>
      <c r="B18" s="158" t="s">
        <v>154</v>
      </c>
      <c r="C18" s="95"/>
      <c r="D18" s="154">
        <v>6535307.6583631998</v>
      </c>
      <c r="E18" s="148">
        <f t="shared" si="0"/>
        <v>0.31246120575676095</v>
      </c>
      <c r="F18" s="149" t="s">
        <v>148</v>
      </c>
      <c r="G18" s="149"/>
      <c r="H18" s="156">
        <f>E18*$D$38/H9</f>
        <v>6651848.035953098</v>
      </c>
      <c r="I18" s="156"/>
      <c r="J18" s="151"/>
      <c r="K18" s="152">
        <f t="shared" si="1"/>
        <v>6535307.6583631998</v>
      </c>
      <c r="L18" s="152">
        <f t="shared" si="2"/>
        <v>6535307.6583631998</v>
      </c>
      <c r="M18" s="152">
        <f t="shared" si="3"/>
        <v>0</v>
      </c>
      <c r="N18" s="148"/>
      <c r="O18" s="149"/>
      <c r="P18" s="149"/>
      <c r="Q18" s="149"/>
      <c r="R18" s="149"/>
      <c r="S18" s="149"/>
      <c r="T18" s="149"/>
      <c r="U18" s="149"/>
    </row>
    <row r="19" spans="1:21" ht="14.25">
      <c r="A19" s="157" t="s">
        <v>155</v>
      </c>
      <c r="B19" s="158" t="s">
        <v>156</v>
      </c>
      <c r="C19" s="95"/>
      <c r="D19" s="154">
        <v>2903003.4120800002</v>
      </c>
      <c r="E19" s="148">
        <f t="shared" si="0"/>
        <v>0.13879621188051147</v>
      </c>
      <c r="F19" s="149" t="s">
        <v>148</v>
      </c>
      <c r="G19" s="149"/>
      <c r="H19" s="156">
        <f>E19*$D$38/H9</f>
        <v>2954771</v>
      </c>
      <c r="I19" s="156"/>
      <c r="J19" s="151"/>
      <c r="K19" s="152">
        <f t="shared" si="1"/>
        <v>2903003.4120800002</v>
      </c>
      <c r="L19" s="152">
        <f t="shared" si="2"/>
        <v>2903003.4120800002</v>
      </c>
      <c r="M19" s="152">
        <f t="shared" si="3"/>
        <v>0</v>
      </c>
      <c r="N19" s="148"/>
      <c r="O19" s="149"/>
      <c r="P19" s="149"/>
      <c r="Q19" s="149"/>
      <c r="R19" s="149"/>
      <c r="S19" s="149"/>
      <c r="T19" s="149"/>
      <c r="U19" s="149"/>
    </row>
    <row r="20" spans="1:21" ht="14.25">
      <c r="A20" s="157" t="s">
        <v>157</v>
      </c>
      <c r="B20" s="158" t="s">
        <v>158</v>
      </c>
      <c r="C20" s="95"/>
      <c r="D20" s="154">
        <v>1689589.2965109884</v>
      </c>
      <c r="E20" s="148">
        <f t="shared" si="0"/>
        <v>8.0781370429584928E-2</v>
      </c>
      <c r="F20" s="149" t="s">
        <v>148</v>
      </c>
      <c r="G20" s="149"/>
      <c r="H20" s="156">
        <f>E20*$D$38/H9</f>
        <v>1719718.7693500004</v>
      </c>
      <c r="I20" s="156"/>
      <c r="J20" s="151"/>
      <c r="K20" s="152">
        <f t="shared" si="1"/>
        <v>1689589.2965109884</v>
      </c>
      <c r="L20" s="152">
        <f t="shared" si="2"/>
        <v>1689589.2965109884</v>
      </c>
      <c r="M20" s="152">
        <f t="shared" si="3"/>
        <v>0</v>
      </c>
      <c r="N20" s="148"/>
      <c r="O20" s="149"/>
      <c r="P20" s="149"/>
      <c r="Q20" s="149"/>
      <c r="R20" s="149"/>
      <c r="S20" s="149"/>
      <c r="T20" s="149"/>
      <c r="U20" s="149"/>
    </row>
    <row r="21" spans="1:21" ht="14.25">
      <c r="A21" s="157" t="s">
        <v>159</v>
      </c>
      <c r="B21" s="158" t="s">
        <v>160</v>
      </c>
      <c r="C21" s="95"/>
      <c r="D21" s="154">
        <v>2035144.74</v>
      </c>
      <c r="E21" s="148">
        <f t="shared" si="0"/>
        <v>9.730280693613054E-2</v>
      </c>
      <c r="F21" s="149" t="s">
        <v>148</v>
      </c>
      <c r="G21" s="149"/>
      <c r="H21" s="156">
        <f>E21*$D$38/H9</f>
        <v>2071436.3040469019</v>
      </c>
      <c r="I21" s="156"/>
      <c r="J21" s="151"/>
      <c r="K21" s="152">
        <f t="shared" si="1"/>
        <v>2035144.74</v>
      </c>
      <c r="L21" s="152">
        <f t="shared" si="2"/>
        <v>2035144.7400000002</v>
      </c>
      <c r="M21" s="152">
        <f t="shared" si="3"/>
        <v>0</v>
      </c>
      <c r="N21" s="148"/>
      <c r="O21" s="149"/>
      <c r="P21" s="149"/>
      <c r="Q21" s="149"/>
      <c r="R21" s="149"/>
      <c r="S21" s="149"/>
      <c r="T21" s="149"/>
      <c r="U21" s="149"/>
    </row>
    <row r="22" spans="1:21" ht="14.25">
      <c r="A22" s="100">
        <v>16</v>
      </c>
      <c r="B22" s="95" t="s">
        <v>161</v>
      </c>
      <c r="C22" s="95"/>
      <c r="D22" s="154">
        <v>148918498.19661924</v>
      </c>
      <c r="E22" s="148">
        <f t="shared" si="0"/>
        <v>7.1199790336505231</v>
      </c>
      <c r="F22" s="149"/>
      <c r="G22" s="149" t="s">
        <v>146</v>
      </c>
      <c r="H22" s="156"/>
      <c r="I22" s="156"/>
      <c r="J22" s="151"/>
      <c r="K22" s="152">
        <f t="shared" si="1"/>
        <v>148918498.19661924</v>
      </c>
      <c r="L22" s="152">
        <f t="shared" si="2"/>
        <v>0</v>
      </c>
      <c r="M22" s="152">
        <f t="shared" si="3"/>
        <v>148918498.19661924</v>
      </c>
      <c r="N22" s="148"/>
      <c r="O22" s="149"/>
      <c r="P22" s="149"/>
      <c r="Q22" s="149"/>
      <c r="R22" s="149"/>
      <c r="S22" s="149"/>
      <c r="T22" s="149"/>
      <c r="U22" s="149"/>
    </row>
    <row r="23" spans="1:21" ht="14.25">
      <c r="A23" s="100">
        <v>17</v>
      </c>
      <c r="B23" s="95" t="s">
        <v>162</v>
      </c>
      <c r="C23" s="95"/>
      <c r="D23" s="154">
        <v>102954753.87380192</v>
      </c>
      <c r="E23" s="148">
        <f t="shared" si="0"/>
        <v>4.9223951213118067</v>
      </c>
      <c r="F23" s="149"/>
      <c r="G23" s="149" t="s">
        <v>146</v>
      </c>
      <c r="H23" s="156"/>
      <c r="I23" s="156"/>
      <c r="J23" s="151"/>
      <c r="K23" s="152">
        <f t="shared" si="1"/>
        <v>102954753.87380192</v>
      </c>
      <c r="L23" s="152">
        <f t="shared" si="2"/>
        <v>0</v>
      </c>
      <c r="M23" s="152">
        <f t="shared" si="3"/>
        <v>102954753.87380192</v>
      </c>
      <c r="N23" s="148"/>
      <c r="O23" s="149"/>
      <c r="P23" s="149"/>
      <c r="Q23" s="149"/>
      <c r="R23" s="149"/>
      <c r="S23" s="149"/>
      <c r="T23" s="149"/>
      <c r="U23" s="149"/>
    </row>
    <row r="24" spans="1:21" ht="14.25">
      <c r="A24" s="100">
        <v>18</v>
      </c>
      <c r="B24" s="95" t="s">
        <v>163</v>
      </c>
      <c r="C24" s="95"/>
      <c r="D24" s="154">
        <v>-7455772.9102490079</v>
      </c>
      <c r="E24" s="148">
        <f t="shared" si="0"/>
        <v>-0.356469796858572</v>
      </c>
      <c r="F24" s="149"/>
      <c r="G24" s="149" t="s">
        <v>146</v>
      </c>
      <c r="H24" s="156"/>
      <c r="I24" s="156"/>
      <c r="J24" s="151"/>
      <c r="K24" s="152">
        <f t="shared" si="1"/>
        <v>-7455772.9102490079</v>
      </c>
      <c r="L24" s="152">
        <f t="shared" si="2"/>
        <v>0</v>
      </c>
      <c r="M24" s="152">
        <f t="shared" si="3"/>
        <v>-7455772.9102490079</v>
      </c>
      <c r="N24" s="148"/>
      <c r="O24" s="149"/>
      <c r="P24" s="149"/>
      <c r="Q24" s="149"/>
      <c r="R24" s="149"/>
      <c r="S24" s="149"/>
      <c r="T24" s="149"/>
      <c r="U24" s="149"/>
    </row>
    <row r="25" spans="1:21" ht="14.25">
      <c r="A25" s="100">
        <v>19</v>
      </c>
      <c r="B25" s="95" t="s">
        <v>164</v>
      </c>
      <c r="C25" s="95"/>
      <c r="D25" s="154">
        <v>126076354.17893109</v>
      </c>
      <c r="E25" s="148">
        <f t="shared" si="0"/>
        <v>6.0278676542110441</v>
      </c>
      <c r="F25" s="149" t="s">
        <v>148</v>
      </c>
      <c r="G25" s="149"/>
      <c r="H25" s="156">
        <f>E25*$D$38/H9</f>
        <v>128324601.19181162</v>
      </c>
      <c r="I25" s="156"/>
      <c r="J25" s="151"/>
      <c r="K25" s="152">
        <f t="shared" si="1"/>
        <v>126076354.17893109</v>
      </c>
      <c r="L25" s="152">
        <f t="shared" si="2"/>
        <v>126076354.17893109</v>
      </c>
      <c r="M25" s="152">
        <f t="shared" si="3"/>
        <v>0</v>
      </c>
      <c r="N25" s="148"/>
      <c r="O25" s="95"/>
      <c r="P25" s="95"/>
      <c r="Q25" s="95"/>
      <c r="R25" s="95"/>
      <c r="S25" s="95"/>
      <c r="T25" s="95"/>
      <c r="U25" s="95"/>
    </row>
    <row r="26" spans="1:21" ht="14.25">
      <c r="A26" s="100">
        <v>20</v>
      </c>
      <c r="B26" s="95" t="s">
        <v>165</v>
      </c>
      <c r="C26" s="95"/>
      <c r="D26" s="154">
        <v>-29299861.893767804</v>
      </c>
      <c r="E26" s="148">
        <f t="shared" si="0"/>
        <v>-1.4008629209854513</v>
      </c>
      <c r="F26" s="149"/>
      <c r="G26" s="149" t="s">
        <v>146</v>
      </c>
      <c r="H26" s="156"/>
      <c r="I26" s="156"/>
      <c r="J26" s="151"/>
      <c r="K26" s="152">
        <f t="shared" si="1"/>
        <v>-29299861.893767804</v>
      </c>
      <c r="L26" s="152">
        <f t="shared" si="2"/>
        <v>0</v>
      </c>
      <c r="M26" s="152">
        <f t="shared" si="3"/>
        <v>-29299861.893767808</v>
      </c>
      <c r="N26" s="148"/>
      <c r="O26" s="95"/>
      <c r="P26" s="95"/>
      <c r="Q26" s="95"/>
      <c r="R26" s="95"/>
      <c r="S26" s="95"/>
      <c r="T26" s="95"/>
      <c r="U26" s="95"/>
    </row>
    <row r="27" spans="1:21" ht="14.25">
      <c r="A27" s="159">
        <v>21</v>
      </c>
      <c r="B27" s="160" t="s">
        <v>166</v>
      </c>
      <c r="C27" s="95"/>
      <c r="D27" s="154">
        <v>-8879149.4147473909</v>
      </c>
      <c r="E27" s="148">
        <f t="shared" si="0"/>
        <v>-0.42452320185355552</v>
      </c>
      <c r="F27" s="149"/>
      <c r="G27" s="149" t="s">
        <v>146</v>
      </c>
      <c r="H27" s="156"/>
      <c r="I27" s="156"/>
      <c r="J27" s="151"/>
      <c r="K27" s="152">
        <f t="shared" si="1"/>
        <v>-8879149.4147473909</v>
      </c>
      <c r="L27" s="152">
        <f t="shared" si="2"/>
        <v>0</v>
      </c>
      <c r="M27" s="152">
        <f t="shared" si="3"/>
        <v>-8879149.4147473909</v>
      </c>
      <c r="N27" s="148"/>
      <c r="O27" s="95"/>
      <c r="P27" s="95"/>
      <c r="Q27" s="95"/>
      <c r="R27" s="95"/>
      <c r="S27" s="95"/>
      <c r="T27" s="95"/>
      <c r="U27" s="95"/>
    </row>
    <row r="28" spans="1:21" ht="14.25">
      <c r="A28" s="100">
        <v>22</v>
      </c>
      <c r="B28" s="95" t="s">
        <v>167</v>
      </c>
      <c r="C28" s="95"/>
      <c r="D28" s="154">
        <v>956151.66798160004</v>
      </c>
      <c r="E28" s="148">
        <f t="shared" si="0"/>
        <v>4.5714803140376549E-2</v>
      </c>
      <c r="F28" s="149" t="s">
        <v>148</v>
      </c>
      <c r="G28" s="149"/>
      <c r="H28" s="156">
        <f>E28*$D$38/H9</f>
        <v>973202.17</v>
      </c>
      <c r="I28" s="156"/>
      <c r="J28" s="151"/>
      <c r="K28" s="152">
        <f t="shared" si="1"/>
        <v>956151.66798160004</v>
      </c>
      <c r="L28" s="152">
        <f t="shared" si="2"/>
        <v>956151.66798160004</v>
      </c>
      <c r="M28" s="152">
        <f t="shared" si="3"/>
        <v>0</v>
      </c>
      <c r="N28" s="148"/>
      <c r="O28" s="95"/>
      <c r="P28" s="95"/>
      <c r="Q28" s="95"/>
      <c r="R28" s="95"/>
      <c r="S28" s="95"/>
      <c r="T28" s="95"/>
      <c r="U28" s="95"/>
    </row>
    <row r="29" spans="1:21" ht="14.25">
      <c r="A29" s="100">
        <v>23</v>
      </c>
      <c r="B29" s="161" t="s">
        <v>168</v>
      </c>
      <c r="C29" s="95" t="s">
        <v>123</v>
      </c>
      <c r="D29" s="154">
        <v>119872551.19895954</v>
      </c>
      <c r="E29" s="148">
        <f t="shared" si="0"/>
        <v>5.7312561003664948</v>
      </c>
      <c r="F29" s="149" t="s">
        <v>148</v>
      </c>
      <c r="G29" s="149"/>
      <c r="H29" s="156">
        <f>E29*$D$38/H9</f>
        <v>122010169.36625636</v>
      </c>
      <c r="I29" s="156"/>
      <c r="J29" s="151"/>
      <c r="K29" s="152">
        <f t="shared" si="1"/>
        <v>119872551.19895954</v>
      </c>
      <c r="L29" s="152">
        <f t="shared" si="2"/>
        <v>119872551.19895954</v>
      </c>
      <c r="M29" s="152">
        <f t="shared" si="3"/>
        <v>0</v>
      </c>
      <c r="N29" s="148"/>
      <c r="O29" s="95"/>
      <c r="P29" s="95"/>
      <c r="Q29" s="95"/>
      <c r="R29" s="95"/>
      <c r="S29" s="95"/>
      <c r="T29" s="95"/>
      <c r="U29" s="95"/>
    </row>
    <row r="30" spans="1:21" ht="14.25">
      <c r="A30" s="100">
        <v>24</v>
      </c>
      <c r="B30" s="105" t="s">
        <v>169</v>
      </c>
      <c r="C30" s="147"/>
      <c r="D30" s="154">
        <v>4136829.5334999994</v>
      </c>
      <c r="E30" s="148">
        <f t="shared" si="0"/>
        <v>0.1977869767758304</v>
      </c>
      <c r="F30" s="149" t="s">
        <v>148</v>
      </c>
      <c r="G30" s="149"/>
      <c r="H30" s="156">
        <f>E30*$D$38</f>
        <v>4136829.5334999994</v>
      </c>
      <c r="I30" s="156">
        <f>SUM(H17:H30)/12</f>
        <v>22941874.742576495</v>
      </c>
      <c r="J30" s="151"/>
      <c r="K30" s="152">
        <f t="shared" si="1"/>
        <v>4136829.5334999994</v>
      </c>
      <c r="L30" s="152">
        <f t="shared" si="2"/>
        <v>4136829.5334999994</v>
      </c>
      <c r="M30" s="152">
        <f t="shared" si="3"/>
        <v>0</v>
      </c>
      <c r="N30" s="148"/>
      <c r="O30" s="95"/>
      <c r="P30" s="95"/>
      <c r="Q30" s="95"/>
      <c r="R30" s="95"/>
      <c r="S30" s="95"/>
      <c r="T30" s="95"/>
      <c r="U30" s="95"/>
    </row>
    <row r="31" spans="1:21" ht="14.25">
      <c r="A31" s="100">
        <v>25</v>
      </c>
      <c r="B31" s="105" t="s">
        <v>170</v>
      </c>
      <c r="C31" s="95"/>
      <c r="D31" s="154">
        <v>29072398.714094274</v>
      </c>
      <c r="E31" s="148">
        <f t="shared" si="0"/>
        <v>1.3899876228202446</v>
      </c>
      <c r="F31" s="149"/>
      <c r="G31" s="149" t="s">
        <v>146</v>
      </c>
      <c r="H31" s="156"/>
      <c r="I31" s="156"/>
      <c r="J31" s="151"/>
      <c r="K31" s="152">
        <f t="shared" si="1"/>
        <v>29072398.714094274</v>
      </c>
      <c r="L31" s="152">
        <f t="shared" si="2"/>
        <v>0</v>
      </c>
      <c r="M31" s="152">
        <f t="shared" si="3"/>
        <v>29072398.714094274</v>
      </c>
      <c r="N31" s="148"/>
      <c r="O31" s="95"/>
      <c r="P31" s="95"/>
      <c r="Q31" s="95"/>
      <c r="R31" s="95"/>
      <c r="S31" s="95"/>
      <c r="T31" s="95"/>
      <c r="U31" s="95"/>
    </row>
    <row r="32" spans="1:21" ht="14.25">
      <c r="A32" s="100">
        <v>26</v>
      </c>
      <c r="B32" s="95" t="s">
        <v>171</v>
      </c>
      <c r="C32" s="147" t="s">
        <v>123</v>
      </c>
      <c r="D32" s="154">
        <v>0</v>
      </c>
      <c r="E32" s="148">
        <f t="shared" si="0"/>
        <v>0</v>
      </c>
      <c r="F32" s="162" t="s">
        <v>148</v>
      </c>
      <c r="G32" s="162"/>
      <c r="H32" s="156">
        <f>E32*$D$38/H9</f>
        <v>0</v>
      </c>
      <c r="I32" s="156"/>
      <c r="J32" s="151"/>
      <c r="K32" s="152">
        <f t="shared" si="1"/>
        <v>0</v>
      </c>
      <c r="L32" s="152">
        <f t="shared" si="2"/>
        <v>0</v>
      </c>
      <c r="M32" s="152">
        <f t="shared" si="3"/>
        <v>0</v>
      </c>
      <c r="N32" s="148"/>
      <c r="O32" s="98"/>
      <c r="P32" s="98"/>
      <c r="Q32" s="98"/>
      <c r="R32" s="98"/>
      <c r="S32" s="98"/>
      <c r="T32" s="98"/>
      <c r="U32" s="98"/>
    </row>
    <row r="33" spans="1:21" ht="14.25">
      <c r="A33" s="100">
        <v>27</v>
      </c>
      <c r="B33" s="95" t="s">
        <v>172</v>
      </c>
      <c r="C33" s="100"/>
      <c r="D33" s="154">
        <v>0</v>
      </c>
      <c r="E33" s="148">
        <f t="shared" si="0"/>
        <v>0</v>
      </c>
      <c r="F33" s="162" t="s">
        <v>148</v>
      </c>
      <c r="G33" s="162"/>
      <c r="H33" s="163">
        <f>E33*$D$38</f>
        <v>0</v>
      </c>
      <c r="I33" s="163"/>
      <c r="J33" s="151"/>
      <c r="K33" s="152">
        <f t="shared" si="1"/>
        <v>0</v>
      </c>
      <c r="L33" s="152">
        <f t="shared" si="2"/>
        <v>0</v>
      </c>
      <c r="M33" s="152">
        <f t="shared" si="3"/>
        <v>0</v>
      </c>
      <c r="N33" s="143"/>
      <c r="O33" s="143"/>
      <c r="P33" s="143"/>
      <c r="Q33" s="143"/>
      <c r="R33" s="143"/>
      <c r="S33" s="143"/>
      <c r="T33" s="143"/>
      <c r="U33" s="143"/>
    </row>
    <row r="34" spans="1:21" ht="15" thickBot="1">
      <c r="A34" s="100">
        <v>28</v>
      </c>
      <c r="B34" s="95" t="s">
        <v>173</v>
      </c>
      <c r="C34" s="100"/>
      <c r="D34" s="154">
        <v>785408.52000334393</v>
      </c>
      <c r="E34" s="148">
        <f t="shared" si="0"/>
        <v>3.7551360395073126E-2</v>
      </c>
      <c r="F34" s="149"/>
      <c r="G34" s="149" t="s">
        <v>146</v>
      </c>
      <c r="H34" s="156"/>
      <c r="I34" s="156"/>
      <c r="J34" s="151"/>
      <c r="K34" s="152">
        <f>D34</f>
        <v>785408.52000334393</v>
      </c>
      <c r="L34" s="152">
        <f t="shared" si="2"/>
        <v>0</v>
      </c>
      <c r="M34" s="152">
        <f t="shared" si="3"/>
        <v>785408.52000334393</v>
      </c>
      <c r="N34" s="143"/>
      <c r="O34" s="143"/>
      <c r="P34" s="143"/>
      <c r="Q34" s="143"/>
      <c r="R34" s="143"/>
      <c r="S34" s="143"/>
      <c r="T34" s="143"/>
      <c r="U34" s="143"/>
    </row>
    <row r="35" spans="1:21" ht="21.95" customHeight="1" thickBot="1">
      <c r="A35" s="164">
        <v>29</v>
      </c>
      <c r="B35" s="165" t="s">
        <v>174</v>
      </c>
      <c r="C35" s="166"/>
      <c r="D35" s="167">
        <f>SUM(D12:D34)</f>
        <v>1270318406.8210254</v>
      </c>
      <c r="E35" s="168">
        <f>SUM(E12:E34)</f>
        <v>60.735506549926846</v>
      </c>
      <c r="F35" s="169" t="s">
        <v>175</v>
      </c>
      <c r="G35" s="170"/>
      <c r="H35" s="171">
        <f>SUM(H12:H34)</f>
        <v>526794294.02401137</v>
      </c>
      <c r="I35" s="171">
        <f>H35/12</f>
        <v>43899524.50200095</v>
      </c>
      <c r="J35" s="151"/>
      <c r="K35" s="172">
        <f>SUM(K12:K34)</f>
        <v>1270318406.8210254</v>
      </c>
      <c r="L35" s="172">
        <f>SUM(L12:L34)</f>
        <v>517802799.62779266</v>
      </c>
      <c r="M35" s="172">
        <f>SUM(M12:M34)</f>
        <v>752515607.19323301</v>
      </c>
      <c r="N35" s="143"/>
      <c r="O35" s="143"/>
      <c r="P35" s="143"/>
      <c r="Q35" s="143"/>
      <c r="R35" s="143"/>
      <c r="S35" s="143"/>
      <c r="T35" s="143"/>
      <c r="U35" s="143"/>
    </row>
    <row r="36" spans="1:21">
      <c r="A36" s="100">
        <v>30</v>
      </c>
      <c r="B36" s="95" t="s">
        <v>176</v>
      </c>
      <c r="C36" s="95"/>
      <c r="D36" s="173">
        <v>0.95499400000000001</v>
      </c>
      <c r="E36" s="174"/>
      <c r="F36" s="95"/>
      <c r="G36" s="95"/>
      <c r="H36" s="116"/>
      <c r="I36" s="175"/>
      <c r="J36" s="176">
        <f>L36+M36</f>
        <v>60.735506549926853</v>
      </c>
      <c r="K36" s="176">
        <f>K35/$D$38</f>
        <v>60.735506549926839</v>
      </c>
      <c r="L36" s="176">
        <f>L35/$D$38</f>
        <v>24.75679731907962</v>
      </c>
      <c r="M36" s="176">
        <f>M35/$D$38</f>
        <v>35.978709230847237</v>
      </c>
      <c r="N36" s="143"/>
      <c r="O36" s="143"/>
      <c r="P36" s="143"/>
      <c r="Q36" s="143"/>
      <c r="R36" s="143"/>
      <c r="S36" s="143"/>
      <c r="T36" s="143"/>
      <c r="U36" s="143"/>
    </row>
    <row r="37" spans="1:21">
      <c r="A37" s="100">
        <v>21</v>
      </c>
      <c r="B37" s="95"/>
      <c r="C37" s="95"/>
      <c r="D37" s="155">
        <f>D35/D36</f>
        <v>1330184699.4023263</v>
      </c>
      <c r="E37" s="116"/>
      <c r="F37" s="95"/>
      <c r="G37" s="95"/>
      <c r="H37" s="177"/>
      <c r="I37" s="113"/>
      <c r="J37" s="178"/>
      <c r="K37" s="178">
        <f>D43-K36</f>
        <v>0</v>
      </c>
      <c r="L37" s="178">
        <f>D44-L36</f>
        <v>0</v>
      </c>
      <c r="M37" s="178">
        <f>D46-M36</f>
        <v>0</v>
      </c>
      <c r="N37" s="114"/>
      <c r="O37" s="143"/>
      <c r="P37" s="143"/>
      <c r="Q37" s="143"/>
      <c r="R37" s="143"/>
      <c r="S37" s="143"/>
      <c r="T37" s="143"/>
      <c r="U37" s="143"/>
    </row>
    <row r="38" spans="1:21" ht="14.25">
      <c r="A38" s="100">
        <v>32</v>
      </c>
      <c r="B38" s="95" t="s">
        <v>177</v>
      </c>
      <c r="C38" s="95"/>
      <c r="D38" s="177">
        <v>20915581</v>
      </c>
      <c r="E38" s="177" t="s">
        <v>178</v>
      </c>
      <c r="F38" s="95"/>
      <c r="G38" s="95"/>
      <c r="H38" s="116"/>
      <c r="I38" s="179"/>
      <c r="J38" s="180"/>
      <c r="K38" s="181">
        <f>D36</f>
        <v>0.95499400000000001</v>
      </c>
      <c r="L38" s="181">
        <f>K38</f>
        <v>0.95499400000000001</v>
      </c>
      <c r="M38" s="181">
        <f>L38</f>
        <v>0.95499400000000001</v>
      </c>
      <c r="N38" s="143"/>
      <c r="O38" s="143"/>
      <c r="P38" s="143"/>
      <c r="Q38" s="143"/>
      <c r="R38" s="143"/>
      <c r="S38" s="143"/>
      <c r="T38" s="143"/>
      <c r="U38" s="143"/>
    </row>
    <row r="39" spans="1:21" ht="15" thickBot="1">
      <c r="A39" s="100">
        <v>33</v>
      </c>
      <c r="B39" s="182"/>
      <c r="C39" s="95"/>
      <c r="D39" s="177"/>
      <c r="E39" s="177"/>
      <c r="F39" s="95"/>
      <c r="G39" s="95"/>
      <c r="H39" s="116"/>
      <c r="I39" s="98"/>
      <c r="J39" s="180"/>
      <c r="K39" s="183">
        <f>K35/K38</f>
        <v>1330184699.4023263</v>
      </c>
      <c r="L39" s="183">
        <f>L35/L38</f>
        <v>542205290.95239615</v>
      </c>
      <c r="M39" s="183">
        <f>M35/M38</f>
        <v>787979408.44993055</v>
      </c>
      <c r="N39" s="143"/>
      <c r="O39" s="143"/>
      <c r="P39" s="143"/>
      <c r="Q39" s="143"/>
      <c r="R39" s="143"/>
      <c r="S39" s="143"/>
      <c r="T39" s="143"/>
      <c r="U39" s="143"/>
    </row>
    <row r="40" spans="1:21" ht="15" thickBot="1">
      <c r="A40" s="100">
        <v>34</v>
      </c>
      <c r="B40" s="95"/>
      <c r="C40" s="95"/>
      <c r="D40" s="184" t="s">
        <v>179</v>
      </c>
      <c r="E40" s="185" t="s">
        <v>180</v>
      </c>
      <c r="G40" s="95"/>
      <c r="H40" s="184"/>
      <c r="I40" s="185"/>
      <c r="J40" s="186">
        <f>M40+L40</f>
        <v>63.597788624773401</v>
      </c>
      <c r="K40" s="187">
        <f>K39/$D$38</f>
        <v>63.597788624773386</v>
      </c>
      <c r="L40" s="187">
        <f>L39/$D$38</f>
        <v>25.923510848319065</v>
      </c>
      <c r="M40" s="187">
        <f>M39/$D$38</f>
        <v>37.674277776454339</v>
      </c>
      <c r="N40" s="188"/>
      <c r="O40" s="189"/>
      <c r="P40" s="189"/>
      <c r="Q40" s="189"/>
      <c r="R40" s="189"/>
      <c r="S40" s="189"/>
      <c r="T40" s="189"/>
      <c r="U40" s="189"/>
    </row>
    <row r="41" spans="1:21">
      <c r="A41" s="100">
        <v>35</v>
      </c>
      <c r="B41" s="95"/>
      <c r="C41" s="95"/>
      <c r="D41" s="190" t="s">
        <v>181</v>
      </c>
      <c r="E41" s="191" t="s">
        <v>181</v>
      </c>
      <c r="G41" s="95"/>
      <c r="H41" s="190"/>
      <c r="I41" s="191"/>
      <c r="J41" s="178"/>
      <c r="K41" s="178">
        <f>K40-E43</f>
        <v>0</v>
      </c>
      <c r="L41" s="178">
        <f>L40-E44</f>
        <v>0</v>
      </c>
      <c r="M41" s="178">
        <f>M40-E46</f>
        <v>0</v>
      </c>
      <c r="N41" s="192"/>
      <c r="O41" s="193"/>
      <c r="P41" s="193"/>
      <c r="Q41" s="193"/>
      <c r="R41" s="193"/>
      <c r="S41" s="193"/>
      <c r="T41" s="193"/>
      <c r="U41" s="193"/>
    </row>
    <row r="42" spans="1:21">
      <c r="A42" s="100">
        <v>36</v>
      </c>
      <c r="B42" s="105" t="s">
        <v>182</v>
      </c>
      <c r="C42" s="95"/>
      <c r="D42" s="803" t="s">
        <v>183</v>
      </c>
      <c r="E42" s="804"/>
      <c r="G42" s="95"/>
      <c r="H42" s="194"/>
      <c r="I42" s="100"/>
      <c r="J42" s="95"/>
      <c r="K42" s="95"/>
      <c r="L42" s="95"/>
      <c r="M42" s="95"/>
      <c r="N42" s="805"/>
      <c r="O42" s="805"/>
      <c r="P42" s="195"/>
      <c r="Q42" s="196"/>
      <c r="R42" s="197"/>
      <c r="S42" s="149"/>
      <c r="T42" s="195"/>
    </row>
    <row r="43" spans="1:21">
      <c r="A43" s="100">
        <v>37</v>
      </c>
      <c r="B43" s="95" t="s">
        <v>184</v>
      </c>
      <c r="C43" s="95"/>
      <c r="D43" s="148">
        <f>E35</f>
        <v>60.735506549926846</v>
      </c>
      <c r="E43" s="198">
        <f>+E35/$D$36</f>
        <v>63.597788624773401</v>
      </c>
      <c r="G43" s="95"/>
      <c r="H43" s="199"/>
      <c r="I43" s="200"/>
      <c r="J43" s="95"/>
      <c r="K43" s="95"/>
      <c r="L43" s="95"/>
      <c r="M43" s="95"/>
      <c r="N43" s="201"/>
      <c r="O43" s="201"/>
      <c r="P43" s="201"/>
      <c r="Q43" s="201"/>
      <c r="R43" s="201"/>
      <c r="S43" s="201"/>
      <c r="T43" s="201"/>
      <c r="U43" s="201"/>
    </row>
    <row r="44" spans="1:21">
      <c r="A44" s="100">
        <v>38</v>
      </c>
      <c r="B44" s="95" t="s">
        <v>185</v>
      </c>
      <c r="C44" s="95" t="str">
        <f>IF(ROUND((D44+D46),3)=ROUND(D45,3),"",(D44+D46)-D45)</f>
        <v/>
      </c>
      <c r="D44" s="148">
        <f>SUMIF($F$7:$F$34,"(a)",E7:E34)</f>
        <v>24.75679731907962</v>
      </c>
      <c r="E44" s="198">
        <f>D44/$D$36</f>
        <v>25.923510848319069</v>
      </c>
      <c r="G44" s="95"/>
      <c r="H44" s="199"/>
      <c r="I44" s="200"/>
      <c r="J44" s="95"/>
      <c r="K44" s="95"/>
      <c r="L44" s="95"/>
      <c r="M44" s="95"/>
      <c r="N44" s="201"/>
      <c r="O44" s="201"/>
      <c r="P44" s="201"/>
      <c r="Q44" s="201"/>
      <c r="R44" s="201"/>
      <c r="S44" s="201"/>
      <c r="T44" s="201"/>
      <c r="U44" s="201"/>
    </row>
    <row r="45" spans="1:21">
      <c r="A45" s="100">
        <v>39</v>
      </c>
      <c r="B45" s="95" t="s">
        <v>186</v>
      </c>
      <c r="C45" s="95"/>
      <c r="D45" s="148">
        <f>E35</f>
        <v>60.735506549926846</v>
      </c>
      <c r="E45" s="198">
        <f>D45/$D$36</f>
        <v>63.597788624773401</v>
      </c>
      <c r="G45" s="95"/>
      <c r="H45" s="199"/>
      <c r="I45" s="200"/>
      <c r="J45" s="95"/>
      <c r="K45" s="95"/>
      <c r="L45" s="95"/>
      <c r="M45" s="95"/>
      <c r="N45" s="201"/>
      <c r="O45" s="201"/>
      <c r="P45" s="201"/>
      <c r="Q45" s="201"/>
      <c r="R45" s="201"/>
      <c r="S45" s="201"/>
      <c r="T45" s="201"/>
      <c r="U45" s="201"/>
    </row>
    <row r="46" spans="1:21">
      <c r="A46" s="100">
        <v>40</v>
      </c>
      <c r="B46" s="202" t="s">
        <v>187</v>
      </c>
      <c r="C46" s="202"/>
      <c r="D46" s="148">
        <f>SUMIF($G$7:$G$34,"(c)",E7:E34)</f>
        <v>35.97870923084723</v>
      </c>
      <c r="E46" s="198">
        <f>D46/$D$36</f>
        <v>37.674277776454332</v>
      </c>
      <c r="G46" s="95"/>
      <c r="H46" s="199"/>
      <c r="I46" s="200"/>
      <c r="N46" s="201"/>
      <c r="O46" s="201"/>
      <c r="P46" s="201"/>
      <c r="Q46" s="201"/>
      <c r="R46" s="201"/>
      <c r="S46" s="201"/>
      <c r="T46" s="201"/>
      <c r="U46" s="201"/>
    </row>
    <row r="47" spans="1:21" ht="12.75" customHeight="1">
      <c r="A47" s="100">
        <v>41</v>
      </c>
      <c r="B47" s="95"/>
      <c r="C47" s="95"/>
      <c r="D47" s="95"/>
      <c r="E47" s="95"/>
      <c r="F47" s="95"/>
      <c r="G47" s="95"/>
      <c r="H47" s="116"/>
      <c r="I47" s="98"/>
      <c r="N47" s="203"/>
      <c r="O47" s="203"/>
      <c r="P47" s="203"/>
      <c r="Q47" s="203"/>
      <c r="R47" s="203"/>
      <c r="S47" s="203"/>
      <c r="T47" s="203"/>
      <c r="U47" s="203"/>
    </row>
    <row r="48" spans="1:21">
      <c r="A48" s="100">
        <v>42</v>
      </c>
      <c r="B48" s="204" t="s">
        <v>188</v>
      </c>
      <c r="C48" s="95"/>
      <c r="D48" s="205"/>
      <c r="E48" s="95"/>
      <c r="F48" s="95"/>
      <c r="G48" s="95"/>
      <c r="H48" s="206" t="s">
        <v>123</v>
      </c>
      <c r="I48" s="98"/>
      <c r="N48" s="203"/>
      <c r="O48" s="203"/>
      <c r="P48" s="203"/>
      <c r="Q48" s="203"/>
      <c r="R48" s="203"/>
      <c r="S48" s="203"/>
      <c r="T48" s="203"/>
      <c r="U48" s="203"/>
    </row>
    <row r="49" spans="1:21">
      <c r="A49" s="100"/>
      <c r="B49" s="100"/>
      <c r="C49" s="202"/>
      <c r="D49" s="207"/>
      <c r="E49" s="208"/>
      <c r="F49" s="95"/>
      <c r="G49" s="95"/>
      <c r="H49" s="206"/>
      <c r="I49" s="98"/>
      <c r="N49" s="203"/>
      <c r="O49" s="203"/>
      <c r="P49" s="203"/>
      <c r="Q49" s="203"/>
      <c r="R49" s="203"/>
      <c r="S49" s="203"/>
      <c r="T49" s="203"/>
      <c r="U49" s="203"/>
    </row>
    <row r="50" spans="1:21">
      <c r="B50" s="182" t="s">
        <v>123</v>
      </c>
      <c r="C50" s="95"/>
      <c r="D50" s="95"/>
      <c r="E50" s="208"/>
      <c r="F50" s="95"/>
      <c r="G50" s="95"/>
      <c r="H50" s="116"/>
      <c r="I50" s="98"/>
      <c r="N50" s="203"/>
      <c r="O50" s="203"/>
      <c r="P50" s="203"/>
      <c r="Q50" s="203"/>
      <c r="R50" s="203"/>
      <c r="S50" s="203"/>
      <c r="T50" s="203"/>
      <c r="U50" s="203"/>
    </row>
    <row r="51" spans="1:21" ht="13.5" thickBot="1">
      <c r="A51" s="209"/>
      <c r="B51" s="210"/>
      <c r="C51" s="211"/>
      <c r="D51" s="211"/>
      <c r="E51" s="211"/>
      <c r="F51" s="211"/>
      <c r="G51" s="98"/>
      <c r="H51" s="116"/>
      <c r="I51" s="98"/>
    </row>
    <row r="52" spans="1:21">
      <c r="A52" s="209"/>
      <c r="B52" s="212" t="s">
        <v>189</v>
      </c>
      <c r="C52" s="213"/>
      <c r="D52" s="213"/>
      <c r="E52" s="214">
        <v>1.751999999999998E-2</v>
      </c>
      <c r="F52" s="215"/>
      <c r="G52" s="215"/>
      <c r="H52" s="216" t="s">
        <v>1</v>
      </c>
      <c r="I52" s="98"/>
      <c r="J52" s="217" t="s">
        <v>190</v>
      </c>
    </row>
    <row r="53" spans="1:21">
      <c r="A53" s="209"/>
      <c r="B53" s="218" t="s">
        <v>191</v>
      </c>
      <c r="C53" s="219"/>
      <c r="D53" s="220">
        <v>3526620</v>
      </c>
      <c r="E53" s="221">
        <f t="shared" ref="E53:E59" si="4">-D53*$E$52</f>
        <v>-61786.382399999929</v>
      </c>
      <c r="F53" s="203"/>
      <c r="G53" s="203"/>
      <c r="H53" s="222">
        <f t="shared" ref="H53:H59" si="5">SUM(D53:E53)</f>
        <v>3464833.6176</v>
      </c>
      <c r="I53" s="98"/>
      <c r="J53" s="223">
        <v>555</v>
      </c>
    </row>
    <row r="54" spans="1:21">
      <c r="A54" s="209"/>
      <c r="B54" s="224" t="s">
        <v>192</v>
      </c>
      <c r="C54" s="225"/>
      <c r="D54" s="226">
        <v>-392169.66666666669</v>
      </c>
      <c r="E54" s="227">
        <f t="shared" si="4"/>
        <v>6870.8125599999921</v>
      </c>
      <c r="F54" s="203"/>
      <c r="G54" s="203"/>
      <c r="H54" s="222">
        <f t="shared" si="5"/>
        <v>-385298.85410666669</v>
      </c>
      <c r="I54" s="98"/>
      <c r="J54" s="223">
        <v>547</v>
      </c>
    </row>
    <row r="55" spans="1:21">
      <c r="A55" s="209"/>
      <c r="B55" s="224" t="s">
        <v>193</v>
      </c>
      <c r="C55" s="225"/>
      <c r="D55" s="226">
        <v>-537626.2135922329</v>
      </c>
      <c r="E55" s="227">
        <f t="shared" si="4"/>
        <v>9419.2112621359101</v>
      </c>
      <c r="F55" s="203"/>
      <c r="G55" s="203"/>
      <c r="H55" s="222">
        <f t="shared" si="5"/>
        <v>-528207.00233009702</v>
      </c>
      <c r="I55" s="98"/>
      <c r="J55" s="223">
        <v>547</v>
      </c>
    </row>
    <row r="56" spans="1:21">
      <c r="A56" s="209"/>
      <c r="B56" s="224" t="s">
        <v>194</v>
      </c>
      <c r="C56" s="225"/>
      <c r="D56" s="226">
        <v>7088065.5599999996</v>
      </c>
      <c r="E56" s="227">
        <f t="shared" si="4"/>
        <v>-124182.90861119985</v>
      </c>
      <c r="F56" s="203"/>
      <c r="G56" s="203"/>
      <c r="H56" s="222">
        <f t="shared" si="5"/>
        <v>6963882.6513887998</v>
      </c>
      <c r="I56" s="98"/>
      <c r="J56" s="223">
        <v>555</v>
      </c>
    </row>
    <row r="57" spans="1:21">
      <c r="A57" s="209"/>
      <c r="B57" s="224" t="s">
        <v>195</v>
      </c>
      <c r="C57" s="225"/>
      <c r="D57" s="226">
        <v>500000.00000000006</v>
      </c>
      <c r="E57" s="227">
        <f t="shared" si="4"/>
        <v>-8759.9999999999909</v>
      </c>
      <c r="F57" s="203"/>
      <c r="G57" s="203"/>
      <c r="H57" s="222">
        <f t="shared" si="5"/>
        <v>491240.00000000006</v>
      </c>
      <c r="I57" s="98"/>
      <c r="J57" s="223">
        <v>501</v>
      </c>
    </row>
    <row r="58" spans="1:21">
      <c r="A58" s="209"/>
      <c r="B58" s="224" t="s">
        <v>196</v>
      </c>
      <c r="C58" s="225"/>
      <c r="D58" s="226">
        <v>3012678.5730219488</v>
      </c>
      <c r="E58" s="227">
        <f t="shared" si="4"/>
        <v>-52782.128599344484</v>
      </c>
      <c r="F58" s="203"/>
      <c r="G58" s="203"/>
      <c r="H58" s="222">
        <f t="shared" si="5"/>
        <v>2959896.4444226045</v>
      </c>
      <c r="I58" s="98"/>
      <c r="J58" s="223">
        <v>565</v>
      </c>
    </row>
    <row r="59" spans="1:21">
      <c r="A59" s="209"/>
      <c r="B59" s="224" t="s">
        <v>197</v>
      </c>
      <c r="C59" s="225"/>
      <c r="D59" s="226">
        <v>0</v>
      </c>
      <c r="E59" s="227">
        <f t="shared" si="4"/>
        <v>0</v>
      </c>
      <c r="F59" s="203"/>
      <c r="G59" s="203"/>
      <c r="H59" s="222">
        <f t="shared" si="5"/>
        <v>0</v>
      </c>
      <c r="I59" s="98"/>
      <c r="J59" s="223" t="s">
        <v>198</v>
      </c>
    </row>
    <row r="60" spans="1:21" ht="13.5" thickBot="1">
      <c r="A60" s="203"/>
      <c r="B60" s="224" t="s">
        <v>199</v>
      </c>
      <c r="C60" s="228"/>
      <c r="D60" s="229">
        <f>SUM(D53:D59)</f>
        <v>13197568.252763048</v>
      </c>
      <c r="E60" s="229">
        <f t="shared" ref="E60" si="6">SUM(E53:E59)</f>
        <v>-231221.39578840838</v>
      </c>
      <c r="F60" s="203"/>
      <c r="G60" s="203"/>
      <c r="H60" s="230">
        <f>SUM(H53:H59)</f>
        <v>12966346.856974641</v>
      </c>
      <c r="J60" s="231"/>
    </row>
    <row r="61" spans="1:21" ht="14.25" thickTop="1" thickBot="1">
      <c r="A61" s="203"/>
      <c r="B61" s="232"/>
      <c r="C61" s="233"/>
      <c r="D61" s="234"/>
      <c r="E61" s="235"/>
      <c r="F61" s="236"/>
      <c r="G61" s="236"/>
      <c r="H61" s="237"/>
      <c r="J61" s="231"/>
    </row>
    <row r="62" spans="1:21" ht="13.5" thickBot="1">
      <c r="A62" s="203"/>
      <c r="B62" s="238"/>
      <c r="C62" s="228"/>
      <c r="D62" s="239"/>
      <c r="E62" s="240"/>
      <c r="H62" s="228"/>
    </row>
    <row r="63" spans="1:21">
      <c r="A63" s="203"/>
      <c r="B63" s="212" t="s">
        <v>200</v>
      </c>
      <c r="C63" s="241"/>
      <c r="D63" s="242"/>
      <c r="E63" s="214">
        <f>E52</f>
        <v>1.751999999999998E-2</v>
      </c>
      <c r="F63" s="215"/>
      <c r="G63" s="215"/>
      <c r="H63" s="216" t="s">
        <v>1</v>
      </c>
    </row>
    <row r="64" spans="1:21">
      <c r="A64" s="203"/>
      <c r="B64" s="224" t="s">
        <v>201</v>
      </c>
      <c r="C64" s="243"/>
      <c r="D64" s="226">
        <v>4135549.0943046999</v>
      </c>
      <c r="E64" s="221">
        <f t="shared" ref="E64:E73" si="7">-D64*$E$52</f>
        <v>-72454.820132218258</v>
      </c>
      <c r="F64" s="203"/>
      <c r="G64" s="203"/>
      <c r="H64" s="244">
        <f t="shared" ref="H64:H73" si="8">SUM(D64:E64)</f>
        <v>4063094.2741724816</v>
      </c>
    </row>
    <row r="65" spans="1:9">
      <c r="A65" s="203"/>
      <c r="B65" s="224" t="s">
        <v>202</v>
      </c>
      <c r="C65" s="243"/>
      <c r="D65" s="226">
        <v>1920143.4342256624</v>
      </c>
      <c r="E65" s="227">
        <f t="shared" si="7"/>
        <v>-33640.912967633565</v>
      </c>
      <c r="F65" s="203"/>
      <c r="G65" s="203"/>
      <c r="H65" s="244">
        <f t="shared" si="8"/>
        <v>1886502.5212580289</v>
      </c>
    </row>
    <row r="66" spans="1:9">
      <c r="A66" s="203"/>
      <c r="B66" s="224" t="s">
        <v>203</v>
      </c>
      <c r="C66" s="243"/>
      <c r="D66" s="245">
        <v>529498.01812145242</v>
      </c>
      <c r="E66" s="227">
        <f t="shared" si="7"/>
        <v>-9276.8052774878361</v>
      </c>
      <c r="F66" s="203"/>
      <c r="G66" s="203"/>
      <c r="H66" s="244">
        <f t="shared" si="8"/>
        <v>520221.21284396457</v>
      </c>
    </row>
    <row r="67" spans="1:9">
      <c r="A67" s="203"/>
      <c r="B67" s="224" t="s">
        <v>204</v>
      </c>
      <c r="C67" s="243"/>
      <c r="D67" s="245">
        <v>0</v>
      </c>
      <c r="E67" s="227">
        <f t="shared" si="7"/>
        <v>0</v>
      </c>
      <c r="F67" s="203"/>
      <c r="G67" s="203"/>
      <c r="H67" s="244">
        <f t="shared" si="8"/>
        <v>0</v>
      </c>
    </row>
    <row r="68" spans="1:9">
      <c r="A68" s="203"/>
      <c r="B68" s="224" t="s">
        <v>205</v>
      </c>
      <c r="C68" s="243"/>
      <c r="D68" s="245">
        <v>1494701.7220710181</v>
      </c>
      <c r="E68" s="227">
        <f t="shared" si="7"/>
        <v>-26187.174170684208</v>
      </c>
      <c r="F68" s="203"/>
      <c r="G68" s="203"/>
      <c r="H68" s="244">
        <f t="shared" si="8"/>
        <v>1468514.5479003338</v>
      </c>
    </row>
    <row r="69" spans="1:9">
      <c r="A69" s="203"/>
      <c r="B69" s="246" t="s">
        <v>206</v>
      </c>
      <c r="C69" s="243"/>
      <c r="D69" s="245">
        <v>2885052</v>
      </c>
      <c r="E69" s="227">
        <f t="shared" si="7"/>
        <v>-50546.111039999945</v>
      </c>
      <c r="F69" s="203"/>
      <c r="G69" s="203"/>
      <c r="H69" s="244">
        <f t="shared" si="8"/>
        <v>2834505.8889600001</v>
      </c>
    </row>
    <row r="70" spans="1:9">
      <c r="A70" s="203"/>
      <c r="B70" s="246" t="s">
        <v>207</v>
      </c>
      <c r="C70" s="243"/>
      <c r="D70" s="245">
        <v>4499634.7067272756</v>
      </c>
      <c r="E70" s="227">
        <f t="shared" si="7"/>
        <v>-78833.600061861784</v>
      </c>
      <c r="F70" s="203"/>
      <c r="G70" s="203"/>
      <c r="H70" s="222">
        <f t="shared" si="8"/>
        <v>4420801.1066654138</v>
      </c>
    </row>
    <row r="71" spans="1:9">
      <c r="A71" s="203"/>
      <c r="B71" s="246" t="s">
        <v>208</v>
      </c>
      <c r="C71" s="243"/>
      <c r="D71" s="245">
        <v>241268.10200000007</v>
      </c>
      <c r="E71" s="227">
        <f t="shared" si="7"/>
        <v>-4227.0171470399964</v>
      </c>
      <c r="F71" s="203"/>
      <c r="G71" s="203"/>
      <c r="H71" s="222">
        <f t="shared" si="8"/>
        <v>237041.08485296008</v>
      </c>
    </row>
    <row r="72" spans="1:9">
      <c r="A72" s="203"/>
      <c r="B72" s="246" t="s">
        <v>209</v>
      </c>
      <c r="C72" s="243"/>
      <c r="D72" s="247">
        <v>687414.76783907891</v>
      </c>
      <c r="E72" s="248">
        <f t="shared" si="7"/>
        <v>-12043.506732540649</v>
      </c>
      <c r="F72" s="203"/>
      <c r="G72" s="203"/>
      <c r="H72" s="249">
        <f t="shared" si="8"/>
        <v>675371.26110653824</v>
      </c>
    </row>
    <row r="73" spans="1:9">
      <c r="A73" s="203"/>
      <c r="B73" s="224" t="s">
        <v>210</v>
      </c>
      <c r="C73" s="243"/>
      <c r="D73" s="226">
        <f>SUM(D64:D72)</f>
        <v>16393261.845289188</v>
      </c>
      <c r="E73" s="227">
        <f t="shared" si="7"/>
        <v>-287209.94752946624</v>
      </c>
      <c r="F73" s="203"/>
      <c r="G73" s="203"/>
      <c r="H73" s="222">
        <f t="shared" si="8"/>
        <v>16106051.897759721</v>
      </c>
    </row>
    <row r="74" spans="1:9" ht="13.5" thickBot="1">
      <c r="A74" s="203"/>
      <c r="B74" s="250"/>
      <c r="C74" s="243"/>
      <c r="D74" s="243"/>
      <c r="E74" s="243"/>
      <c r="F74" s="203"/>
      <c r="G74" s="203"/>
      <c r="H74" s="251"/>
    </row>
    <row r="75" spans="1:9" ht="13.5" thickBot="1">
      <c r="A75" s="203"/>
      <c r="B75" s="252" t="s">
        <v>211</v>
      </c>
      <c r="C75" s="253"/>
      <c r="D75" s="253"/>
      <c r="E75" s="253"/>
      <c r="F75" s="236"/>
      <c r="G75" s="236"/>
      <c r="H75" s="254">
        <f>H60+H73</f>
        <v>29072398.75473436</v>
      </c>
      <c r="I75" s="255" t="s">
        <v>212</v>
      </c>
    </row>
    <row r="76" spans="1:9">
      <c r="A76" s="228" t="s">
        <v>213</v>
      </c>
      <c r="B76" s="228" t="s">
        <v>214</v>
      </c>
      <c r="C76" s="203"/>
      <c r="D76" s="203"/>
      <c r="E76" s="203"/>
      <c r="H76" s="256">
        <f>D31</f>
        <v>29072398.714094274</v>
      </c>
      <c r="I76" s="257">
        <f>ROUNDDOWN(+$H$75-H76,0)</f>
        <v>0</v>
      </c>
    </row>
    <row r="77" spans="1:9">
      <c r="A77" s="203"/>
      <c r="B77" s="228" t="s">
        <v>215</v>
      </c>
      <c r="C77" s="203"/>
      <c r="D77" s="203"/>
      <c r="E77" s="203"/>
      <c r="H77" s="258">
        <v>29072398.754734363</v>
      </c>
      <c r="I77" s="257">
        <f>ROUNDDOWN(+$H$75-H77,0)</f>
        <v>0</v>
      </c>
    </row>
    <row r="78" spans="1:9">
      <c r="A78" s="203"/>
      <c r="C78" s="203"/>
      <c r="D78" s="203"/>
      <c r="E78" s="203"/>
      <c r="G78" s="203"/>
      <c r="I78" s="99"/>
    </row>
    <row r="79" spans="1:9">
      <c r="A79" s="203"/>
      <c r="B79" s="203"/>
      <c r="C79" s="203"/>
      <c r="D79" s="203"/>
      <c r="E79" s="203"/>
      <c r="F79" s="203"/>
      <c r="G79" s="203"/>
      <c r="I79" s="99"/>
    </row>
    <row r="80" spans="1:9">
      <c r="A80" s="203"/>
      <c r="B80" s="203"/>
      <c r="C80" s="203"/>
      <c r="D80" s="203"/>
      <c r="E80" s="203"/>
      <c r="F80" s="203"/>
      <c r="G80" s="203"/>
      <c r="I80" s="99"/>
    </row>
    <row r="81" spans="1:9">
      <c r="A81" s="203"/>
      <c r="B81" s="203"/>
      <c r="C81" s="203"/>
      <c r="D81" s="203"/>
      <c r="E81" s="203"/>
      <c r="F81" s="203"/>
      <c r="G81" s="203"/>
      <c r="I81" s="99"/>
    </row>
    <row r="82" spans="1:9">
      <c r="A82" s="203"/>
      <c r="B82" s="203"/>
      <c r="C82" s="203"/>
      <c r="D82" s="203"/>
      <c r="E82" s="203"/>
      <c r="F82" s="203"/>
      <c r="G82" s="203"/>
      <c r="I82" s="99"/>
    </row>
    <row r="83" spans="1:9">
      <c r="A83" s="203"/>
      <c r="B83" s="203"/>
      <c r="C83" s="203"/>
      <c r="D83" s="203"/>
      <c r="E83" s="203"/>
      <c r="F83" s="203"/>
      <c r="G83" s="203"/>
      <c r="I83" s="99"/>
    </row>
    <row r="84" spans="1:9">
      <c r="A84" s="203"/>
      <c r="B84" s="203"/>
      <c r="C84" s="203"/>
      <c r="D84" s="203"/>
      <c r="E84" s="203"/>
      <c r="F84" s="203"/>
      <c r="G84" s="203"/>
    </row>
    <row r="85" spans="1:9">
      <c r="A85" s="203"/>
      <c r="B85" s="203"/>
      <c r="C85" s="203"/>
      <c r="D85" s="203"/>
      <c r="E85" s="203"/>
      <c r="F85" s="203"/>
      <c r="G85" s="203"/>
    </row>
    <row r="86" spans="1:9">
      <c r="A86" s="203"/>
      <c r="B86" s="203"/>
      <c r="C86" s="203"/>
      <c r="D86" s="203"/>
      <c r="E86" s="203"/>
      <c r="F86" s="203"/>
      <c r="G86" s="203"/>
    </row>
    <row r="87" spans="1:9">
      <c r="A87" s="203"/>
      <c r="B87" s="203"/>
      <c r="C87" s="203"/>
      <c r="D87" s="203"/>
      <c r="E87" s="203"/>
      <c r="F87" s="203"/>
      <c r="G87" s="203"/>
    </row>
    <row r="88" spans="1:9">
      <c r="A88" s="203"/>
      <c r="B88" s="203"/>
      <c r="C88" s="203"/>
      <c r="D88" s="203"/>
      <c r="E88" s="203"/>
      <c r="F88" s="203"/>
      <c r="G88" s="203"/>
    </row>
    <row r="89" spans="1:9">
      <c r="A89" s="203"/>
      <c r="B89" s="203"/>
      <c r="C89" s="203"/>
      <c r="D89" s="203"/>
      <c r="E89" s="203"/>
      <c r="F89" s="203"/>
      <c r="G89" s="203"/>
    </row>
    <row r="90" spans="1:9">
      <c r="A90" s="203"/>
      <c r="B90" s="203"/>
      <c r="C90" s="203"/>
      <c r="D90" s="203"/>
      <c r="E90" s="203"/>
      <c r="F90" s="203"/>
      <c r="G90" s="203"/>
    </row>
    <row r="91" spans="1:9">
      <c r="A91" s="203"/>
      <c r="B91" s="203"/>
      <c r="C91" s="203"/>
      <c r="D91" s="203"/>
      <c r="E91" s="203"/>
      <c r="F91" s="203"/>
      <c r="G91" s="203"/>
    </row>
    <row r="92" spans="1:9">
      <c r="A92" s="203"/>
      <c r="B92" s="203"/>
      <c r="C92" s="203"/>
      <c r="D92" s="203"/>
      <c r="E92" s="203"/>
      <c r="F92" s="203"/>
      <c r="G92" s="203"/>
    </row>
    <row r="93" spans="1:9">
      <c r="A93" s="203"/>
      <c r="B93" s="203"/>
      <c r="C93" s="203"/>
      <c r="D93" s="203"/>
      <c r="E93" s="203"/>
      <c r="F93" s="203"/>
      <c r="G93" s="203"/>
    </row>
    <row r="94" spans="1:9">
      <c r="A94" s="203"/>
      <c r="B94" s="203"/>
      <c r="C94" s="203"/>
      <c r="D94" s="203"/>
      <c r="E94" s="203"/>
      <c r="F94" s="203"/>
      <c r="G94" s="203"/>
    </row>
    <row r="95" spans="1:9">
      <c r="A95" s="203"/>
      <c r="B95" s="203"/>
      <c r="C95" s="203"/>
      <c r="D95" s="203"/>
      <c r="E95" s="203"/>
      <c r="F95" s="203"/>
      <c r="G95" s="203"/>
    </row>
    <row r="96" spans="1:9">
      <c r="A96" s="203"/>
      <c r="B96" s="203"/>
      <c r="C96" s="203"/>
      <c r="D96" s="203"/>
      <c r="E96" s="203"/>
      <c r="F96" s="203"/>
      <c r="G96" s="203"/>
    </row>
    <row r="97" spans="1:7">
      <c r="A97" s="203"/>
      <c r="B97" s="203"/>
      <c r="C97" s="203"/>
      <c r="D97" s="203"/>
      <c r="E97" s="203"/>
      <c r="F97" s="203"/>
      <c r="G97" s="203"/>
    </row>
    <row r="98" spans="1:7">
      <c r="A98" s="203"/>
      <c r="B98" s="203"/>
      <c r="C98" s="203"/>
      <c r="D98" s="203"/>
      <c r="E98" s="203"/>
      <c r="F98" s="203"/>
      <c r="G98" s="203"/>
    </row>
    <row r="99" spans="1:7">
      <c r="A99" s="203"/>
      <c r="B99" s="203"/>
      <c r="C99" s="203"/>
      <c r="D99" s="203"/>
      <c r="E99" s="203"/>
      <c r="F99" s="203"/>
      <c r="G99" s="203"/>
    </row>
    <row r="100" spans="1:7">
      <c r="A100" s="203"/>
      <c r="B100" s="203"/>
      <c r="C100" s="203"/>
      <c r="D100" s="203"/>
      <c r="E100" s="203"/>
      <c r="F100" s="203"/>
      <c r="G100" s="203"/>
    </row>
    <row r="101" spans="1:7">
      <c r="A101" s="203"/>
      <c r="B101" s="203"/>
      <c r="C101" s="203"/>
      <c r="D101" s="203"/>
      <c r="E101" s="203"/>
      <c r="F101" s="203"/>
      <c r="G101" s="203"/>
    </row>
    <row r="102" spans="1:7">
      <c r="A102" s="203"/>
      <c r="B102" s="203"/>
      <c r="C102" s="203"/>
      <c r="D102" s="203"/>
      <c r="E102" s="203"/>
      <c r="F102" s="203"/>
      <c r="G102" s="203"/>
    </row>
    <row r="103" spans="1:7">
      <c r="A103" s="203"/>
      <c r="B103" s="203"/>
      <c r="C103" s="203"/>
      <c r="D103" s="203"/>
      <c r="E103" s="203"/>
      <c r="F103" s="203"/>
      <c r="G103" s="203"/>
    </row>
    <row r="104" spans="1:7">
      <c r="A104" s="203"/>
      <c r="B104" s="203"/>
      <c r="C104" s="203"/>
      <c r="D104" s="203"/>
      <c r="E104" s="203"/>
      <c r="F104" s="203"/>
      <c r="G104" s="203"/>
    </row>
    <row r="105" spans="1:7">
      <c r="A105" s="203"/>
      <c r="B105" s="203"/>
      <c r="C105" s="203"/>
      <c r="D105" s="203"/>
      <c r="E105" s="203"/>
      <c r="F105" s="203"/>
      <c r="G105" s="203"/>
    </row>
    <row r="106" spans="1:7">
      <c r="A106" s="203"/>
      <c r="B106" s="203"/>
      <c r="C106" s="203"/>
      <c r="D106" s="203"/>
      <c r="E106" s="203"/>
      <c r="F106" s="203"/>
      <c r="G106" s="203"/>
    </row>
    <row r="107" spans="1:7">
      <c r="A107" s="203"/>
      <c r="B107" s="203"/>
      <c r="C107" s="203"/>
      <c r="D107" s="203"/>
      <c r="E107" s="203"/>
      <c r="F107" s="203"/>
      <c r="G107" s="203"/>
    </row>
    <row r="108" spans="1:7">
      <c r="A108" s="203"/>
      <c r="B108" s="203"/>
      <c r="C108" s="203"/>
      <c r="D108" s="203"/>
      <c r="E108" s="203"/>
      <c r="F108" s="203"/>
      <c r="G108" s="203"/>
    </row>
    <row r="109" spans="1:7">
      <c r="A109" s="203"/>
      <c r="B109" s="203"/>
      <c r="C109" s="203"/>
      <c r="D109" s="203"/>
      <c r="E109" s="203"/>
      <c r="F109" s="203"/>
      <c r="G109" s="203"/>
    </row>
    <row r="110" spans="1:7">
      <c r="A110" s="203"/>
      <c r="B110" s="203"/>
      <c r="C110" s="203"/>
      <c r="D110" s="203"/>
      <c r="E110" s="203"/>
      <c r="F110" s="203"/>
      <c r="G110" s="203"/>
    </row>
    <row r="111" spans="1:7">
      <c r="A111" s="203"/>
      <c r="B111" s="203"/>
      <c r="C111" s="203"/>
      <c r="D111" s="203"/>
      <c r="E111" s="203"/>
      <c r="F111" s="203"/>
      <c r="G111" s="203"/>
    </row>
    <row r="112" spans="1:7">
      <c r="A112" s="203"/>
      <c r="B112" s="203"/>
      <c r="C112" s="203"/>
      <c r="D112" s="203"/>
      <c r="E112" s="203"/>
      <c r="F112" s="203"/>
      <c r="G112" s="203"/>
    </row>
    <row r="113" spans="1:7">
      <c r="A113" s="203"/>
      <c r="B113" s="203"/>
      <c r="C113" s="203"/>
      <c r="D113" s="203"/>
      <c r="E113" s="203"/>
      <c r="F113" s="203"/>
      <c r="G113" s="203"/>
    </row>
    <row r="114" spans="1:7">
      <c r="A114" s="203"/>
      <c r="B114" s="203"/>
      <c r="C114" s="203"/>
      <c r="D114" s="203"/>
      <c r="E114" s="203"/>
      <c r="F114" s="203"/>
      <c r="G114" s="203"/>
    </row>
    <row r="115" spans="1:7">
      <c r="A115" s="203"/>
      <c r="B115" s="203"/>
      <c r="C115" s="203"/>
      <c r="D115" s="203"/>
      <c r="E115" s="203"/>
      <c r="F115" s="203"/>
      <c r="G115" s="203"/>
    </row>
    <row r="116" spans="1:7">
      <c r="A116" s="203"/>
      <c r="B116" s="203"/>
      <c r="C116" s="203"/>
      <c r="D116" s="203"/>
      <c r="E116" s="203"/>
      <c r="F116" s="203"/>
      <c r="G116" s="203"/>
    </row>
    <row r="117" spans="1:7">
      <c r="A117" s="203"/>
      <c r="B117" s="203"/>
      <c r="C117" s="203"/>
      <c r="D117" s="203"/>
      <c r="E117" s="203"/>
      <c r="F117" s="203"/>
      <c r="G117" s="203"/>
    </row>
    <row r="118" spans="1:7">
      <c r="A118" s="203"/>
      <c r="B118" s="203"/>
      <c r="C118" s="203"/>
      <c r="D118" s="203"/>
      <c r="E118" s="203"/>
      <c r="F118" s="203"/>
      <c r="G118" s="203"/>
    </row>
    <row r="119" spans="1:7">
      <c r="A119" s="203"/>
      <c r="B119" s="203"/>
      <c r="C119" s="203"/>
      <c r="D119" s="203"/>
      <c r="E119" s="203"/>
      <c r="F119" s="203"/>
      <c r="G119" s="203"/>
    </row>
    <row r="120" spans="1:7">
      <c r="A120" s="203"/>
      <c r="B120" s="203"/>
      <c r="C120" s="203"/>
      <c r="D120" s="203"/>
      <c r="E120" s="203"/>
      <c r="F120" s="203"/>
      <c r="G120" s="203"/>
    </row>
    <row r="121" spans="1:7">
      <c r="A121" s="203"/>
      <c r="B121" s="203"/>
      <c r="C121" s="203"/>
      <c r="D121" s="203"/>
      <c r="E121" s="203"/>
      <c r="F121" s="203"/>
      <c r="G121" s="203"/>
    </row>
    <row r="122" spans="1:7">
      <c r="A122" s="203"/>
      <c r="B122" s="203"/>
      <c r="C122" s="203"/>
      <c r="D122" s="203"/>
      <c r="E122" s="203"/>
      <c r="F122" s="203"/>
      <c r="G122" s="203"/>
    </row>
    <row r="123" spans="1:7">
      <c r="A123" s="203"/>
      <c r="B123" s="203"/>
      <c r="C123" s="203"/>
      <c r="D123" s="203"/>
      <c r="E123" s="203"/>
      <c r="F123" s="203"/>
      <c r="G123" s="203"/>
    </row>
    <row r="124" spans="1:7">
      <c r="A124" s="203"/>
      <c r="B124" s="203"/>
      <c r="C124" s="203"/>
      <c r="D124" s="203"/>
      <c r="E124" s="203"/>
      <c r="F124" s="203"/>
      <c r="G124" s="203"/>
    </row>
    <row r="125" spans="1:7">
      <c r="A125" s="203"/>
      <c r="B125" s="203"/>
      <c r="C125" s="203"/>
      <c r="D125" s="203"/>
      <c r="E125" s="203"/>
      <c r="F125" s="203"/>
      <c r="G125" s="203"/>
    </row>
    <row r="126" spans="1:7">
      <c r="A126" s="203"/>
      <c r="B126" s="203"/>
      <c r="C126" s="203"/>
      <c r="D126" s="203"/>
      <c r="E126" s="203"/>
      <c r="F126" s="203"/>
      <c r="G126" s="203"/>
    </row>
    <row r="127" spans="1:7">
      <c r="A127" s="203"/>
      <c r="B127" s="203"/>
      <c r="C127" s="203"/>
      <c r="D127" s="203"/>
      <c r="E127" s="203"/>
      <c r="F127" s="203"/>
      <c r="G127" s="203"/>
    </row>
    <row r="128" spans="1:7">
      <c r="A128" s="203"/>
      <c r="B128" s="203"/>
      <c r="C128" s="203"/>
      <c r="D128" s="203"/>
      <c r="E128" s="203"/>
      <c r="F128" s="203"/>
      <c r="G128" s="203"/>
    </row>
    <row r="129" spans="1:7">
      <c r="A129" s="203"/>
      <c r="B129" s="203"/>
      <c r="C129" s="203"/>
      <c r="D129" s="203"/>
      <c r="E129" s="203"/>
      <c r="F129" s="203"/>
      <c r="G129" s="203"/>
    </row>
    <row r="130" spans="1:7">
      <c r="A130" s="203"/>
      <c r="B130" s="203"/>
      <c r="C130" s="203"/>
      <c r="D130" s="203"/>
      <c r="E130" s="203"/>
      <c r="F130" s="203"/>
      <c r="G130" s="203"/>
    </row>
    <row r="131" spans="1:7">
      <c r="A131" s="203"/>
      <c r="B131" s="203"/>
      <c r="C131" s="203"/>
      <c r="D131" s="203"/>
      <c r="E131" s="203"/>
      <c r="F131" s="203"/>
      <c r="G131" s="203"/>
    </row>
    <row r="132" spans="1:7">
      <c r="A132" s="203"/>
      <c r="B132" s="203"/>
      <c r="C132" s="203"/>
      <c r="D132" s="203"/>
      <c r="E132" s="203"/>
      <c r="F132" s="203"/>
      <c r="G132" s="203"/>
    </row>
    <row r="133" spans="1:7">
      <c r="A133" s="203"/>
      <c r="B133" s="203"/>
      <c r="C133" s="203"/>
      <c r="D133" s="203"/>
      <c r="E133" s="203"/>
      <c r="F133" s="203"/>
      <c r="G133" s="203"/>
    </row>
    <row r="134" spans="1:7">
      <c r="A134" s="203"/>
      <c r="B134" s="203"/>
      <c r="C134" s="203"/>
      <c r="D134" s="203"/>
      <c r="E134" s="203"/>
      <c r="F134" s="203"/>
      <c r="G134" s="203"/>
    </row>
    <row r="135" spans="1:7">
      <c r="A135" s="203"/>
      <c r="B135" s="203"/>
      <c r="C135" s="203"/>
      <c r="D135" s="203"/>
      <c r="E135" s="203"/>
      <c r="F135" s="203"/>
      <c r="G135" s="203"/>
    </row>
    <row r="136" spans="1:7">
      <c r="A136" s="203"/>
      <c r="B136" s="203"/>
      <c r="C136" s="203"/>
      <c r="D136" s="203"/>
      <c r="E136" s="203"/>
      <c r="F136" s="203"/>
      <c r="G136" s="203"/>
    </row>
    <row r="137" spans="1:7">
      <c r="A137" s="203"/>
      <c r="B137" s="203"/>
      <c r="C137" s="203"/>
      <c r="D137" s="203"/>
      <c r="E137" s="203"/>
      <c r="F137" s="203"/>
      <c r="G137" s="203"/>
    </row>
    <row r="138" spans="1:7">
      <c r="A138" s="203"/>
      <c r="B138" s="203"/>
      <c r="C138" s="203"/>
      <c r="D138" s="203"/>
      <c r="E138" s="203"/>
      <c r="F138" s="203"/>
      <c r="G138" s="203"/>
    </row>
    <row r="139" spans="1:7">
      <c r="A139" s="203"/>
      <c r="B139" s="203"/>
      <c r="C139" s="203"/>
      <c r="D139" s="203"/>
      <c r="E139" s="203"/>
      <c r="F139" s="203"/>
      <c r="G139" s="203"/>
    </row>
    <row r="140" spans="1:7">
      <c r="A140" s="203"/>
      <c r="B140" s="203"/>
      <c r="C140" s="203"/>
      <c r="D140" s="203"/>
      <c r="E140" s="203"/>
      <c r="F140" s="203"/>
      <c r="G140" s="203"/>
    </row>
  </sheetData>
  <mergeCells count="2">
    <mergeCell ref="D42:E42"/>
    <mergeCell ref="N42:O42"/>
  </mergeCells>
  <conditionalFormatting sqref="J37:M37 J41:M41">
    <cfRule type="cellIs" dxfId="2" priority="1" stopIfTrue="1" operator="equal">
      <formula>0</formula>
    </cfRule>
    <cfRule type="cellIs" dxfId="1" priority="2" stopIfTrue="1" operator="notEqual">
      <formula>0</formula>
    </cfRule>
  </conditionalFormatting>
  <conditionalFormatting sqref="J6">
    <cfRule type="cellIs" dxfId="0" priority="3" stopIfTrue="1" operator="notEqual">
      <formula>0</formula>
    </cfRule>
  </conditionalFormatting>
  <printOptions horizontalCentered="1"/>
  <pageMargins left="0.7" right="0.7" top="1.7" bottom="0.75" header="0.3" footer="0.3"/>
  <pageSetup scale="73" orientation="portrait" r:id="rId1"/>
  <headerFooter alignWithMargins="0">
    <oddHeader>&amp;C&amp;"Arial,Bold"&amp;12
PUGET SOUND ENERGY
POWER COST ONLY RATE CASE
TEST YEAR SEPTEMBER 30, 2012
RATE YEAR END OCTOBER 31, 2014</oddHead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R33"/>
  <sheetViews>
    <sheetView zoomScale="80" zoomScaleNormal="80" workbookViewId="0">
      <pane xSplit="4" ySplit="8" topLeftCell="E9" activePane="bottomRight" state="frozen"/>
      <selection activeCell="E27" sqref="E27"/>
      <selection pane="topRight" activeCell="E27" sqref="E27"/>
      <selection pane="bottomLeft" activeCell="E27" sqref="E27"/>
      <selection pane="bottomRight" sqref="A1:Q33"/>
    </sheetView>
  </sheetViews>
  <sheetFormatPr defaultColWidth="3.85546875" defaultRowHeight="15"/>
  <cols>
    <col min="1" max="1" width="3.7109375" bestFit="1" customWidth="1"/>
    <col min="2" max="2" width="31.5703125" bestFit="1" customWidth="1"/>
    <col min="3" max="3" width="16.140625" bestFit="1" customWidth="1"/>
    <col min="5" max="5" width="16.140625" bestFit="1" customWidth="1"/>
    <col min="6" max="8" width="14.5703125" bestFit="1" customWidth="1"/>
    <col min="9" max="9" width="14.140625" bestFit="1" customWidth="1"/>
    <col min="10" max="11" width="12.7109375" bestFit="1" customWidth="1"/>
    <col min="12" max="12" width="13.28515625" bestFit="1" customWidth="1"/>
    <col min="13" max="13" width="13.7109375" bestFit="1" customWidth="1"/>
    <col min="14" max="15" width="12.5703125" bestFit="1" customWidth="1"/>
    <col min="16" max="16" width="13.140625" bestFit="1" customWidth="1"/>
    <col min="17" max="17" width="12.7109375" bestFit="1" customWidth="1"/>
  </cols>
  <sheetData>
    <row r="1" spans="1:17">
      <c r="A1" s="775" t="s">
        <v>216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</row>
    <row r="2" spans="1:17">
      <c r="A2" s="776" t="s">
        <v>496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</row>
    <row r="3" spans="1:17">
      <c r="A3" s="775" t="s">
        <v>376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</row>
    <row r="4" spans="1:17">
      <c r="A4" s="775" t="s">
        <v>377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</row>
    <row r="5" spans="1:17">
      <c r="A5" s="606"/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</row>
    <row r="6" spans="1:17" ht="51.75">
      <c r="A6" s="607" t="s">
        <v>29</v>
      </c>
      <c r="B6" s="607" t="s">
        <v>31</v>
      </c>
      <c r="C6" s="607" t="s">
        <v>378</v>
      </c>
      <c r="D6" s="607"/>
      <c r="E6" s="607" t="s">
        <v>379</v>
      </c>
      <c r="F6" s="607" t="s">
        <v>380</v>
      </c>
      <c r="G6" s="607" t="s">
        <v>381</v>
      </c>
      <c r="H6" s="607" t="s">
        <v>382</v>
      </c>
      <c r="I6" s="607" t="s">
        <v>383</v>
      </c>
      <c r="J6" s="607" t="s">
        <v>384</v>
      </c>
      <c r="K6" s="607" t="s">
        <v>385</v>
      </c>
      <c r="L6" s="607" t="s">
        <v>386</v>
      </c>
      <c r="M6" s="607" t="s">
        <v>387</v>
      </c>
      <c r="N6" s="607" t="s">
        <v>388</v>
      </c>
      <c r="O6" s="607" t="s">
        <v>389</v>
      </c>
      <c r="P6" s="607" t="s">
        <v>390</v>
      </c>
      <c r="Q6" s="607" t="s">
        <v>391</v>
      </c>
    </row>
    <row r="7" spans="1:17">
      <c r="A7" s="608"/>
      <c r="B7" s="609" t="s">
        <v>148</v>
      </c>
      <c r="C7" s="609" t="s">
        <v>175</v>
      </c>
      <c r="D7" s="609"/>
      <c r="E7" s="609" t="s">
        <v>146</v>
      </c>
      <c r="F7" s="609" t="s">
        <v>392</v>
      </c>
      <c r="G7" s="609" t="s">
        <v>393</v>
      </c>
      <c r="H7" s="609" t="s">
        <v>394</v>
      </c>
      <c r="I7" s="609" t="s">
        <v>395</v>
      </c>
      <c r="J7" s="609" t="s">
        <v>396</v>
      </c>
      <c r="K7" s="609" t="s">
        <v>397</v>
      </c>
      <c r="L7" s="609" t="s">
        <v>398</v>
      </c>
      <c r="M7" s="609" t="s">
        <v>399</v>
      </c>
      <c r="N7" s="609" t="s">
        <v>400</v>
      </c>
      <c r="O7" s="609" t="s">
        <v>401</v>
      </c>
      <c r="P7" s="609" t="s">
        <v>402</v>
      </c>
      <c r="Q7" s="609" t="s">
        <v>403</v>
      </c>
    </row>
    <row r="8" spans="1:17">
      <c r="A8" s="606"/>
      <c r="B8" s="606"/>
      <c r="C8" s="610"/>
      <c r="D8" s="606"/>
      <c r="E8" s="610"/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</row>
    <row r="9" spans="1:17">
      <c r="A9" s="755">
        <v>1</v>
      </c>
      <c r="B9" s="612" t="s">
        <v>404</v>
      </c>
      <c r="C9" s="613">
        <v>22311829039.999996</v>
      </c>
      <c r="D9" s="614"/>
      <c r="E9" s="613">
        <v>11362694034.5944</v>
      </c>
      <c r="F9" s="613">
        <v>2983833723.3713889</v>
      </c>
      <c r="G9" s="613">
        <v>3080584885.4856691</v>
      </c>
      <c r="H9" s="613">
        <v>2051022389.543107</v>
      </c>
      <c r="I9" s="613">
        <v>1342870567.1184549</v>
      </c>
      <c r="J9" s="613">
        <v>4594563.3633324662</v>
      </c>
      <c r="K9" s="613">
        <v>124979540.86316925</v>
      </c>
      <c r="L9" s="613">
        <v>639599439.09802258</v>
      </c>
      <c r="M9" s="613">
        <v>632887813.72208166</v>
      </c>
      <c r="N9" s="613">
        <v>0</v>
      </c>
      <c r="O9" s="613">
        <v>0</v>
      </c>
      <c r="P9" s="613">
        <v>81534389.017231286</v>
      </c>
      <c r="Q9" s="613">
        <v>7227693.8231415441</v>
      </c>
    </row>
    <row r="10" spans="1:17">
      <c r="A10" s="755">
        <f>+A9+1</f>
        <v>2</v>
      </c>
      <c r="B10" s="612" t="s">
        <v>405</v>
      </c>
      <c r="C10" s="613">
        <v>3941657.8585261339</v>
      </c>
      <c r="D10" s="614"/>
      <c r="E10" s="613">
        <v>2401760.8159533199</v>
      </c>
      <c r="F10" s="613">
        <v>483797.35950569448</v>
      </c>
      <c r="G10" s="613">
        <v>452472.55815379717</v>
      </c>
      <c r="H10" s="613">
        <v>261562.891393383</v>
      </c>
      <c r="I10" s="613">
        <v>179157.07260351363</v>
      </c>
      <c r="J10" s="613">
        <v>4.0419526549894496</v>
      </c>
      <c r="K10" s="613">
        <v>0</v>
      </c>
      <c r="L10" s="613">
        <v>80420.565981487191</v>
      </c>
      <c r="M10" s="613">
        <v>67179.705291231017</v>
      </c>
      <c r="N10" s="613">
        <v>0</v>
      </c>
      <c r="O10" s="613">
        <v>0</v>
      </c>
      <c r="P10" s="613">
        <v>13772.381425311305</v>
      </c>
      <c r="Q10" s="613">
        <v>1530.4662657410647</v>
      </c>
    </row>
    <row r="11" spans="1:17">
      <c r="A11" s="755">
        <f t="shared" ref="A11:A33" si="0">+A10+1</f>
        <v>3</v>
      </c>
      <c r="B11" s="615" t="s">
        <v>406</v>
      </c>
      <c r="C11" s="616">
        <f>SUM(E11:Q11)</f>
        <v>1.0000000000000002</v>
      </c>
      <c r="D11" s="617"/>
      <c r="E11" s="616">
        <f t="shared" ref="E11:Q11" si="1">(E9/$C$9*$C$12+E10/$C$10*$C$13)</f>
        <v>0.53428267414961672</v>
      </c>
      <c r="F11" s="616">
        <f t="shared" si="1"/>
        <v>0.13098483852655646</v>
      </c>
      <c r="G11" s="616">
        <f t="shared" si="1"/>
        <v>0.13225029791791532</v>
      </c>
      <c r="H11" s="616">
        <f t="shared" si="1"/>
        <v>8.5533651911442882E-2</v>
      </c>
      <c r="I11" s="616">
        <f t="shared" si="1"/>
        <v>5.6502917113085652E-2</v>
      </c>
      <c r="J11" s="616">
        <f t="shared" si="1"/>
        <v>1.5470011013980859E-4</v>
      </c>
      <c r="K11" s="616">
        <f t="shared" si="1"/>
        <v>4.2011193022020825E-3</v>
      </c>
      <c r="L11" s="616">
        <f t="shared" si="1"/>
        <v>2.6600468875824963E-2</v>
      </c>
      <c r="M11" s="616">
        <f t="shared" si="1"/>
        <v>2.5535058472508355E-2</v>
      </c>
      <c r="N11" s="616">
        <f t="shared" si="1"/>
        <v>0</v>
      </c>
      <c r="O11" s="616">
        <f t="shared" si="1"/>
        <v>0</v>
      </c>
      <c r="P11" s="616">
        <f t="shared" si="1"/>
        <v>3.614248664337222E-3</v>
      </c>
      <c r="Q11" s="616">
        <f t="shared" si="1"/>
        <v>3.4002495637072092E-4</v>
      </c>
    </row>
    <row r="12" spans="1:17">
      <c r="A12" s="755">
        <f t="shared" si="0"/>
        <v>4</v>
      </c>
      <c r="B12" s="618" t="s">
        <v>407</v>
      </c>
      <c r="C12" s="619">
        <v>0.75</v>
      </c>
      <c r="D12" s="620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</row>
    <row r="13" spans="1:17">
      <c r="A13" s="755">
        <f t="shared" si="0"/>
        <v>5</v>
      </c>
      <c r="B13" s="618" t="s">
        <v>408</v>
      </c>
      <c r="C13" s="619">
        <v>0.25</v>
      </c>
      <c r="D13" s="620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</row>
    <row r="14" spans="1:17">
      <c r="A14" s="755">
        <f t="shared" si="0"/>
        <v>6</v>
      </c>
      <c r="B14" s="618"/>
      <c r="C14" s="619"/>
      <c r="D14" s="620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</row>
    <row r="15" spans="1:17">
      <c r="A15" s="755">
        <f t="shared" si="0"/>
        <v>7</v>
      </c>
      <c r="B15" s="622" t="s">
        <v>409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</row>
    <row r="16" spans="1:17">
      <c r="A16" s="755">
        <f t="shared" si="0"/>
        <v>8</v>
      </c>
      <c r="B16" s="622" t="s">
        <v>410</v>
      </c>
      <c r="C16" s="624">
        <f>SUM(E16:Q16)</f>
        <v>0.74999999999999989</v>
      </c>
      <c r="D16" s="624"/>
      <c r="E16" s="624">
        <f t="shared" ref="E16:Q16" si="2">ROUND(+$C$12*E9/$C$9,6)</f>
        <v>0.38195099999999998</v>
      </c>
      <c r="F16" s="624">
        <f t="shared" si="2"/>
        <v>0.1003</v>
      </c>
      <c r="G16" s="624">
        <f t="shared" si="2"/>
        <v>0.10355200000000001</v>
      </c>
      <c r="H16" s="624">
        <f t="shared" si="2"/>
        <v>6.8944000000000005E-2</v>
      </c>
      <c r="I16" s="624">
        <f t="shared" si="2"/>
        <v>4.514E-2</v>
      </c>
      <c r="J16" s="624">
        <f t="shared" si="2"/>
        <v>1.54E-4</v>
      </c>
      <c r="K16" s="624">
        <f t="shared" si="2"/>
        <v>4.2009999999999999E-3</v>
      </c>
      <c r="L16" s="624">
        <f t="shared" si="2"/>
        <v>2.1499999999999998E-2</v>
      </c>
      <c r="M16" s="624">
        <f t="shared" si="2"/>
        <v>2.1274000000000001E-2</v>
      </c>
      <c r="N16" s="624">
        <f t="shared" si="2"/>
        <v>0</v>
      </c>
      <c r="O16" s="624">
        <f t="shared" si="2"/>
        <v>0</v>
      </c>
      <c r="P16" s="624">
        <f t="shared" si="2"/>
        <v>2.7409999999999999E-3</v>
      </c>
      <c r="Q16" s="624">
        <f t="shared" si="2"/>
        <v>2.43E-4</v>
      </c>
    </row>
    <row r="17" spans="1:18">
      <c r="A17" s="755">
        <f t="shared" si="0"/>
        <v>9</v>
      </c>
      <c r="B17" s="622" t="s">
        <v>411</v>
      </c>
      <c r="C17" s="624">
        <f>SUM(E17:Q17)</f>
        <v>0.25</v>
      </c>
      <c r="D17" s="624"/>
      <c r="E17" s="624">
        <f>ROUND(+$C$13*E10/$C$10,6)-0.000001</f>
        <v>0.15233099999999999</v>
      </c>
      <c r="F17" s="624">
        <f t="shared" ref="F17:Q17" si="3">ROUND(+$C$13*F10/$C$10,6)</f>
        <v>3.0685E-2</v>
      </c>
      <c r="G17" s="624">
        <f t="shared" si="3"/>
        <v>2.8698000000000001E-2</v>
      </c>
      <c r="H17" s="624">
        <f t="shared" si="3"/>
        <v>1.6590000000000001E-2</v>
      </c>
      <c r="I17" s="624">
        <f t="shared" si="3"/>
        <v>1.1363E-2</v>
      </c>
      <c r="J17" s="624">
        <f t="shared" si="3"/>
        <v>0</v>
      </c>
      <c r="K17" s="624">
        <f t="shared" si="3"/>
        <v>0</v>
      </c>
      <c r="L17" s="624">
        <f t="shared" si="3"/>
        <v>5.1009999999999996E-3</v>
      </c>
      <c r="M17" s="624">
        <f t="shared" si="3"/>
        <v>4.261E-3</v>
      </c>
      <c r="N17" s="624">
        <f t="shared" si="3"/>
        <v>0</v>
      </c>
      <c r="O17" s="624">
        <f t="shared" si="3"/>
        <v>0</v>
      </c>
      <c r="P17" s="624">
        <f t="shared" si="3"/>
        <v>8.7399999999999999E-4</v>
      </c>
      <c r="Q17" s="624">
        <f t="shared" si="3"/>
        <v>9.7E-5</v>
      </c>
    </row>
    <row r="18" spans="1:18">
      <c r="A18" s="755">
        <f t="shared" si="0"/>
        <v>10</v>
      </c>
      <c r="B18" s="622" t="s">
        <v>412</v>
      </c>
      <c r="C18" s="624">
        <f>SUM(E18:Q18)</f>
        <v>0.99999999999999989</v>
      </c>
      <c r="D18" s="448"/>
      <c r="E18" s="624">
        <f>SUM(E16:E17)</f>
        <v>0.53428199999999992</v>
      </c>
      <c r="F18" s="624">
        <f t="shared" ref="F18:Q18" si="4">SUM(F16:F17)</f>
        <v>0.13098499999999999</v>
      </c>
      <c r="G18" s="624">
        <f t="shared" si="4"/>
        <v>0.13225000000000001</v>
      </c>
      <c r="H18" s="624">
        <f t="shared" si="4"/>
        <v>8.5533999999999999E-2</v>
      </c>
      <c r="I18" s="624">
        <f t="shared" si="4"/>
        <v>5.6502999999999998E-2</v>
      </c>
      <c r="J18" s="624">
        <f t="shared" si="4"/>
        <v>1.54E-4</v>
      </c>
      <c r="K18" s="624">
        <f t="shared" si="4"/>
        <v>4.2009999999999999E-3</v>
      </c>
      <c r="L18" s="624">
        <f t="shared" si="4"/>
        <v>2.6601E-2</v>
      </c>
      <c r="M18" s="624">
        <f t="shared" si="4"/>
        <v>2.5535000000000002E-2</v>
      </c>
      <c r="N18" s="624">
        <f t="shared" si="4"/>
        <v>0</v>
      </c>
      <c r="O18" s="624">
        <f t="shared" si="4"/>
        <v>0</v>
      </c>
      <c r="P18" s="624">
        <f t="shared" si="4"/>
        <v>3.6150000000000002E-3</v>
      </c>
      <c r="Q18" s="624">
        <f t="shared" si="4"/>
        <v>3.4000000000000002E-4</v>
      </c>
    </row>
    <row r="19" spans="1:18">
      <c r="A19" s="755">
        <f t="shared" si="0"/>
        <v>11</v>
      </c>
    </row>
    <row r="20" spans="1:18">
      <c r="A20" s="755">
        <f t="shared" si="0"/>
        <v>12</v>
      </c>
      <c r="B20" s="625" t="s">
        <v>495</v>
      </c>
      <c r="C20" s="761">
        <f>+'UE-180282 TRF Exhibit A-1'!G38</f>
        <v>715775660.02487493</v>
      </c>
    </row>
    <row r="21" spans="1:18">
      <c r="A21" s="755">
        <f t="shared" si="0"/>
        <v>13</v>
      </c>
      <c r="B21" s="625" t="s">
        <v>17</v>
      </c>
      <c r="C21" s="759">
        <f>-'UE-180282 TRF Exhibit A-1'!G29</f>
        <v>36228866.83523047</v>
      </c>
    </row>
    <row r="22" spans="1:18">
      <c r="A22" s="755">
        <f t="shared" si="0"/>
        <v>14</v>
      </c>
      <c r="B22" s="625" t="s">
        <v>18</v>
      </c>
      <c r="C22" s="759">
        <f>-'UE-170033 2017 GRC Exh A-1'!G27</f>
        <v>0</v>
      </c>
    </row>
    <row r="23" spans="1:18">
      <c r="A23" s="755">
        <f t="shared" si="0"/>
        <v>15</v>
      </c>
      <c r="B23" s="625" t="s">
        <v>19</v>
      </c>
      <c r="C23" s="759">
        <f>-'UE-180282 TRF Exhibit A-1'!G30</f>
        <v>16223873.273980575</v>
      </c>
    </row>
    <row r="24" spans="1:18" ht="15.75" thickBot="1">
      <c r="A24" s="755">
        <f t="shared" si="0"/>
        <v>16</v>
      </c>
      <c r="B24" s="13" t="s">
        <v>490</v>
      </c>
      <c r="C24" s="758">
        <f>SUM(C20:C23)</f>
        <v>768228400.13408601</v>
      </c>
      <c r="D24" s="625"/>
      <c r="E24" s="760">
        <f>+E18*$C$24</f>
        <v>410450606.08043969</v>
      </c>
      <c r="F24" s="12">
        <f t="shared" ref="F24:Q24" si="5">+F18*$C$24</f>
        <v>100626396.99156325</v>
      </c>
      <c r="G24" s="12">
        <f t="shared" si="5"/>
        <v>101598205.91773288</v>
      </c>
      <c r="H24" s="12">
        <f t="shared" si="5"/>
        <v>65709647.977068909</v>
      </c>
      <c r="I24" s="12">
        <f t="shared" si="5"/>
        <v>43407209.292776257</v>
      </c>
      <c r="J24" s="12">
        <f t="shared" si="5"/>
        <v>118307.17362064925</v>
      </c>
      <c r="K24" s="12">
        <f t="shared" si="5"/>
        <v>3227327.5089632953</v>
      </c>
      <c r="L24" s="12">
        <f t="shared" si="5"/>
        <v>20435643.671966821</v>
      </c>
      <c r="M24" s="12">
        <f t="shared" si="5"/>
        <v>19616712.197423887</v>
      </c>
      <c r="N24" s="12">
        <f t="shared" si="5"/>
        <v>0</v>
      </c>
      <c r="O24" s="12">
        <f t="shared" si="5"/>
        <v>0</v>
      </c>
      <c r="P24" s="12">
        <f t="shared" si="5"/>
        <v>2777145.666484721</v>
      </c>
      <c r="Q24" s="12">
        <f t="shared" si="5"/>
        <v>261197.65604558928</v>
      </c>
      <c r="R24" s="12"/>
    </row>
    <row r="25" spans="1:18" ht="15.75" thickTop="1">
      <c r="A25" s="755">
        <f t="shared" si="0"/>
        <v>17</v>
      </c>
      <c r="B25" s="625"/>
      <c r="C25" s="625"/>
      <c r="D25" s="625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5"/>
      <c r="P25" s="625"/>
      <c r="Q25" s="625"/>
      <c r="R25" s="625"/>
    </row>
    <row r="26" spans="1:18">
      <c r="A26" s="755">
        <f t="shared" si="0"/>
        <v>18</v>
      </c>
      <c r="B26" s="13" t="s">
        <v>486</v>
      </c>
      <c r="C26" s="14">
        <f>+'UE-180282 TRF Prop Rev'!I47</f>
        <v>22821309.052696429</v>
      </c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625"/>
    </row>
    <row r="27" spans="1:18">
      <c r="A27" s="755">
        <f t="shared" si="0"/>
        <v>19</v>
      </c>
      <c r="B27" s="13" t="s">
        <v>487</v>
      </c>
      <c r="C27" s="14">
        <f>-'UE-180282 TRF Prop Rev'!I39</f>
        <v>-2098103.6366259996</v>
      </c>
      <c r="D27" s="625"/>
      <c r="E27" s="625"/>
      <c r="F27" s="625"/>
      <c r="G27" s="625"/>
      <c r="H27" s="625"/>
      <c r="I27" s="625"/>
      <c r="J27" s="625"/>
      <c r="K27" s="625"/>
      <c r="L27" s="14"/>
      <c r="M27" s="14"/>
      <c r="N27" s="625"/>
      <c r="O27" s="625"/>
      <c r="P27" s="625"/>
      <c r="Q27" s="625"/>
      <c r="R27" s="625"/>
    </row>
    <row r="28" spans="1:18">
      <c r="A28" s="755">
        <f t="shared" si="0"/>
        <v>20</v>
      </c>
      <c r="B28" s="13" t="s">
        <v>488</v>
      </c>
      <c r="C28" s="14">
        <f>+C26+C27</f>
        <v>20723205.416070431</v>
      </c>
      <c r="D28" s="625"/>
      <c r="E28" s="14">
        <f>+'UE-180282 TRF Prop Rev'!I16</f>
        <v>10442426</v>
      </c>
      <c r="F28" s="14">
        <f>+'UE-180282 TRF Prop Rev'!I20</f>
        <v>2787584</v>
      </c>
      <c r="G28" s="14">
        <f>+'UE-180282 TRF Prop Rev'!I21+'UE-180282 TRF Prop Rev'!I23</f>
        <v>2853786</v>
      </c>
      <c r="H28" s="14">
        <f>+'UE-180282 TRF Prop Rev'!I22</f>
        <v>1892054.7443816457</v>
      </c>
      <c r="I28" s="14">
        <f>+'UE-180282 TRF Prop Rev'!I27</f>
        <v>1284401.5744586966</v>
      </c>
      <c r="J28" s="14">
        <f>+'UE-180282 TRF Prop Rev'!I28</f>
        <v>4452.6000000000004</v>
      </c>
      <c r="K28" s="14">
        <f>+'UE-180282 TRF Prop Rev'!I29</f>
        <v>119660.40146477679</v>
      </c>
      <c r="L28" s="14">
        <f>+'UE-180282 TRF Prop Rev'!I32</f>
        <v>621678.72633913101</v>
      </c>
      <c r="M28" s="14">
        <f>+'UE-180282 TRF Prop Rev'!I37</f>
        <v>632259.21669800009</v>
      </c>
      <c r="N28" s="14">
        <v>0</v>
      </c>
      <c r="O28" s="14">
        <v>0</v>
      </c>
      <c r="P28" s="14">
        <f>+'UE-180282 TRF Prop Rev'!I41</f>
        <v>77972.349305999989</v>
      </c>
      <c r="Q28" s="14">
        <f>+'UE-180282 TRF Prop Rev'!I45</f>
        <v>6929.8034221808284</v>
      </c>
      <c r="R28" s="14"/>
    </row>
    <row r="29" spans="1:18">
      <c r="A29" s="755">
        <f t="shared" si="0"/>
        <v>21</v>
      </c>
      <c r="B29" s="13" t="s">
        <v>489</v>
      </c>
      <c r="C29" s="14">
        <f>+'UE-170033 2017 GRC Exh A-1'!C39</f>
        <v>20723206</v>
      </c>
      <c r="D29" s="625"/>
      <c r="E29" s="625"/>
      <c r="F29" s="625"/>
      <c r="G29" s="625"/>
      <c r="H29" s="625"/>
      <c r="I29" s="625"/>
      <c r="J29" s="625"/>
      <c r="K29" s="625"/>
      <c r="L29" s="625"/>
      <c r="M29" s="625"/>
      <c r="N29" s="625"/>
      <c r="O29" s="625"/>
      <c r="P29" s="625"/>
      <c r="Q29" s="625"/>
      <c r="R29" s="625"/>
    </row>
    <row r="30" spans="1:18">
      <c r="A30" s="755">
        <f t="shared" si="0"/>
        <v>22</v>
      </c>
      <c r="B30" s="625" t="s">
        <v>27</v>
      </c>
      <c r="C30" s="14">
        <f>+C28-C29</f>
        <v>-0.58392956852912903</v>
      </c>
      <c r="D30" s="625"/>
      <c r="E30" s="625"/>
      <c r="F30" s="625"/>
      <c r="G30" s="625"/>
      <c r="H30" s="625"/>
      <c r="I30" s="625"/>
      <c r="J30" s="625"/>
      <c r="K30" s="14"/>
      <c r="L30" s="14"/>
      <c r="M30" s="14"/>
      <c r="N30" s="625"/>
      <c r="O30" s="625"/>
      <c r="P30" s="625"/>
      <c r="Q30" s="625"/>
      <c r="R30" s="625"/>
    </row>
    <row r="31" spans="1:18">
      <c r="A31" s="755">
        <f t="shared" si="0"/>
        <v>23</v>
      </c>
      <c r="B31" s="625"/>
      <c r="C31" s="625"/>
      <c r="D31" s="625"/>
      <c r="E31" s="625"/>
      <c r="F31" s="625"/>
      <c r="G31" s="625"/>
      <c r="H31" s="625"/>
      <c r="I31" s="625"/>
      <c r="J31" s="625"/>
      <c r="K31" s="14"/>
      <c r="L31" s="625"/>
      <c r="M31" s="14"/>
      <c r="N31" s="625"/>
      <c r="O31" s="625"/>
      <c r="P31" s="625"/>
      <c r="Q31" s="625"/>
      <c r="R31" s="625"/>
    </row>
    <row r="32" spans="1:18">
      <c r="A32" s="755">
        <f t="shared" si="0"/>
        <v>24</v>
      </c>
      <c r="B32" s="625" t="s">
        <v>28</v>
      </c>
      <c r="C32" s="625"/>
      <c r="D32" s="625"/>
      <c r="E32" s="445">
        <f>ROUND(E24/(E28*1000),6)</f>
        <v>3.9306000000000001E-2</v>
      </c>
      <c r="F32" s="445">
        <f t="shared" ref="F32:L32" si="6">ROUND(F24/(F28*1000),6)</f>
        <v>3.6097999999999998E-2</v>
      </c>
      <c r="G32" s="445">
        <f t="shared" si="6"/>
        <v>3.5601000000000001E-2</v>
      </c>
      <c r="H32" s="445">
        <f t="shared" si="6"/>
        <v>3.4729000000000003E-2</v>
      </c>
      <c r="I32" s="445">
        <f t="shared" si="6"/>
        <v>3.3796E-2</v>
      </c>
      <c r="J32" s="625"/>
      <c r="K32" s="445">
        <f t="shared" si="6"/>
        <v>2.6970999999999998E-2</v>
      </c>
      <c r="L32" s="445">
        <f t="shared" si="6"/>
        <v>3.2871999999999998E-2</v>
      </c>
      <c r="M32" s="14"/>
      <c r="N32" s="625"/>
      <c r="O32" s="625"/>
      <c r="P32" s="625"/>
      <c r="Q32" s="445">
        <f t="shared" ref="Q32" si="7">ROUND(Q24/(Q28*1000),6)</f>
        <v>3.7692000000000003E-2</v>
      </c>
      <c r="R32" s="15"/>
    </row>
    <row r="33" spans="1:1">
      <c r="A33" s="755">
        <f t="shared" si="0"/>
        <v>25</v>
      </c>
    </row>
  </sheetData>
  <mergeCells count="4">
    <mergeCell ref="A1:Q1"/>
    <mergeCell ref="A2:Q2"/>
    <mergeCell ref="A3:Q3"/>
    <mergeCell ref="A4:Q4"/>
  </mergeCells>
  <printOptions horizontalCentered="1"/>
  <pageMargins left="0.7" right="0.7" top="0.75" bottom="0.75" header="0.3" footer="0.3"/>
  <pageSetup scale="52" fitToHeight="0" orientation="landscape" r:id="rId1"/>
  <headerFooter>
    <oddFooter xml:space="preserve">&amp;L&amp;F
&amp;A&amp;RPage &amp;P of &amp;N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Q36"/>
  <sheetViews>
    <sheetView workbookViewId="0">
      <pane xSplit="1" ySplit="3" topLeftCell="B4" activePane="bottomRight" state="frozen"/>
      <selection sqref="A1:N52"/>
      <selection pane="topRight" sqref="A1:N52"/>
      <selection pane="bottomLeft" sqref="A1:N52"/>
      <selection pane="bottomRight" sqref="A1:N52"/>
    </sheetView>
  </sheetViews>
  <sheetFormatPr defaultColWidth="9.140625" defaultRowHeight="12.75"/>
  <cols>
    <col min="1" max="1" width="7.140625" style="259" customWidth="1"/>
    <col min="2" max="2" width="39.5703125" style="259" bestFit="1" customWidth="1"/>
    <col min="3" max="3" width="14.42578125" style="259" bestFit="1" customWidth="1"/>
    <col min="4" max="4" width="15" style="262" bestFit="1" customWidth="1"/>
    <col min="5" max="5" width="9.85546875" style="259" bestFit="1" customWidth="1"/>
    <col min="6" max="6" width="11.28515625" style="262" bestFit="1" customWidth="1"/>
    <col min="7" max="7" width="11.42578125" style="259" bestFit="1" customWidth="1"/>
    <col min="8" max="8" width="9.7109375" style="259" bestFit="1" customWidth="1"/>
    <col min="9" max="10" width="12.85546875" style="259" bestFit="1" customWidth="1"/>
    <col min="11" max="11" width="15" style="259" bestFit="1" customWidth="1"/>
    <col min="12" max="12" width="10.28515625" style="259" bestFit="1" customWidth="1"/>
    <col min="13" max="13" width="4.28515625" style="259" customWidth="1"/>
    <col min="14" max="14" width="14.85546875" style="259" bestFit="1" customWidth="1"/>
    <col min="15" max="15" width="19.7109375" style="259" customWidth="1"/>
    <col min="16" max="16" width="10.28515625" style="259" bestFit="1" customWidth="1"/>
    <col min="17" max="17" width="11" style="259" bestFit="1" customWidth="1"/>
    <col min="18" max="18" width="13.85546875" style="259" bestFit="1" customWidth="1"/>
    <col min="19" max="19" width="8.42578125" style="259" bestFit="1" customWidth="1"/>
    <col min="20" max="16384" width="9.140625" style="259"/>
  </cols>
  <sheetData>
    <row r="1" spans="1:17">
      <c r="A1" s="788" t="s">
        <v>216</v>
      </c>
      <c r="B1" s="789"/>
      <c r="C1" s="789"/>
      <c r="D1" s="790"/>
      <c r="E1" s="790"/>
      <c r="F1" s="790"/>
      <c r="G1" s="790"/>
      <c r="H1" s="790"/>
      <c r="I1" s="790"/>
      <c r="J1" s="790"/>
      <c r="K1" s="790"/>
      <c r="L1" s="791"/>
    </row>
    <row r="2" spans="1:17">
      <c r="A2" s="792" t="s">
        <v>217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4"/>
    </row>
    <row r="3" spans="1:17" s="264" customFormat="1">
      <c r="A3" s="260"/>
      <c r="B3" s="259"/>
      <c r="C3" s="261"/>
      <c r="D3" s="262"/>
      <c r="E3" s="259"/>
      <c r="F3" s="262"/>
      <c r="G3" s="259"/>
      <c r="H3" s="259"/>
      <c r="I3" s="259"/>
      <c r="J3" s="259"/>
      <c r="K3" s="259"/>
      <c r="L3" s="263"/>
    </row>
    <row r="4" spans="1:17" s="264" customFormat="1" ht="90" thickBot="1">
      <c r="A4" s="265" t="s">
        <v>29</v>
      </c>
      <c r="B4" s="266" t="s">
        <v>218</v>
      </c>
      <c r="C4" s="267" t="s">
        <v>219</v>
      </c>
      <c r="D4" s="268" t="s">
        <v>220</v>
      </c>
      <c r="E4" s="268" t="s">
        <v>221</v>
      </c>
      <c r="F4" s="268" t="s">
        <v>222</v>
      </c>
      <c r="G4" s="268" t="s">
        <v>223</v>
      </c>
      <c r="H4" s="269" t="s">
        <v>224</v>
      </c>
      <c r="I4" s="270" t="s">
        <v>225</v>
      </c>
      <c r="J4" s="270" t="s">
        <v>225</v>
      </c>
      <c r="K4" s="270" t="s">
        <v>226</v>
      </c>
      <c r="L4" s="271" t="s">
        <v>227</v>
      </c>
    </row>
    <row r="5" spans="1:17" s="264" customFormat="1" ht="25.5">
      <c r="A5" s="272"/>
      <c r="B5" s="273"/>
      <c r="C5" s="273"/>
      <c r="D5" s="274" t="s">
        <v>228</v>
      </c>
      <c r="E5" s="275" t="s">
        <v>229</v>
      </c>
      <c r="F5" s="274" t="s">
        <v>230</v>
      </c>
      <c r="G5" s="275" t="s">
        <v>231</v>
      </c>
      <c r="H5" s="276" t="s">
        <v>232</v>
      </c>
      <c r="I5" s="276" t="s">
        <v>233</v>
      </c>
      <c r="J5" s="277" t="s">
        <v>234</v>
      </c>
      <c r="K5" s="276" t="s">
        <v>235</v>
      </c>
      <c r="L5" s="278" t="s">
        <v>236</v>
      </c>
    </row>
    <row r="6" spans="1:17" s="264" customFormat="1">
      <c r="A6" s="279"/>
      <c r="D6" s="280"/>
      <c r="E6" s="281"/>
      <c r="F6" s="280"/>
      <c r="G6" s="281"/>
      <c r="L6" s="282"/>
    </row>
    <row r="7" spans="1:17">
      <c r="A7" s="283">
        <v>1</v>
      </c>
      <c r="B7" s="259" t="s">
        <v>2</v>
      </c>
      <c r="C7" s="261">
        <v>7</v>
      </c>
      <c r="D7" s="284">
        <v>11660620432</v>
      </c>
      <c r="E7" s="285">
        <v>0.41341881061557145</v>
      </c>
      <c r="F7" s="284">
        <v>2556735</v>
      </c>
      <c r="G7" s="286">
        <v>0.11909155539305931</v>
      </c>
      <c r="H7" s="287">
        <f t="shared" ref="H7:H12" si="0">+G7+E7</f>
        <v>0.53251036600863078</v>
      </c>
      <c r="I7" s="287"/>
      <c r="J7" s="288">
        <f>+H7*($I$27)</f>
        <v>-5581690.2750441646</v>
      </c>
      <c r="K7" s="262">
        <v>10581276029.227865</v>
      </c>
      <c r="L7" s="289">
        <f t="shared" ref="L7:L14" si="1">+J7/K7*100</f>
        <v>-5.2750634797034686E-2</v>
      </c>
      <c r="N7" s="290"/>
      <c r="O7" s="291"/>
      <c r="Q7" s="291"/>
    </row>
    <row r="8" spans="1:17">
      <c r="A8" s="283">
        <f t="shared" ref="A8:A32" si="2">+A7+1</f>
        <v>2</v>
      </c>
      <c r="B8" s="292" t="s">
        <v>237</v>
      </c>
      <c r="C8" s="293">
        <v>24</v>
      </c>
      <c r="D8" s="284">
        <v>2822861364</v>
      </c>
      <c r="E8" s="285">
        <v>0.10008249513335413</v>
      </c>
      <c r="F8" s="284">
        <v>443234</v>
      </c>
      <c r="G8" s="286">
        <v>2.0645638465889994E-2</v>
      </c>
      <c r="H8" s="287">
        <f t="shared" si="0"/>
        <v>0.12072813359924411</v>
      </c>
      <c r="I8" s="287"/>
      <c r="J8" s="288">
        <f t="shared" ref="J8:J14" si="3">+H8*($I$27)</f>
        <v>-1265453.3925527595</v>
      </c>
      <c r="K8" s="262">
        <v>2583982506.9596915</v>
      </c>
      <c r="L8" s="289">
        <f t="shared" si="1"/>
        <v>-4.8972986045547548E-2</v>
      </c>
      <c r="N8" s="290"/>
    </row>
    <row r="9" spans="1:17">
      <c r="A9" s="283">
        <f t="shared" si="2"/>
        <v>3</v>
      </c>
      <c r="B9" s="259" t="s">
        <v>238</v>
      </c>
      <c r="C9" s="261" t="s">
        <v>239</v>
      </c>
      <c r="D9" s="284">
        <v>3169146062.8231239</v>
      </c>
      <c r="E9" s="285">
        <v>0.11235976709814208</v>
      </c>
      <c r="F9" s="284">
        <v>449013.77786666667</v>
      </c>
      <c r="G9" s="286">
        <v>2.0914857894562777E-2</v>
      </c>
      <c r="H9" s="287">
        <f t="shared" si="0"/>
        <v>0.13327462499270484</v>
      </c>
      <c r="I9" s="287"/>
      <c r="J9" s="288">
        <f t="shared" si="3"/>
        <v>-1396963.7507861804</v>
      </c>
      <c r="K9" s="262">
        <v>2922170227.4125733</v>
      </c>
      <c r="L9" s="289">
        <f t="shared" si="1"/>
        <v>-4.7805693784756603E-2</v>
      </c>
      <c r="N9" s="290"/>
    </row>
    <row r="10" spans="1:17">
      <c r="A10" s="283">
        <f t="shared" si="2"/>
        <v>4</v>
      </c>
      <c r="B10" s="259" t="s">
        <v>240</v>
      </c>
      <c r="C10" s="261" t="s">
        <v>241</v>
      </c>
      <c r="D10" s="284">
        <v>2157691595</v>
      </c>
      <c r="E10" s="285">
        <v>7.6499385095507855E-2</v>
      </c>
      <c r="F10" s="284">
        <v>284127.75</v>
      </c>
      <c r="G10" s="286">
        <v>1.3234541584415399E-2</v>
      </c>
      <c r="H10" s="287">
        <f t="shared" si="0"/>
        <v>8.9733926679923248E-2</v>
      </c>
      <c r="I10" s="287"/>
      <c r="J10" s="288">
        <f t="shared" si="3"/>
        <v>-940576.9687546998</v>
      </c>
      <c r="K10" s="262">
        <v>1923430361.0509517</v>
      </c>
      <c r="L10" s="289">
        <f t="shared" si="1"/>
        <v>-4.8901014967902126E-2</v>
      </c>
      <c r="N10" s="290"/>
    </row>
    <row r="11" spans="1:17">
      <c r="A11" s="283">
        <f t="shared" si="2"/>
        <v>5</v>
      </c>
      <c r="B11" s="259" t="s">
        <v>242</v>
      </c>
      <c r="C11" s="261">
        <v>29</v>
      </c>
      <c r="D11" s="284">
        <v>15687149.176876003</v>
      </c>
      <c r="E11" s="285">
        <v>5.5617645668797099E-4</v>
      </c>
      <c r="F11" s="284">
        <v>1035.9721333333325</v>
      </c>
      <c r="G11" s="286">
        <v>4.82551115788427E-5</v>
      </c>
      <c r="H11" s="287">
        <f t="shared" si="0"/>
        <v>6.0443156826681371E-4</v>
      </c>
      <c r="I11" s="287"/>
      <c r="J11" s="288">
        <f t="shared" si="3"/>
        <v>-6335.5570555595277</v>
      </c>
      <c r="K11" s="262">
        <v>14359249.505446691</v>
      </c>
      <c r="L11" s="289">
        <f t="shared" si="1"/>
        <v>-4.4121784033046785E-2</v>
      </c>
      <c r="N11" s="290"/>
    </row>
    <row r="12" spans="1:17">
      <c r="A12" s="283">
        <f t="shared" si="2"/>
        <v>6</v>
      </c>
      <c r="B12" s="259" t="s">
        <v>243</v>
      </c>
      <c r="C12" s="294">
        <v>31</v>
      </c>
      <c r="D12" s="284">
        <v>1367953304</v>
      </c>
      <c r="E12" s="285">
        <v>4.849978877327385E-2</v>
      </c>
      <c r="F12" s="284">
        <v>165975.58333333334</v>
      </c>
      <c r="G12" s="286">
        <v>7.7310673090629266E-3</v>
      </c>
      <c r="H12" s="287">
        <f t="shared" si="0"/>
        <v>5.6230856082336779E-2</v>
      </c>
      <c r="I12" s="287"/>
      <c r="J12" s="288">
        <f t="shared" si="3"/>
        <v>-589403.02872357646</v>
      </c>
      <c r="K12" s="262">
        <v>1287205041.4320903</v>
      </c>
      <c r="L12" s="289">
        <f t="shared" si="1"/>
        <v>-4.5789366087925776E-2</v>
      </c>
      <c r="N12" s="290"/>
    </row>
    <row r="13" spans="1:17">
      <c r="A13" s="283">
        <f t="shared" si="2"/>
        <v>7</v>
      </c>
      <c r="B13" s="259" t="s">
        <v>244</v>
      </c>
      <c r="C13" s="294">
        <v>35</v>
      </c>
      <c r="D13" s="284">
        <v>4806559</v>
      </c>
      <c r="E13" s="285">
        <v>1.7041305104832611E-4</v>
      </c>
      <c r="F13" s="284">
        <v>4</v>
      </c>
      <c r="G13" s="286">
        <v>1.86318183766498E-7</v>
      </c>
      <c r="H13" s="287">
        <f>+G13+E13</f>
        <v>1.7059936923209261E-4</v>
      </c>
      <c r="I13" s="287"/>
      <c r="J13" s="288">
        <f t="shared" si="3"/>
        <v>-1788.1958755259357</v>
      </c>
      <c r="K13" s="262">
        <v>4065390.8376120622</v>
      </c>
      <c r="L13" s="289">
        <f t="shared" si="1"/>
        <v>-4.3985829332372134E-2</v>
      </c>
      <c r="N13" s="290"/>
    </row>
    <row r="14" spans="1:17">
      <c r="A14" s="283">
        <f t="shared" si="2"/>
        <v>8</v>
      </c>
      <c r="B14" s="259" t="s">
        <v>245</v>
      </c>
      <c r="C14" s="294">
        <v>43</v>
      </c>
      <c r="D14" s="284">
        <v>154110146</v>
      </c>
      <c r="E14" s="285">
        <v>5.4638630624034758E-3</v>
      </c>
      <c r="F14" s="284">
        <v>0</v>
      </c>
      <c r="G14" s="286">
        <v>0</v>
      </c>
      <c r="H14" s="287">
        <f>+G14+E14</f>
        <v>5.4638630624034758E-3</v>
      </c>
      <c r="I14" s="287"/>
      <c r="J14" s="288">
        <f t="shared" si="3"/>
        <v>-57271.357078326269</v>
      </c>
      <c r="K14" s="262">
        <v>133790963.70031348</v>
      </c>
      <c r="L14" s="289">
        <f t="shared" si="1"/>
        <v>-4.2806595822578772E-2</v>
      </c>
      <c r="N14" s="290"/>
    </row>
    <row r="15" spans="1:17">
      <c r="A15" s="283">
        <f t="shared" si="2"/>
        <v>9</v>
      </c>
      <c r="C15" s="261"/>
      <c r="E15" s="286"/>
      <c r="G15" s="286"/>
      <c r="H15" s="287"/>
      <c r="I15" s="287"/>
      <c r="J15" s="288"/>
      <c r="K15" s="262"/>
      <c r="L15" s="289"/>
    </row>
    <row r="16" spans="1:17">
      <c r="A16" s="283">
        <f t="shared" si="2"/>
        <v>10</v>
      </c>
      <c r="B16" s="292"/>
      <c r="C16" s="261"/>
      <c r="E16" s="286"/>
      <c r="G16" s="286"/>
      <c r="H16" s="287"/>
      <c r="I16" s="287"/>
      <c r="J16" s="288"/>
      <c r="K16" s="262"/>
      <c r="L16" s="289"/>
    </row>
    <row r="17" spans="1:15">
      <c r="A17" s="283">
        <f t="shared" si="2"/>
        <v>11</v>
      </c>
      <c r="B17" s="292" t="s">
        <v>246</v>
      </c>
      <c r="C17" s="261">
        <v>40</v>
      </c>
      <c r="D17" s="262">
        <v>801873373</v>
      </c>
      <c r="E17" s="285">
        <v>2.8429836822421707E-2</v>
      </c>
      <c r="F17" s="262">
        <v>96819.916666666672</v>
      </c>
      <c r="G17" s="286">
        <v>4.509827756439256E-3</v>
      </c>
      <c r="H17" s="287">
        <f>+G17+E17</f>
        <v>3.2939664578860967E-2</v>
      </c>
      <c r="I17" s="287"/>
      <c r="J17" s="288">
        <f>+H17*($I$27)</f>
        <v>-345268.40636199946</v>
      </c>
      <c r="K17" s="262">
        <v>727520561.86699033</v>
      </c>
      <c r="L17" s="289">
        <f>+J17/K17*100</f>
        <v>-4.7458233410744961E-2</v>
      </c>
    </row>
    <row r="18" spans="1:15">
      <c r="A18" s="283">
        <f t="shared" si="2"/>
        <v>12</v>
      </c>
      <c r="B18" s="292" t="s">
        <v>247</v>
      </c>
      <c r="C18" s="293">
        <v>40</v>
      </c>
      <c r="D18" s="262">
        <v>0</v>
      </c>
      <c r="E18" s="285">
        <v>0</v>
      </c>
      <c r="F18" s="262">
        <v>0</v>
      </c>
      <c r="G18" s="286">
        <v>0</v>
      </c>
      <c r="H18" s="287">
        <f>+G18+E18</f>
        <v>0</v>
      </c>
      <c r="I18" s="287"/>
      <c r="J18" s="288"/>
      <c r="K18" s="262"/>
      <c r="L18" s="289">
        <f>+L21</f>
        <v>-3.9004958312547279E-2</v>
      </c>
    </row>
    <row r="19" spans="1:15">
      <c r="A19" s="283">
        <f t="shared" si="2"/>
        <v>13</v>
      </c>
      <c r="B19" s="295"/>
      <c r="C19" s="293"/>
      <c r="E19" s="286"/>
      <c r="G19" s="286"/>
      <c r="H19" s="287"/>
      <c r="I19" s="287"/>
      <c r="J19" s="288"/>
      <c r="K19" s="262"/>
      <c r="L19" s="289"/>
    </row>
    <row r="20" spans="1:15">
      <c r="A20" s="283">
        <f t="shared" si="2"/>
        <v>14</v>
      </c>
      <c r="B20" s="296" t="s">
        <v>248</v>
      </c>
      <c r="C20" s="261">
        <v>46</v>
      </c>
      <c r="D20" s="262">
        <v>53295879.17946253</v>
      </c>
      <c r="E20" s="285">
        <v>1.8895666066462867E-3</v>
      </c>
      <c r="F20" s="262">
        <v>0</v>
      </c>
      <c r="G20" s="286">
        <v>0</v>
      </c>
      <c r="H20" s="287">
        <f t="shared" ref="H20:H21" si="4">+G20+E20</f>
        <v>1.8895666066462867E-3</v>
      </c>
      <c r="I20" s="287"/>
      <c r="J20" s="288">
        <f t="shared" ref="J20:J21" si="5">+H20*($I$27)</f>
        <v>-19806.141299031235</v>
      </c>
      <c r="K20" s="262">
        <v>46703329.875779942</v>
      </c>
      <c r="L20" s="289">
        <f>+J20/K20*100</f>
        <v>-4.2408413600723956E-2</v>
      </c>
    </row>
    <row r="21" spans="1:15">
      <c r="A21" s="283">
        <f t="shared" si="2"/>
        <v>15</v>
      </c>
      <c r="B21" s="296" t="s">
        <v>249</v>
      </c>
      <c r="C21" s="261">
        <v>49</v>
      </c>
      <c r="D21" s="262">
        <v>539784440.87161875</v>
      </c>
      <c r="E21" s="285">
        <v>1.9137664486662358E-2</v>
      </c>
      <c r="F21" s="262">
        <v>69539.626533333343</v>
      </c>
      <c r="G21" s="286">
        <v>3.2391242288728104E-3</v>
      </c>
      <c r="H21" s="287">
        <f t="shared" si="4"/>
        <v>2.2376788715535167E-2</v>
      </c>
      <c r="I21" s="287"/>
      <c r="J21" s="288">
        <f t="shared" si="5"/>
        <v>-234549.99551726342</v>
      </c>
      <c r="K21" s="262">
        <v>601333793.61108661</v>
      </c>
      <c r="L21" s="289">
        <f>+J21/K21*100</f>
        <v>-3.9004958312547279E-2</v>
      </c>
    </row>
    <row r="22" spans="1:15">
      <c r="A22" s="283">
        <f t="shared" si="2"/>
        <v>16</v>
      </c>
      <c r="B22" s="292"/>
      <c r="C22" s="293"/>
      <c r="E22" s="286"/>
      <c r="G22" s="286"/>
      <c r="H22" s="287"/>
      <c r="I22" s="287"/>
      <c r="J22" s="288"/>
      <c r="K22" s="262"/>
      <c r="L22" s="289"/>
    </row>
    <row r="23" spans="1:15">
      <c r="A23" s="283">
        <f t="shared" si="2"/>
        <v>17</v>
      </c>
      <c r="B23" s="259" t="s">
        <v>250</v>
      </c>
      <c r="C23" s="261" t="s">
        <v>251</v>
      </c>
      <c r="D23" s="284">
        <v>90893526</v>
      </c>
      <c r="E23" s="285">
        <v>3.2225638104515842E-3</v>
      </c>
      <c r="F23" s="284">
        <v>10941</v>
      </c>
      <c r="G23" s="286">
        <v>5.096268121473137E-4</v>
      </c>
      <c r="H23" s="287">
        <f>+G23+E23</f>
        <v>3.732190622598898E-3</v>
      </c>
      <c r="I23" s="287"/>
      <c r="J23" s="288">
        <f>+H23*($I$27)</f>
        <v>-39120.237712769063</v>
      </c>
      <c r="K23" s="262">
        <v>82198395.194599986</v>
      </c>
      <c r="L23" s="289">
        <f>+J23/K23*100</f>
        <v>-4.7592459220346266E-2</v>
      </c>
      <c r="N23" s="290"/>
    </row>
    <row r="24" spans="1:15">
      <c r="A24" s="283">
        <f t="shared" si="2"/>
        <v>18</v>
      </c>
      <c r="C24" s="261"/>
      <c r="E24" s="286"/>
      <c r="J24" s="288"/>
      <c r="L24" s="297"/>
    </row>
    <row r="25" spans="1:15">
      <c r="A25" s="283">
        <f t="shared" si="2"/>
        <v>19</v>
      </c>
      <c r="B25" s="259" t="s">
        <v>14</v>
      </c>
      <c r="C25" s="261"/>
      <c r="D25" s="284">
        <v>7606107</v>
      </c>
      <c r="E25" s="285">
        <v>2.6966898782892931E-4</v>
      </c>
      <c r="F25" s="284">
        <v>1617</v>
      </c>
      <c r="G25" s="286">
        <v>7.5319125787606813E-5</v>
      </c>
      <c r="H25" s="287">
        <f>+G25+E25</f>
        <v>3.4498811361653611E-4</v>
      </c>
      <c r="I25" s="287"/>
      <c r="J25" s="288">
        <f>+H25*($I$27)</f>
        <v>-3616.1113880514413</v>
      </c>
      <c r="K25" s="262">
        <v>7544579.8795419829</v>
      </c>
      <c r="L25" s="289">
        <f>+J25/K25*100</f>
        <v>-4.7929923810031534E-2</v>
      </c>
      <c r="N25" s="290"/>
    </row>
    <row r="26" spans="1:15">
      <c r="A26" s="283">
        <f t="shared" si="2"/>
        <v>20</v>
      </c>
      <c r="C26" s="261"/>
      <c r="E26" s="286"/>
      <c r="J26" s="288"/>
      <c r="L26" s="297"/>
    </row>
    <row r="27" spans="1:15">
      <c r="A27" s="283">
        <f t="shared" si="2"/>
        <v>21</v>
      </c>
      <c r="B27" s="259" t="s">
        <v>115</v>
      </c>
      <c r="C27" s="261"/>
      <c r="D27" s="262">
        <f>SUM(D7:D25)</f>
        <v>22846329938.051083</v>
      </c>
      <c r="E27" s="286">
        <f>SUM(E7:E25)</f>
        <v>0.80999999999999994</v>
      </c>
      <c r="F27" s="262">
        <f>SUM(F7:F25)</f>
        <v>4079043.6265333332</v>
      </c>
      <c r="G27" s="286">
        <f>SUM(G7:G25)</f>
        <v>0.19000000000000003</v>
      </c>
      <c r="H27" s="286">
        <f>SUM(H7:H25)</f>
        <v>1</v>
      </c>
      <c r="I27" s="288">
        <v>-10481843.418149907</v>
      </c>
      <c r="J27" s="288">
        <f>SUM(J7:J25)</f>
        <v>-10481843.418149907</v>
      </c>
      <c r="K27" s="262">
        <f>SUM(K7:K25)</f>
        <v>20915580430.554543</v>
      </c>
      <c r="L27" s="289">
        <f>+J27/K27*100</f>
        <v>-5.0115001364425427E-2</v>
      </c>
    </row>
    <row r="28" spans="1:15">
      <c r="A28" s="283">
        <f t="shared" si="2"/>
        <v>22</v>
      </c>
      <c r="C28" s="261"/>
      <c r="J28" s="291"/>
      <c r="L28" s="298"/>
      <c r="N28" s="291"/>
    </row>
    <row r="29" spans="1:15">
      <c r="A29" s="283">
        <f t="shared" si="2"/>
        <v>23</v>
      </c>
      <c r="B29" s="292" t="s">
        <v>252</v>
      </c>
      <c r="C29" s="261" t="s">
        <v>253</v>
      </c>
      <c r="E29" s="286"/>
      <c r="G29" s="286"/>
      <c r="H29" s="287"/>
      <c r="I29" s="287"/>
      <c r="J29" s="288"/>
      <c r="K29" s="262"/>
      <c r="L29" s="289"/>
    </row>
    <row r="30" spans="1:15">
      <c r="A30" s="283">
        <f t="shared" si="2"/>
        <v>24</v>
      </c>
      <c r="B30" s="292" t="s">
        <v>254</v>
      </c>
      <c r="C30" s="261" t="s">
        <v>253</v>
      </c>
      <c r="D30" s="262">
        <v>0</v>
      </c>
      <c r="E30" s="286"/>
      <c r="F30" s="262">
        <v>0</v>
      </c>
      <c r="G30" s="286"/>
      <c r="H30" s="287"/>
      <c r="I30" s="287"/>
      <c r="J30" s="288"/>
      <c r="K30" s="262">
        <v>114649299.9999</v>
      </c>
      <c r="L30" s="289"/>
    </row>
    <row r="31" spans="1:15">
      <c r="A31" s="283">
        <f t="shared" si="2"/>
        <v>25</v>
      </c>
      <c r="B31" s="292"/>
      <c r="C31" s="293"/>
      <c r="D31" s="262">
        <v>0</v>
      </c>
      <c r="E31" s="286"/>
      <c r="F31" s="262">
        <v>0</v>
      </c>
      <c r="G31" s="286"/>
      <c r="H31" s="287"/>
      <c r="I31" s="287"/>
      <c r="J31" s="288"/>
      <c r="K31" s="262">
        <v>1822749986.9989998</v>
      </c>
      <c r="L31" s="289"/>
    </row>
    <row r="32" spans="1:15">
      <c r="A32" s="283">
        <f t="shared" si="2"/>
        <v>26</v>
      </c>
      <c r="B32" s="259" t="s">
        <v>1</v>
      </c>
      <c r="C32" s="261"/>
      <c r="D32" s="262">
        <f>SUM(D27:D31)</f>
        <v>22846329938.051083</v>
      </c>
      <c r="E32" s="286"/>
      <c r="F32" s="262">
        <f>SUM(F27:F31)</f>
        <v>4079043.6265333332</v>
      </c>
      <c r="G32" s="286"/>
      <c r="H32" s="286"/>
      <c r="I32" s="288"/>
      <c r="J32" s="288"/>
      <c r="K32" s="262">
        <f>SUM(K27:K31)</f>
        <v>22852979717.553444</v>
      </c>
      <c r="L32" s="289"/>
      <c r="N32" s="197"/>
      <c r="O32" s="197"/>
    </row>
    <row r="33" spans="1:15">
      <c r="A33" s="260"/>
      <c r="C33" s="261"/>
      <c r="L33" s="263"/>
      <c r="N33" s="197"/>
      <c r="O33" s="197"/>
    </row>
    <row r="34" spans="1:15">
      <c r="A34" s="795" t="s">
        <v>255</v>
      </c>
      <c r="B34" s="796"/>
      <c r="C34" s="796"/>
      <c r="D34" s="796"/>
      <c r="E34" s="796"/>
      <c r="F34" s="796"/>
      <c r="G34" s="796"/>
      <c r="H34" s="796"/>
      <c r="I34" s="796"/>
      <c r="J34" s="796"/>
      <c r="K34" s="796"/>
      <c r="L34" s="797"/>
    </row>
    <row r="35" spans="1:15">
      <c r="A35" s="795" t="s">
        <v>256</v>
      </c>
      <c r="B35" s="796"/>
      <c r="C35" s="796"/>
      <c r="D35" s="796"/>
      <c r="E35" s="796"/>
      <c r="F35" s="796"/>
      <c r="G35" s="796"/>
      <c r="H35" s="796"/>
      <c r="I35" s="796"/>
      <c r="J35" s="796"/>
      <c r="K35" s="796"/>
      <c r="L35" s="797"/>
    </row>
    <row r="36" spans="1:15" ht="13.5" thickBot="1">
      <c r="A36" s="798" t="s">
        <v>257</v>
      </c>
      <c r="B36" s="799"/>
      <c r="C36" s="799"/>
      <c r="D36" s="799"/>
      <c r="E36" s="799"/>
      <c r="F36" s="799"/>
      <c r="G36" s="799"/>
      <c r="H36" s="799"/>
      <c r="I36" s="799"/>
      <c r="J36" s="799"/>
      <c r="K36" s="799"/>
      <c r="L36" s="800"/>
    </row>
  </sheetData>
  <mergeCells count="5">
    <mergeCell ref="A1:L1"/>
    <mergeCell ref="A2:L2"/>
    <mergeCell ref="A34:L34"/>
    <mergeCell ref="A35:L35"/>
    <mergeCell ref="A36:L36"/>
  </mergeCells>
  <printOptions horizontalCentered="1"/>
  <pageMargins left="0.7" right="0.7" top="0.75" bottom="0.75" header="0.3" footer="0.3"/>
  <pageSetup scale="72" orientation="landscape" r:id="rId1"/>
  <headerFooter alignWithMargins="0"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60"/>
  <sheetViews>
    <sheetView workbookViewId="0">
      <pane xSplit="2" ySplit="12" topLeftCell="C47" activePane="bottomRight" state="frozen"/>
      <selection activeCell="E27" sqref="E27"/>
      <selection pane="topRight" activeCell="E27" sqref="E27"/>
      <selection pane="bottomLeft" activeCell="E27" sqref="E27"/>
      <selection pane="bottomRight" sqref="A1:G58"/>
    </sheetView>
  </sheetViews>
  <sheetFormatPr defaultRowHeight="15"/>
  <cols>
    <col min="1" max="1" width="9" customWidth="1"/>
    <col min="2" max="2" width="36.140625" customWidth="1"/>
    <col min="3" max="3" width="13.140625" bestFit="1" customWidth="1"/>
    <col min="4" max="4" width="23.140625" bestFit="1" customWidth="1"/>
    <col min="5" max="5" width="4.28515625" bestFit="1" customWidth="1"/>
    <col min="6" max="6" width="11.7109375" bestFit="1" customWidth="1"/>
    <col min="7" max="7" width="13.140625" customWidth="1"/>
  </cols>
  <sheetData>
    <row r="1" spans="1:7" ht="18">
      <c r="A1" s="447" t="s">
        <v>122</v>
      </c>
      <c r="B1" s="448"/>
      <c r="C1" s="625"/>
      <c r="D1" s="625"/>
      <c r="E1" s="625"/>
      <c r="F1" s="625"/>
      <c r="G1" s="626" t="s">
        <v>413</v>
      </c>
    </row>
    <row r="2" spans="1:7" ht="18">
      <c r="A2" s="627" t="s">
        <v>414</v>
      </c>
      <c r="B2" s="628"/>
      <c r="C2" s="625"/>
      <c r="D2" s="625"/>
      <c r="E2" s="625"/>
      <c r="F2" s="625"/>
      <c r="G2" s="626"/>
    </row>
    <row r="3" spans="1:7" ht="15.75">
      <c r="A3" s="629"/>
      <c r="B3" s="628"/>
      <c r="C3" s="625"/>
      <c r="D3" s="630"/>
      <c r="E3" s="625"/>
      <c r="F3" s="625"/>
      <c r="G3" s="631"/>
    </row>
    <row r="4" spans="1:7">
      <c r="A4" s="632" t="s">
        <v>124</v>
      </c>
      <c r="B4" s="633"/>
      <c r="C4" s="634" t="s">
        <v>125</v>
      </c>
      <c r="D4" s="635"/>
      <c r="E4" s="635"/>
      <c r="F4" s="635"/>
      <c r="G4" s="635"/>
    </row>
    <row r="5" spans="1:7">
      <c r="A5" s="632">
        <v>3</v>
      </c>
      <c r="B5" s="636" t="s">
        <v>415</v>
      </c>
      <c r="C5" s="637">
        <v>199079031.3739852</v>
      </c>
      <c r="D5" s="625"/>
      <c r="E5" s="638"/>
      <c r="F5" s="638"/>
      <c r="G5" s="638"/>
    </row>
    <row r="6" spans="1:7">
      <c r="A6" s="632">
        <v>4</v>
      </c>
      <c r="B6" s="636" t="s">
        <v>127</v>
      </c>
      <c r="C6" s="639">
        <v>85738601.034227908</v>
      </c>
      <c r="D6" s="625"/>
      <c r="E6" s="638"/>
      <c r="F6" s="638"/>
      <c r="G6" s="638"/>
    </row>
    <row r="7" spans="1:7">
      <c r="A7" s="632">
        <v>5</v>
      </c>
      <c r="B7" s="636" t="s">
        <v>128</v>
      </c>
      <c r="C7" s="640">
        <v>1961447671.7378278</v>
      </c>
      <c r="D7" s="625"/>
      <c r="E7" s="638"/>
      <c r="F7" s="641"/>
      <c r="G7" s="642"/>
    </row>
    <row r="8" spans="1:7">
      <c r="A8" s="632">
        <v>6</v>
      </c>
      <c r="B8" s="643"/>
      <c r="C8" s="644">
        <v>2246265304.1460409</v>
      </c>
      <c r="D8" s="625"/>
      <c r="E8" s="632"/>
      <c r="F8" s="632"/>
      <c r="G8" s="635"/>
    </row>
    <row r="9" spans="1:7">
      <c r="A9" s="632">
        <v>7</v>
      </c>
      <c r="B9" s="636" t="s">
        <v>131</v>
      </c>
      <c r="C9" s="645">
        <v>6.9699999999999998E-2</v>
      </c>
      <c r="D9" s="646"/>
      <c r="E9" s="632"/>
      <c r="F9" s="632" t="s">
        <v>314</v>
      </c>
      <c r="G9" s="632" t="s">
        <v>315</v>
      </c>
    </row>
    <row r="10" spans="1:7">
      <c r="A10" s="632">
        <v>8</v>
      </c>
      <c r="B10" s="647"/>
      <c r="C10" s="638"/>
      <c r="D10" s="632" t="s">
        <v>133</v>
      </c>
      <c r="E10" s="632"/>
      <c r="F10" s="632" t="s">
        <v>416</v>
      </c>
      <c r="G10" s="632" t="s">
        <v>416</v>
      </c>
    </row>
    <row r="11" spans="1:7">
      <c r="A11" s="632">
        <v>9</v>
      </c>
      <c r="B11" s="648"/>
      <c r="C11" s="638"/>
      <c r="D11" s="649" t="s">
        <v>135</v>
      </c>
      <c r="E11" s="650" t="s">
        <v>323</v>
      </c>
      <c r="F11" s="650" t="s">
        <v>417</v>
      </c>
      <c r="G11" s="650" t="s">
        <v>418</v>
      </c>
    </row>
    <row r="12" spans="1:7">
      <c r="A12" s="632" t="s">
        <v>141</v>
      </c>
      <c r="B12" s="636"/>
      <c r="C12" s="649" t="s">
        <v>142</v>
      </c>
      <c r="D12" s="649" t="s">
        <v>143</v>
      </c>
      <c r="E12" s="649" t="s">
        <v>144</v>
      </c>
      <c r="F12" s="650" t="s">
        <v>325</v>
      </c>
      <c r="G12" s="650" t="s">
        <v>326</v>
      </c>
    </row>
    <row r="13" spans="1:7">
      <c r="A13" s="632">
        <v>10</v>
      </c>
      <c r="B13" s="636" t="s">
        <v>145</v>
      </c>
      <c r="C13" s="637">
        <v>17564314.5402111</v>
      </c>
      <c r="D13" s="651">
        <v>0.8475674343154771</v>
      </c>
      <c r="E13" s="652" t="s">
        <v>38</v>
      </c>
      <c r="F13" s="637">
        <v>17564314.5402111</v>
      </c>
      <c r="G13" s="653">
        <v>0</v>
      </c>
    </row>
    <row r="14" spans="1:7">
      <c r="A14" s="632" t="s">
        <v>280</v>
      </c>
      <c r="B14" s="636" t="s">
        <v>281</v>
      </c>
      <c r="C14" s="639">
        <v>4769481.1386719989</v>
      </c>
      <c r="D14" s="651">
        <v>0.23015170233177235</v>
      </c>
      <c r="E14" s="652" t="s">
        <v>332</v>
      </c>
      <c r="F14" s="638"/>
      <c r="G14" s="641">
        <v>4769481.1386719989</v>
      </c>
    </row>
    <row r="15" spans="1:7">
      <c r="A15" s="632">
        <v>11</v>
      </c>
      <c r="B15" s="643" t="s">
        <v>147</v>
      </c>
      <c r="C15" s="654">
        <v>7564532.2684628917</v>
      </c>
      <c r="D15" s="651">
        <v>0.36502712314218622</v>
      </c>
      <c r="E15" s="652" t="s">
        <v>38</v>
      </c>
      <c r="F15" s="641">
        <v>7564532.2684628917</v>
      </c>
      <c r="G15" s="638"/>
    </row>
    <row r="16" spans="1:7">
      <c r="A16" s="632">
        <v>12</v>
      </c>
      <c r="B16" s="643" t="s">
        <v>149</v>
      </c>
      <c r="C16" s="639">
        <v>173054307.24066657</v>
      </c>
      <c r="D16" s="651">
        <v>8.3507497459932871</v>
      </c>
      <c r="E16" s="652" t="s">
        <v>38</v>
      </c>
      <c r="F16" s="639">
        <v>173054307.24066657</v>
      </c>
      <c r="G16" s="638"/>
    </row>
    <row r="17" spans="1:7">
      <c r="A17" s="632">
        <v>13</v>
      </c>
      <c r="B17" s="643" t="s">
        <v>419</v>
      </c>
      <c r="C17" s="639">
        <v>69962949.456452519</v>
      </c>
      <c r="D17" s="651">
        <v>3.3760678466668006</v>
      </c>
      <c r="E17" s="652" t="s">
        <v>332</v>
      </c>
      <c r="F17" s="639"/>
      <c r="G17" s="639">
        <v>69962949.456452519</v>
      </c>
    </row>
    <row r="18" spans="1:7">
      <c r="A18" s="632">
        <v>14</v>
      </c>
      <c r="B18" s="643" t="s">
        <v>420</v>
      </c>
      <c r="C18" s="639">
        <v>378349379.60972166</v>
      </c>
      <c r="D18" s="651">
        <v>18.257280249480782</v>
      </c>
      <c r="E18" s="652" t="s">
        <v>332</v>
      </c>
      <c r="F18" s="639"/>
      <c r="G18" s="639">
        <v>378349379.60972166</v>
      </c>
    </row>
    <row r="19" spans="1:7">
      <c r="A19" s="632">
        <v>15</v>
      </c>
      <c r="B19" s="643" t="s">
        <v>152</v>
      </c>
      <c r="C19" s="639">
        <v>7238267.1874165451</v>
      </c>
      <c r="D19" s="651">
        <v>0.34928317497864692</v>
      </c>
      <c r="E19" s="652" t="s">
        <v>38</v>
      </c>
      <c r="F19" s="639">
        <v>7238267.1874165451</v>
      </c>
      <c r="G19" s="638"/>
    </row>
    <row r="20" spans="1:7">
      <c r="A20" s="632" t="s">
        <v>153</v>
      </c>
      <c r="B20" s="655" t="s">
        <v>154</v>
      </c>
      <c r="C20" s="639">
        <v>8206061.1260157973</v>
      </c>
      <c r="D20" s="651">
        <v>0.39598415061915598</v>
      </c>
      <c r="E20" s="652" t="s">
        <v>38</v>
      </c>
      <c r="F20" s="639">
        <v>8206061.1260157973</v>
      </c>
      <c r="G20" s="638"/>
    </row>
    <row r="21" spans="1:7">
      <c r="A21" s="632" t="s">
        <v>155</v>
      </c>
      <c r="B21" s="655" t="s">
        <v>156</v>
      </c>
      <c r="C21" s="639">
        <v>2763777.09</v>
      </c>
      <c r="D21" s="651">
        <v>0.13336628946312651</v>
      </c>
      <c r="E21" s="652" t="s">
        <v>38</v>
      </c>
      <c r="F21" s="639">
        <v>2763777.09</v>
      </c>
      <c r="G21" s="638"/>
    </row>
    <row r="22" spans="1:7">
      <c r="A22" s="632" t="s">
        <v>157</v>
      </c>
      <c r="B22" s="655" t="s">
        <v>158</v>
      </c>
      <c r="C22" s="639">
        <v>1262663.2680056884</v>
      </c>
      <c r="D22" s="651">
        <v>6.092991924153475E-2</v>
      </c>
      <c r="E22" s="652" t="s">
        <v>332</v>
      </c>
      <c r="F22" s="639"/>
      <c r="G22" s="639">
        <v>1262663.2680056884</v>
      </c>
    </row>
    <row r="23" spans="1:7">
      <c r="A23" s="632" t="s">
        <v>159</v>
      </c>
      <c r="B23" s="655" t="s">
        <v>160</v>
      </c>
      <c r="C23" s="639">
        <v>2119540.3036357597</v>
      </c>
      <c r="D23" s="651">
        <v>0.1022785906599471</v>
      </c>
      <c r="E23" s="652" t="s">
        <v>38</v>
      </c>
      <c r="F23" s="639">
        <v>2119540.3036357597</v>
      </c>
      <c r="G23" s="639"/>
    </row>
    <row r="24" spans="1:7">
      <c r="A24" s="632" t="s">
        <v>337</v>
      </c>
      <c r="B24" s="655" t="s">
        <v>421</v>
      </c>
      <c r="C24" s="639">
        <v>313332.07420681993</v>
      </c>
      <c r="D24" s="651">
        <v>1.5119864861007507E-2</v>
      </c>
      <c r="E24" s="652" t="s">
        <v>332</v>
      </c>
      <c r="F24" s="638"/>
      <c r="G24" s="641">
        <v>313332.07420681993</v>
      </c>
    </row>
    <row r="25" spans="1:7">
      <c r="A25" s="632">
        <v>16</v>
      </c>
      <c r="B25" s="643" t="s">
        <v>422</v>
      </c>
      <c r="C25" s="639">
        <v>171115373.90212974</v>
      </c>
      <c r="D25" s="651">
        <v>8.2571863592018406</v>
      </c>
      <c r="E25" s="652" t="s">
        <v>332</v>
      </c>
      <c r="F25" s="638"/>
      <c r="G25" s="639">
        <v>171115373.90212974</v>
      </c>
    </row>
    <row r="26" spans="1:7">
      <c r="A26" s="632">
        <v>17</v>
      </c>
      <c r="B26" s="643" t="s">
        <v>423</v>
      </c>
      <c r="C26" s="639">
        <v>108374278.4084733</v>
      </c>
      <c r="D26" s="651">
        <v>5.2296096660175699</v>
      </c>
      <c r="E26" s="652" t="s">
        <v>332</v>
      </c>
      <c r="F26" s="638"/>
      <c r="G26" s="639">
        <v>108374278.4084733</v>
      </c>
    </row>
    <row r="27" spans="1:7">
      <c r="A27" s="632">
        <v>18</v>
      </c>
      <c r="B27" s="643" t="s">
        <v>341</v>
      </c>
      <c r="C27" s="639">
        <v>-11639833.365925668</v>
      </c>
      <c r="D27" s="651">
        <v>-0.56168111082453498</v>
      </c>
      <c r="E27" s="652" t="s">
        <v>38</v>
      </c>
      <c r="F27" s="639">
        <v>-11639833.365925668</v>
      </c>
      <c r="G27" s="639"/>
    </row>
    <row r="28" spans="1:7">
      <c r="A28" s="632">
        <v>19</v>
      </c>
      <c r="B28" s="643" t="s">
        <v>164</v>
      </c>
      <c r="C28" s="639">
        <v>138209148.65181684</v>
      </c>
      <c r="D28" s="651">
        <v>6.6692937691116345</v>
      </c>
      <c r="E28" s="652" t="s">
        <v>38</v>
      </c>
      <c r="F28" s="639">
        <v>138209148.65181684</v>
      </c>
      <c r="G28" s="639"/>
    </row>
    <row r="29" spans="1:7">
      <c r="A29" s="632">
        <v>20</v>
      </c>
      <c r="B29" s="643" t="s">
        <v>165</v>
      </c>
      <c r="C29" s="639">
        <v>-36228866.83523047</v>
      </c>
      <c r="D29" s="651">
        <v>-1.7482269314521348</v>
      </c>
      <c r="E29" s="652" t="s">
        <v>332</v>
      </c>
      <c r="F29" s="639"/>
      <c r="G29" s="639">
        <v>-36228866.83523047</v>
      </c>
    </row>
    <row r="30" spans="1:7">
      <c r="A30" s="656">
        <v>21</v>
      </c>
      <c r="B30" s="657" t="s">
        <v>282</v>
      </c>
      <c r="C30" s="639">
        <v>-16223873.273980575</v>
      </c>
      <c r="D30" s="651">
        <v>-0.78288433140994562</v>
      </c>
      <c r="E30" s="652" t="s">
        <v>332</v>
      </c>
      <c r="F30" s="639"/>
      <c r="G30" s="639">
        <v>-16223873.273980575</v>
      </c>
    </row>
    <row r="31" spans="1:7">
      <c r="A31" s="632">
        <v>22</v>
      </c>
      <c r="B31" s="643" t="s">
        <v>167</v>
      </c>
      <c r="C31" s="639">
        <v>662134.87</v>
      </c>
      <c r="D31" s="651">
        <v>3.1951372292491807E-2</v>
      </c>
      <c r="E31" s="652" t="s">
        <v>38</v>
      </c>
      <c r="F31" s="639">
        <v>662134.87</v>
      </c>
      <c r="G31" s="638"/>
    </row>
    <row r="32" spans="1:7">
      <c r="A32" s="632">
        <v>23</v>
      </c>
      <c r="B32" s="658" t="s">
        <v>168</v>
      </c>
      <c r="C32" s="639">
        <v>161583689.16694248</v>
      </c>
      <c r="D32" s="651">
        <v>7.7972341329301305</v>
      </c>
      <c r="E32" s="652" t="s">
        <v>38</v>
      </c>
      <c r="F32" s="639">
        <v>161583689.16694248</v>
      </c>
      <c r="G32" s="638"/>
    </row>
    <row r="33" spans="1:7">
      <c r="A33" s="632">
        <v>24</v>
      </c>
      <c r="B33" s="633" t="s">
        <v>169</v>
      </c>
      <c r="C33" s="639">
        <v>3490805.0455442886</v>
      </c>
      <c r="D33" s="651">
        <v>0.16844908290465715</v>
      </c>
      <c r="E33" s="652" t="s">
        <v>38</v>
      </c>
      <c r="F33" s="641">
        <v>3490805.0455442886</v>
      </c>
      <c r="G33" s="638"/>
    </row>
    <row r="34" spans="1:7">
      <c r="A34" s="632">
        <v>25</v>
      </c>
      <c r="B34" s="633" t="s">
        <v>424</v>
      </c>
      <c r="C34" s="639">
        <v>19415532.153878614</v>
      </c>
      <c r="D34" s="651">
        <v>0.93689809163112181</v>
      </c>
      <c r="E34" s="652" t="s">
        <v>38</v>
      </c>
      <c r="F34" s="639">
        <v>19415532.153878614</v>
      </c>
      <c r="G34" s="638"/>
    </row>
    <row r="35" spans="1:7">
      <c r="A35" s="632">
        <v>26</v>
      </c>
      <c r="B35" s="659" t="s">
        <v>425</v>
      </c>
      <c r="C35" s="660"/>
      <c r="D35" s="660"/>
      <c r="E35" s="652"/>
      <c r="F35" s="660"/>
      <c r="G35" s="660"/>
    </row>
    <row r="36" spans="1:7">
      <c r="A36" s="632">
        <v>27</v>
      </c>
      <c r="B36" s="661" t="s">
        <v>174</v>
      </c>
      <c r="C36" s="662">
        <v>1211926994.0271161</v>
      </c>
      <c r="D36" s="663">
        <v>58.48163619215655</v>
      </c>
      <c r="E36" s="663"/>
      <c r="F36" s="662">
        <v>530232276.27866518</v>
      </c>
      <c r="G36" s="662">
        <v>681694717.74845052</v>
      </c>
    </row>
    <row r="37" spans="1:7">
      <c r="A37" s="632">
        <v>28</v>
      </c>
      <c r="B37" s="643" t="s">
        <v>176</v>
      </c>
      <c r="C37" s="664">
        <v>0.95238599999999995</v>
      </c>
      <c r="D37" s="664">
        <v>0.95238599999999995</v>
      </c>
      <c r="E37" s="664"/>
      <c r="F37" s="665">
        <v>0.95238599999999995</v>
      </c>
      <c r="G37" s="665">
        <v>0.95238599999999995</v>
      </c>
    </row>
    <row r="38" spans="1:7">
      <c r="A38" s="632">
        <v>29</v>
      </c>
      <c r="B38" s="643" t="s">
        <v>348</v>
      </c>
      <c r="C38" s="662">
        <v>1272516599.3904951</v>
      </c>
      <c r="D38" s="663">
        <v>61.405392553183852</v>
      </c>
      <c r="E38" s="663"/>
      <c r="F38" s="662">
        <v>556740939.36561978</v>
      </c>
      <c r="G38" s="662">
        <v>715775660.02487493</v>
      </c>
    </row>
    <row r="39" spans="1:7">
      <c r="A39" s="632">
        <v>30</v>
      </c>
      <c r="B39" s="643" t="s">
        <v>177</v>
      </c>
      <c r="C39" s="654">
        <v>20723206</v>
      </c>
      <c r="D39" s="762" t="s">
        <v>178</v>
      </c>
      <c r="E39" s="762"/>
      <c r="F39" s="638"/>
      <c r="G39" s="638"/>
    </row>
    <row r="40" spans="1:7">
      <c r="A40" s="632">
        <v>31</v>
      </c>
      <c r="B40" s="636"/>
      <c r="C40" s="653"/>
      <c r="D40" s="667" t="s">
        <v>1</v>
      </c>
      <c r="E40" s="667"/>
      <c r="F40" s="667" t="s">
        <v>314</v>
      </c>
      <c r="G40" s="667" t="s">
        <v>426</v>
      </c>
    </row>
    <row r="41" spans="1:7">
      <c r="A41" s="632">
        <v>32</v>
      </c>
      <c r="B41" s="643" t="s">
        <v>351</v>
      </c>
      <c r="C41" s="635"/>
      <c r="D41" s="635"/>
      <c r="E41" s="635"/>
      <c r="F41" s="635"/>
      <c r="G41" s="635"/>
    </row>
    <row r="42" spans="1:7">
      <c r="A42" s="632">
        <v>33</v>
      </c>
      <c r="B42" s="643" t="s">
        <v>353</v>
      </c>
      <c r="C42" s="668"/>
      <c r="D42" s="669">
        <v>58.481636192156543</v>
      </c>
      <c r="E42" s="669"/>
      <c r="F42" s="669">
        <v>25.586401847217328</v>
      </c>
      <c r="G42" s="669">
        <v>32.895234344939219</v>
      </c>
    </row>
    <row r="43" spans="1:7">
      <c r="A43" s="632">
        <v>34</v>
      </c>
      <c r="B43" s="643" t="s">
        <v>348</v>
      </c>
      <c r="C43" s="635"/>
      <c r="D43" s="669">
        <v>61.405392553183837</v>
      </c>
      <c r="E43" s="669"/>
      <c r="F43" s="669">
        <v>26.865579552006565</v>
      </c>
      <c r="G43" s="669">
        <v>34.539813001177272</v>
      </c>
    </row>
    <row r="44" spans="1:7">
      <c r="A44" s="632">
        <v>35</v>
      </c>
      <c r="B44" s="643"/>
      <c r="C44" s="635"/>
      <c r="D44" s="635"/>
      <c r="E44" s="635"/>
      <c r="F44" s="635"/>
      <c r="G44" s="635"/>
    </row>
    <row r="45" spans="1:7">
      <c r="A45" s="632">
        <v>36</v>
      </c>
      <c r="B45" s="643" t="s">
        <v>427</v>
      </c>
      <c r="C45" s="635"/>
      <c r="D45" s="635"/>
      <c r="E45" s="635"/>
      <c r="F45" s="635"/>
      <c r="G45" s="635"/>
    </row>
    <row r="46" spans="1:7">
      <c r="A46" s="625"/>
      <c r="B46" s="670"/>
      <c r="C46" s="625"/>
      <c r="D46" s="625"/>
      <c r="E46" s="625"/>
      <c r="F46" s="625"/>
      <c r="G46" s="625"/>
    </row>
    <row r="47" spans="1:7" ht="15.75" thickBot="1">
      <c r="A47" s="625"/>
      <c r="B47" s="671"/>
      <c r="C47" s="672"/>
      <c r="D47" s="673" t="s">
        <v>136</v>
      </c>
      <c r="E47" s="673"/>
      <c r="F47" s="673" t="s">
        <v>428</v>
      </c>
      <c r="G47" s="625"/>
    </row>
    <row r="48" spans="1:7">
      <c r="A48" s="625"/>
      <c r="B48" s="674" t="s">
        <v>429</v>
      </c>
      <c r="C48" s="675"/>
      <c r="D48" s="676" t="s">
        <v>356</v>
      </c>
      <c r="E48" s="676"/>
      <c r="F48" s="677">
        <v>1</v>
      </c>
      <c r="G48" s="625"/>
    </row>
    <row r="49" spans="1:7">
      <c r="A49" s="625"/>
      <c r="B49" s="678" t="s">
        <v>364</v>
      </c>
      <c r="C49" s="679">
        <v>407</v>
      </c>
      <c r="D49" s="680">
        <v>6553640.5497812936</v>
      </c>
      <c r="E49" s="680"/>
      <c r="F49" s="681">
        <v>6553640.5497812936</v>
      </c>
      <c r="G49" s="630"/>
    </row>
    <row r="50" spans="1:7">
      <c r="A50" s="625"/>
      <c r="B50" s="682" t="s">
        <v>366</v>
      </c>
      <c r="C50" s="673">
        <v>407.3</v>
      </c>
      <c r="D50" s="683">
        <v>687420</v>
      </c>
      <c r="E50" s="683"/>
      <c r="F50" s="684">
        <v>687420</v>
      </c>
      <c r="G50" s="630"/>
    </row>
    <row r="51" spans="1:7">
      <c r="A51" s="625"/>
      <c r="B51" s="682" t="s">
        <v>367</v>
      </c>
      <c r="C51" s="673">
        <v>407.3</v>
      </c>
      <c r="D51" s="683">
        <v>2885052</v>
      </c>
      <c r="E51" s="683"/>
      <c r="F51" s="684">
        <v>2885052</v>
      </c>
      <c r="G51" s="630"/>
    </row>
    <row r="52" spans="1:7">
      <c r="A52" s="625"/>
      <c r="B52" s="685" t="s">
        <v>369</v>
      </c>
      <c r="C52" s="673">
        <v>407.3</v>
      </c>
      <c r="D52" s="683">
        <v>4520422.508572978</v>
      </c>
      <c r="E52" s="683"/>
      <c r="F52" s="684">
        <v>4520422.508572978</v>
      </c>
      <c r="G52" s="630"/>
    </row>
    <row r="53" spans="1:7">
      <c r="A53" s="625"/>
      <c r="B53" s="685" t="s">
        <v>370</v>
      </c>
      <c r="C53" s="673">
        <v>407.3</v>
      </c>
      <c r="D53" s="683">
        <v>561126.34087998548</v>
      </c>
      <c r="E53" s="683"/>
      <c r="F53" s="684">
        <v>561126.34087998548</v>
      </c>
      <c r="G53" s="630"/>
    </row>
    <row r="54" spans="1:7">
      <c r="A54" s="625"/>
      <c r="B54" s="685" t="s">
        <v>371</v>
      </c>
      <c r="C54" s="673">
        <v>407.3</v>
      </c>
      <c r="D54" s="683">
        <v>2203436.1529896799</v>
      </c>
      <c r="E54" s="683"/>
      <c r="F54" s="684">
        <v>2203436.1529896799</v>
      </c>
      <c r="G54" s="630"/>
    </row>
    <row r="55" spans="1:7">
      <c r="A55" s="625"/>
      <c r="B55" s="685" t="s">
        <v>372</v>
      </c>
      <c r="C55" s="673">
        <v>407.4</v>
      </c>
      <c r="D55" s="683">
        <v>-1781873.2383453234</v>
      </c>
      <c r="E55" s="683"/>
      <c r="F55" s="684">
        <v>-1781873.2383453234</v>
      </c>
      <c r="G55" s="630"/>
    </row>
    <row r="56" spans="1:7">
      <c r="A56" s="625"/>
      <c r="B56" s="685" t="s">
        <v>373</v>
      </c>
      <c r="C56" s="673">
        <v>407</v>
      </c>
      <c r="D56" s="686">
        <v>3786307.8400000003</v>
      </c>
      <c r="E56" s="686"/>
      <c r="F56" s="687">
        <v>3786307.8400000003</v>
      </c>
      <c r="G56" s="630"/>
    </row>
    <row r="57" spans="1:7">
      <c r="A57" s="625"/>
      <c r="B57" s="682" t="s">
        <v>374</v>
      </c>
      <c r="C57" s="596"/>
      <c r="D57" s="686">
        <v>19415532.153878614</v>
      </c>
      <c r="E57" s="686"/>
      <c r="F57" s="687">
        <v>19415532.153878614</v>
      </c>
      <c r="G57" s="630">
        <v>0</v>
      </c>
    </row>
    <row r="58" spans="1:7" ht="15.75" thickBot="1">
      <c r="A58" s="625"/>
      <c r="B58" s="598"/>
      <c r="C58" s="688" t="s">
        <v>363</v>
      </c>
      <c r="D58" s="689">
        <v>0</v>
      </c>
      <c r="E58" s="689"/>
      <c r="F58" s="690">
        <v>0</v>
      </c>
      <c r="G58" s="625"/>
    </row>
    <row r="59" spans="1:7">
      <c r="A59" s="763"/>
      <c r="B59" s="763"/>
      <c r="C59" s="763"/>
      <c r="D59" s="763"/>
      <c r="E59" s="763"/>
      <c r="F59" s="763"/>
      <c r="G59" s="625"/>
    </row>
    <row r="60" spans="1:7">
      <c r="A60" s="763"/>
      <c r="B60" s="763"/>
      <c r="C60" s="763"/>
      <c r="D60" s="763"/>
      <c r="E60" s="763"/>
      <c r="F60" s="763"/>
      <c r="G60" s="625"/>
    </row>
  </sheetData>
  <printOptions horizontalCentered="1"/>
  <pageMargins left="0.7" right="0.7" top="0.75" bottom="0.75" header="0.3" footer="0.3"/>
  <pageSetup scale="80" orientation="portrait" r:id="rId1"/>
  <headerFooter>
    <oddFooter xml:space="preserve">&amp;L&amp;F
&amp;A&amp;RPage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Q49"/>
  <sheetViews>
    <sheetView zoomScale="90" zoomScaleNormal="90" workbookViewId="0">
      <pane xSplit="6" ySplit="13" topLeftCell="G38" activePane="bottomRight" state="frozen"/>
      <selection activeCell="E27" sqref="E27"/>
      <selection pane="topRight" activeCell="E27" sqref="E27"/>
      <selection pane="bottomLeft" activeCell="E27" sqref="E27"/>
      <selection pane="bottomRight" sqref="A1:Q47"/>
    </sheetView>
  </sheetViews>
  <sheetFormatPr defaultRowHeight="15"/>
  <cols>
    <col min="1" max="1" width="4.85546875" bestFit="1" customWidth="1"/>
    <col min="2" max="2" width="2.85546875" customWidth="1"/>
    <col min="3" max="3" width="37.28515625" bestFit="1" customWidth="1"/>
    <col min="4" max="4" width="2.85546875" customWidth="1"/>
    <col min="5" max="5" width="11.140625" bestFit="1" customWidth="1"/>
    <col min="6" max="6" width="2.85546875" customWidth="1"/>
    <col min="7" max="7" width="10.7109375" bestFit="1" customWidth="1"/>
    <col min="8" max="8" width="2.85546875" customWidth="1"/>
    <col min="9" max="9" width="11.7109375" bestFit="1" customWidth="1"/>
    <col min="10" max="10" width="2.85546875" customWidth="1"/>
    <col min="11" max="11" width="11" bestFit="1" customWidth="1"/>
    <col min="12" max="12" width="2.85546875" customWidth="1"/>
    <col min="13" max="13" width="11" bestFit="1" customWidth="1"/>
    <col min="14" max="14" width="2.85546875" customWidth="1"/>
    <col min="15" max="15" width="9.28515625" bestFit="1" customWidth="1"/>
    <col min="16" max="16" width="7.85546875" bestFit="1" customWidth="1"/>
    <col min="17" max="17" width="2.85546875" customWidth="1"/>
  </cols>
  <sheetData>
    <row r="1" spans="1:17">
      <c r="A1" s="783" t="s">
        <v>430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</row>
    <row r="2" spans="1:17">
      <c r="A2" s="784" t="s">
        <v>431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</row>
    <row r="3" spans="1:17">
      <c r="A3" s="784" t="s">
        <v>432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</row>
    <row r="4" spans="1:17">
      <c r="A4" s="783" t="s">
        <v>433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</row>
    <row r="5" spans="1:17">
      <c r="A5" s="783" t="s">
        <v>434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</row>
    <row r="6" spans="1:17">
      <c r="A6" s="783"/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</row>
    <row r="7" spans="1:17">
      <c r="A7" s="757"/>
      <c r="B7" s="757"/>
      <c r="C7" s="757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692"/>
    </row>
    <row r="8" spans="1:17" ht="15.75">
      <c r="A8" s="720"/>
      <c r="B8" s="720"/>
      <c r="C8" s="694"/>
      <c r="D8" s="694"/>
      <c r="E8" s="694"/>
      <c r="F8" s="694"/>
      <c r="G8" s="720"/>
      <c r="H8" s="720"/>
      <c r="I8" s="720"/>
      <c r="J8" s="695"/>
      <c r="K8" s="696"/>
      <c r="L8" s="697"/>
      <c r="M8" s="777" t="s">
        <v>498</v>
      </c>
      <c r="N8" s="778"/>
      <c r="O8" s="778"/>
      <c r="P8" s="779"/>
      <c r="Q8" s="697"/>
    </row>
    <row r="9" spans="1:17" ht="15.75">
      <c r="A9" s="720"/>
      <c r="B9" s="720"/>
      <c r="C9" s="694"/>
      <c r="D9" s="694"/>
      <c r="E9" s="694"/>
      <c r="F9" s="694"/>
      <c r="G9" s="720"/>
      <c r="H9" s="720"/>
      <c r="I9" s="720"/>
      <c r="J9" s="720"/>
      <c r="K9" s="705" t="s">
        <v>436</v>
      </c>
      <c r="L9" s="699"/>
      <c r="M9" s="780" t="s">
        <v>437</v>
      </c>
      <c r="N9" s="781"/>
      <c r="O9" s="781"/>
      <c r="P9" s="782"/>
      <c r="Q9" s="699"/>
    </row>
    <row r="10" spans="1:17" ht="15.75">
      <c r="A10" s="720"/>
      <c r="B10" s="720"/>
      <c r="C10" s="694"/>
      <c r="D10" s="694"/>
      <c r="E10" s="700" t="s">
        <v>438</v>
      </c>
      <c r="F10" s="701"/>
      <c r="G10" s="720"/>
      <c r="H10" s="720"/>
      <c r="I10" s="720"/>
      <c r="J10" s="720"/>
      <c r="K10" s="716" t="s">
        <v>439</v>
      </c>
      <c r="L10" s="703"/>
      <c r="M10" s="716" t="s">
        <v>439</v>
      </c>
      <c r="N10" s="716"/>
      <c r="O10" s="704" t="s">
        <v>123</v>
      </c>
      <c r="P10" s="704"/>
      <c r="Q10" s="704"/>
    </row>
    <row r="11" spans="1:17" ht="15.75">
      <c r="A11" s="705" t="s">
        <v>440</v>
      </c>
      <c r="B11" s="720"/>
      <c r="C11" s="694"/>
      <c r="D11" s="694"/>
      <c r="E11" s="701" t="s">
        <v>441</v>
      </c>
      <c r="F11" s="701"/>
      <c r="G11" s="705" t="s">
        <v>442</v>
      </c>
      <c r="H11" s="720"/>
      <c r="I11" s="720"/>
      <c r="J11" s="720"/>
      <c r="K11" s="705" t="s">
        <v>443</v>
      </c>
      <c r="L11" s="705"/>
      <c r="M11" s="706" t="s">
        <v>443</v>
      </c>
      <c r="N11" s="705"/>
      <c r="O11" s="707" t="s">
        <v>444</v>
      </c>
      <c r="P11" s="705" t="s">
        <v>439</v>
      </c>
      <c r="Q11" s="705"/>
    </row>
    <row r="12" spans="1:17" ht="15.75">
      <c r="A12" s="708" t="s">
        <v>445</v>
      </c>
      <c r="B12" s="720"/>
      <c r="C12" s="709" t="s">
        <v>31</v>
      </c>
      <c r="D12" s="694"/>
      <c r="E12" s="709" t="s">
        <v>445</v>
      </c>
      <c r="F12" s="710"/>
      <c r="G12" s="756" t="s">
        <v>446</v>
      </c>
      <c r="H12" s="720"/>
      <c r="I12" s="756" t="s">
        <v>447</v>
      </c>
      <c r="J12" s="720"/>
      <c r="K12" s="712" t="s">
        <v>448</v>
      </c>
      <c r="L12" s="716"/>
      <c r="M12" s="713" t="s">
        <v>448</v>
      </c>
      <c r="N12" s="714"/>
      <c r="O12" s="715" t="s">
        <v>448</v>
      </c>
      <c r="P12" s="756" t="s">
        <v>449</v>
      </c>
      <c r="Q12" s="716"/>
    </row>
    <row r="13" spans="1:17" ht="15.75">
      <c r="A13" s="717"/>
      <c r="B13" s="720"/>
      <c r="C13" s="707" t="s">
        <v>450</v>
      </c>
      <c r="D13" s="694"/>
      <c r="E13" s="707" t="s">
        <v>451</v>
      </c>
      <c r="F13" s="701"/>
      <c r="G13" s="707" t="s">
        <v>452</v>
      </c>
      <c r="H13" s="720"/>
      <c r="I13" s="707" t="s">
        <v>453</v>
      </c>
      <c r="J13" s="720"/>
      <c r="K13" s="707" t="s">
        <v>454</v>
      </c>
      <c r="L13" s="707"/>
      <c r="M13" s="707" t="s">
        <v>455</v>
      </c>
      <c r="N13" s="707"/>
      <c r="O13" s="707" t="s">
        <v>456</v>
      </c>
      <c r="P13" s="707" t="s">
        <v>457</v>
      </c>
      <c r="Q13" s="707"/>
    </row>
    <row r="14" spans="1:17" ht="15.75">
      <c r="A14" s="720"/>
      <c r="B14" s="720"/>
      <c r="C14" s="694"/>
      <c r="D14" s="694"/>
      <c r="E14" s="694"/>
      <c r="F14" s="694"/>
      <c r="G14" s="720"/>
      <c r="H14" s="720"/>
      <c r="I14" s="720"/>
      <c r="J14" s="720"/>
      <c r="K14" s="720"/>
      <c r="L14" s="707"/>
      <c r="M14" s="707" t="s">
        <v>123</v>
      </c>
      <c r="N14" s="720"/>
      <c r="O14" s="707" t="s">
        <v>458</v>
      </c>
      <c r="P14" s="707" t="s">
        <v>459</v>
      </c>
      <c r="Q14" s="720"/>
    </row>
    <row r="15" spans="1:17" ht="15.75">
      <c r="A15" s="720"/>
      <c r="B15" s="720"/>
      <c r="C15" s="718" t="s">
        <v>460</v>
      </c>
      <c r="D15" s="694"/>
      <c r="E15" s="694"/>
      <c r="F15" s="694"/>
      <c r="G15" s="720"/>
      <c r="H15" s="720"/>
      <c r="I15" s="720"/>
      <c r="J15" s="720"/>
      <c r="K15" s="720"/>
      <c r="L15" s="720"/>
      <c r="M15" s="720"/>
      <c r="N15" s="720"/>
      <c r="O15" s="720"/>
      <c r="P15" s="720"/>
      <c r="Q15" s="720"/>
    </row>
    <row r="16" spans="1:17" ht="15.75">
      <c r="A16" s="705">
        <v>1</v>
      </c>
      <c r="B16" s="720"/>
      <c r="C16" s="694" t="s">
        <v>460</v>
      </c>
      <c r="D16" s="694"/>
      <c r="E16" s="700">
        <v>7</v>
      </c>
      <c r="F16" s="700"/>
      <c r="G16" s="719">
        <v>999942</v>
      </c>
      <c r="H16" s="720"/>
      <c r="I16" s="719">
        <v>10442426</v>
      </c>
      <c r="J16" s="720"/>
      <c r="K16" s="722">
        <v>1066627</v>
      </c>
      <c r="L16" s="722"/>
      <c r="M16" s="722">
        <v>1086698</v>
      </c>
      <c r="N16" s="722"/>
      <c r="O16" s="722">
        <v>20071</v>
      </c>
      <c r="P16" s="723">
        <v>1.8817262266940551E-2</v>
      </c>
      <c r="Q16" s="724"/>
    </row>
    <row r="17" spans="1:17" ht="15.75">
      <c r="A17" s="725">
        <v>2</v>
      </c>
      <c r="B17" s="720"/>
      <c r="C17" s="726" t="s">
        <v>461</v>
      </c>
      <c r="D17" s="694"/>
      <c r="E17" s="694"/>
      <c r="F17" s="694"/>
      <c r="G17" s="727">
        <v>999942</v>
      </c>
      <c r="H17" s="720"/>
      <c r="I17" s="727">
        <v>10442426</v>
      </c>
      <c r="J17" s="720"/>
      <c r="K17" s="728">
        <v>1066627</v>
      </c>
      <c r="L17" s="722"/>
      <c r="M17" s="728">
        <v>1086698</v>
      </c>
      <c r="N17" s="722"/>
      <c r="O17" s="728">
        <v>20071</v>
      </c>
      <c r="P17" s="729">
        <v>1.8817262266940551E-2</v>
      </c>
      <c r="Q17" s="724"/>
    </row>
    <row r="18" spans="1:17" ht="15.75">
      <c r="A18" s="720"/>
      <c r="B18" s="720"/>
      <c r="C18" s="694"/>
      <c r="D18" s="694"/>
      <c r="E18" s="694"/>
      <c r="F18" s="694"/>
      <c r="G18" s="720"/>
      <c r="H18" s="720"/>
      <c r="I18" s="720" t="s">
        <v>123</v>
      </c>
      <c r="J18" s="720"/>
      <c r="K18" s="730"/>
      <c r="L18" s="730"/>
      <c r="M18" s="730"/>
      <c r="N18" s="730"/>
      <c r="O18" s="730"/>
      <c r="P18" s="731"/>
      <c r="Q18" s="720"/>
    </row>
    <row r="19" spans="1:17" ht="15.75">
      <c r="A19" s="720"/>
      <c r="B19" s="720"/>
      <c r="C19" s="732" t="s">
        <v>462</v>
      </c>
      <c r="D19" s="694"/>
      <c r="E19" s="694"/>
      <c r="F19" s="694"/>
      <c r="G19" s="733"/>
      <c r="H19" s="720"/>
      <c r="I19" s="720"/>
      <c r="J19" s="720"/>
      <c r="K19" s="730"/>
      <c r="L19" s="730"/>
      <c r="M19" s="730"/>
      <c r="N19" s="730"/>
      <c r="O19" s="730"/>
      <c r="P19" s="731"/>
      <c r="Q19" s="720"/>
    </row>
    <row r="20" spans="1:17" ht="15.75">
      <c r="A20" s="725">
        <v>3</v>
      </c>
      <c r="B20" s="720"/>
      <c r="C20" s="734" t="s">
        <v>463</v>
      </c>
      <c r="D20" s="694"/>
      <c r="E20" s="700" t="s">
        <v>464</v>
      </c>
      <c r="F20" s="701"/>
      <c r="G20" s="719">
        <v>126833.25</v>
      </c>
      <c r="H20" s="720"/>
      <c r="I20" s="719">
        <v>2787584</v>
      </c>
      <c r="J20" s="720"/>
      <c r="K20" s="722">
        <v>266957</v>
      </c>
      <c r="L20" s="722"/>
      <c r="M20" s="722">
        <v>270724</v>
      </c>
      <c r="N20" s="722"/>
      <c r="O20" s="722">
        <v>3767</v>
      </c>
      <c r="P20" s="723">
        <v>1.4110886772026956E-2</v>
      </c>
      <c r="Q20" s="724"/>
    </row>
    <row r="21" spans="1:17" ht="15.75">
      <c r="A21" s="725">
        <v>4</v>
      </c>
      <c r="B21" s="720"/>
      <c r="C21" s="734" t="s">
        <v>465</v>
      </c>
      <c r="D21" s="735"/>
      <c r="E21" s="700" t="s">
        <v>466</v>
      </c>
      <c r="F21" s="701"/>
      <c r="G21" s="719">
        <v>7219.916666666667</v>
      </c>
      <c r="H21" s="720"/>
      <c r="I21" s="719">
        <v>2839459</v>
      </c>
      <c r="J21" s="720"/>
      <c r="K21" s="722">
        <v>252529</v>
      </c>
      <c r="L21" s="722"/>
      <c r="M21" s="722">
        <v>255617</v>
      </c>
      <c r="N21" s="722"/>
      <c r="O21" s="722">
        <v>3088</v>
      </c>
      <c r="P21" s="723">
        <v>1.2228298532049785E-2</v>
      </c>
      <c r="Q21" s="724"/>
    </row>
    <row r="22" spans="1:17" ht="15.75">
      <c r="A22" s="725">
        <v>5</v>
      </c>
      <c r="B22" s="720"/>
      <c r="C22" s="734" t="s">
        <v>467</v>
      </c>
      <c r="D22" s="694"/>
      <c r="E22" s="700" t="s">
        <v>468</v>
      </c>
      <c r="F22" s="701"/>
      <c r="G22" s="719">
        <v>9711</v>
      </c>
      <c r="H22" s="720"/>
      <c r="I22" s="719">
        <v>1892054.7443816457</v>
      </c>
      <c r="J22" s="720"/>
      <c r="K22" s="722">
        <v>153864.55600000001</v>
      </c>
      <c r="L22" s="722"/>
      <c r="M22" s="722">
        <v>155745.5</v>
      </c>
      <c r="N22" s="722"/>
      <c r="O22" s="722">
        <v>1880.9439999999886</v>
      </c>
      <c r="P22" s="723">
        <v>1.2224673757873051E-2</v>
      </c>
      <c r="Q22" s="724"/>
    </row>
    <row r="23" spans="1:17" ht="15.75">
      <c r="A23" s="725">
        <v>6</v>
      </c>
      <c r="B23" s="720"/>
      <c r="C23" s="734" t="s">
        <v>469</v>
      </c>
      <c r="D23" s="694"/>
      <c r="E23" s="701">
        <v>29</v>
      </c>
      <c r="F23" s="701"/>
      <c r="G23" s="719">
        <v>607.5</v>
      </c>
      <c r="H23" s="720"/>
      <c r="I23" s="719">
        <v>14327</v>
      </c>
      <c r="J23" s="720"/>
      <c r="K23" s="722">
        <v>1137.7460000000001</v>
      </c>
      <c r="L23" s="722"/>
      <c r="M23" s="722">
        <v>1151.671</v>
      </c>
      <c r="N23" s="722"/>
      <c r="O23" s="722">
        <v>13.924999999999955</v>
      </c>
      <c r="P23" s="723">
        <v>1.2239111365805683E-2</v>
      </c>
      <c r="Q23" s="724"/>
    </row>
    <row r="24" spans="1:17" ht="15.75">
      <c r="A24" s="725">
        <v>7</v>
      </c>
      <c r="B24" s="720"/>
      <c r="C24" s="726" t="s">
        <v>470</v>
      </c>
      <c r="D24" s="694"/>
      <c r="E24" s="701"/>
      <c r="F24" s="701"/>
      <c r="G24" s="727">
        <v>144371.66666666666</v>
      </c>
      <c r="H24" s="720"/>
      <c r="I24" s="727">
        <v>7533424.7443816457</v>
      </c>
      <c r="J24" s="720"/>
      <c r="K24" s="728">
        <v>674488.30200000003</v>
      </c>
      <c r="L24" s="722"/>
      <c r="M24" s="728">
        <v>683238.17099999997</v>
      </c>
      <c r="N24" s="722"/>
      <c r="O24" s="728">
        <v>8749.8689999999879</v>
      </c>
      <c r="P24" s="729">
        <v>1.2972603044492813E-2</v>
      </c>
      <c r="Q24" s="724"/>
    </row>
    <row r="25" spans="1:17" ht="15.75">
      <c r="A25" s="725"/>
      <c r="B25" s="720"/>
      <c r="C25" s="734"/>
      <c r="D25" s="694"/>
      <c r="E25" s="701"/>
      <c r="F25" s="701"/>
      <c r="G25" s="719"/>
      <c r="H25" s="720"/>
      <c r="I25" s="719"/>
      <c r="J25" s="720"/>
      <c r="K25" s="722"/>
      <c r="L25" s="722"/>
      <c r="M25" s="722"/>
      <c r="N25" s="722"/>
      <c r="O25" s="722"/>
      <c r="P25" s="723"/>
      <c r="Q25" s="724"/>
    </row>
    <row r="26" spans="1:17" ht="15.75">
      <c r="A26" s="725"/>
      <c r="B26" s="720"/>
      <c r="C26" s="732" t="s">
        <v>471</v>
      </c>
      <c r="D26" s="694"/>
      <c r="E26" s="701"/>
      <c r="F26" s="701"/>
      <c r="G26" s="719"/>
      <c r="H26" s="720"/>
      <c r="I26" s="719"/>
      <c r="J26" s="720"/>
      <c r="K26" s="722"/>
      <c r="L26" s="722"/>
      <c r="M26" s="722"/>
      <c r="N26" s="722"/>
      <c r="O26" s="722"/>
      <c r="P26" s="723"/>
      <c r="Q26" s="724"/>
    </row>
    <row r="27" spans="1:17" ht="15.75">
      <c r="A27" s="725">
        <v>8</v>
      </c>
      <c r="B27" s="720"/>
      <c r="C27" s="734" t="s">
        <v>472</v>
      </c>
      <c r="D27" s="694"/>
      <c r="E27" s="700" t="s">
        <v>473</v>
      </c>
      <c r="F27" s="701"/>
      <c r="G27" s="719">
        <v>487.83333333333331</v>
      </c>
      <c r="H27" s="720"/>
      <c r="I27" s="719">
        <v>1284401.5744586966</v>
      </c>
      <c r="J27" s="720"/>
      <c r="K27" s="722">
        <v>102890.712</v>
      </c>
      <c r="L27" s="722"/>
      <c r="M27" s="722">
        <v>104148.59600000001</v>
      </c>
      <c r="N27" s="722"/>
      <c r="O27" s="722">
        <v>1257.8840000000055</v>
      </c>
      <c r="P27" s="723">
        <v>1.2225437802393723E-2</v>
      </c>
      <c r="Q27" s="724"/>
    </row>
    <row r="28" spans="1:17" ht="15.75">
      <c r="A28" s="725">
        <v>9</v>
      </c>
      <c r="B28" s="720"/>
      <c r="C28" s="734" t="s">
        <v>474</v>
      </c>
      <c r="D28" s="694"/>
      <c r="E28" s="701">
        <v>35</v>
      </c>
      <c r="F28" s="701"/>
      <c r="G28" s="719">
        <v>1</v>
      </c>
      <c r="H28" s="720"/>
      <c r="I28" s="719">
        <v>4452.6000000000004</v>
      </c>
      <c r="J28" s="720"/>
      <c r="K28" s="722">
        <v>248.215</v>
      </c>
      <c r="L28" s="722"/>
      <c r="M28" s="722">
        <v>255.21899999999999</v>
      </c>
      <c r="N28" s="722"/>
      <c r="O28" s="722">
        <v>7.0039999999999907</v>
      </c>
      <c r="P28" s="723">
        <v>2.8217472755474048E-2</v>
      </c>
      <c r="Q28" s="724"/>
    </row>
    <row r="29" spans="1:17" ht="15.75">
      <c r="A29" s="725">
        <v>10</v>
      </c>
      <c r="B29" s="720"/>
      <c r="C29" s="694" t="s">
        <v>475</v>
      </c>
      <c r="D29" s="694"/>
      <c r="E29" s="700">
        <v>43</v>
      </c>
      <c r="F29" s="701"/>
      <c r="G29" s="719">
        <v>158.66666666666666</v>
      </c>
      <c r="H29" s="720"/>
      <c r="I29" s="719">
        <v>119660.40146477679</v>
      </c>
      <c r="J29" s="720"/>
      <c r="K29" s="722">
        <v>10337.824000000001</v>
      </c>
      <c r="L29" s="722"/>
      <c r="M29" s="722">
        <v>10532.384</v>
      </c>
      <c r="N29" s="722"/>
      <c r="O29" s="722">
        <v>194.55999999999949</v>
      </c>
      <c r="P29" s="723">
        <v>1.8820208198553148E-2</v>
      </c>
      <c r="Q29" s="724"/>
    </row>
    <row r="30" spans="1:17" ht="15.75">
      <c r="A30" s="725">
        <v>11</v>
      </c>
      <c r="B30" s="720"/>
      <c r="C30" s="726" t="s">
        <v>476</v>
      </c>
      <c r="D30" s="694"/>
      <c r="E30" s="701"/>
      <c r="F30" s="701"/>
      <c r="G30" s="727">
        <v>647.5</v>
      </c>
      <c r="H30" s="720"/>
      <c r="I30" s="727">
        <v>1408514.5759234736</v>
      </c>
      <c r="J30" s="720"/>
      <c r="K30" s="728">
        <v>113476.75099999999</v>
      </c>
      <c r="L30" s="722"/>
      <c r="M30" s="728">
        <v>114936.19900000001</v>
      </c>
      <c r="N30" s="722"/>
      <c r="O30" s="728">
        <v>1459.4480000000049</v>
      </c>
      <c r="P30" s="729">
        <v>1.2861207138367973E-2</v>
      </c>
      <c r="Q30" s="724"/>
    </row>
    <row r="31" spans="1:17" ht="15.75">
      <c r="A31" s="725"/>
      <c r="B31" s="720"/>
      <c r="C31" s="694"/>
      <c r="D31" s="694"/>
      <c r="E31" s="700"/>
      <c r="F31" s="701"/>
      <c r="G31" s="719"/>
      <c r="H31" s="720"/>
      <c r="I31" s="719"/>
      <c r="J31" s="720"/>
      <c r="K31" s="722"/>
      <c r="L31" s="722"/>
      <c r="M31" s="722"/>
      <c r="N31" s="722"/>
      <c r="O31" s="722"/>
      <c r="P31" s="723"/>
      <c r="Q31" s="724"/>
    </row>
    <row r="32" spans="1:17" ht="15.75">
      <c r="A32" s="725">
        <v>12</v>
      </c>
      <c r="B32" s="720"/>
      <c r="C32" s="694" t="s">
        <v>477</v>
      </c>
      <c r="D32" s="694"/>
      <c r="E32" s="700">
        <v>40</v>
      </c>
      <c r="F32" s="701"/>
      <c r="G32" s="727">
        <v>142.25</v>
      </c>
      <c r="H32" s="720"/>
      <c r="I32" s="727">
        <v>621678.72633913101</v>
      </c>
      <c r="J32" s="720"/>
      <c r="K32" s="728">
        <v>43551.319801261998</v>
      </c>
      <c r="L32" s="722"/>
      <c r="M32" s="728">
        <v>45113.1855</v>
      </c>
      <c r="N32" s="722"/>
      <c r="O32" s="728">
        <v>1561.8656987380018</v>
      </c>
      <c r="P32" s="729">
        <v>3.5862649073903456E-2</v>
      </c>
      <c r="Q32" s="724"/>
    </row>
    <row r="33" spans="1:17" ht="15.75">
      <c r="A33" s="725"/>
      <c r="B33" s="720"/>
      <c r="C33" s="694"/>
      <c r="D33" s="694"/>
      <c r="E33" s="700"/>
      <c r="F33" s="701"/>
      <c r="G33" s="719"/>
      <c r="H33" s="720"/>
      <c r="I33" s="719"/>
      <c r="J33" s="720"/>
      <c r="K33" s="722"/>
      <c r="L33" s="722"/>
      <c r="M33" s="722"/>
      <c r="N33" s="722"/>
      <c r="O33" s="722"/>
      <c r="P33" s="723"/>
      <c r="Q33" s="724"/>
    </row>
    <row r="34" spans="1:17" ht="15.75">
      <c r="A34" s="725"/>
      <c r="B34" s="720"/>
      <c r="C34" s="732" t="s">
        <v>478</v>
      </c>
      <c r="D34" s="694"/>
      <c r="E34" s="700"/>
      <c r="F34" s="701"/>
      <c r="G34" s="719"/>
      <c r="H34" s="720"/>
      <c r="I34" s="719"/>
      <c r="J34" s="720"/>
      <c r="K34" s="722"/>
      <c r="L34" s="722"/>
      <c r="M34" s="722"/>
      <c r="N34" s="722"/>
      <c r="O34" s="722"/>
      <c r="P34" s="723"/>
      <c r="Q34" s="724"/>
    </row>
    <row r="35" spans="1:17" ht="15.75">
      <c r="A35" s="725">
        <v>13</v>
      </c>
      <c r="B35" s="720"/>
      <c r="C35" s="734" t="s">
        <v>479</v>
      </c>
      <c r="D35" s="694"/>
      <c r="E35" s="700">
        <v>46</v>
      </c>
      <c r="F35" s="701"/>
      <c r="G35" s="719">
        <v>5</v>
      </c>
      <c r="H35" s="720"/>
      <c r="I35" s="719">
        <v>64275.357697999993</v>
      </c>
      <c r="J35" s="720"/>
      <c r="K35" s="722">
        <v>4202.3490000000002</v>
      </c>
      <c r="L35" s="722"/>
      <c r="M35" s="722">
        <v>4256.2510000000002</v>
      </c>
      <c r="N35" s="722"/>
      <c r="O35" s="722">
        <v>53.902000000000044</v>
      </c>
      <c r="P35" s="723">
        <v>1.2826635769661216E-2</v>
      </c>
      <c r="Q35" s="724"/>
    </row>
    <row r="36" spans="1:17" ht="15.75">
      <c r="A36" s="725">
        <v>14</v>
      </c>
      <c r="B36" s="720"/>
      <c r="C36" s="694" t="s">
        <v>249</v>
      </c>
      <c r="D36" s="694"/>
      <c r="E36" s="700">
        <v>49</v>
      </c>
      <c r="F36" s="701"/>
      <c r="G36" s="719">
        <v>20</v>
      </c>
      <c r="H36" s="720"/>
      <c r="I36" s="719">
        <v>567983.85900000005</v>
      </c>
      <c r="J36" s="720"/>
      <c r="K36" s="722">
        <v>36157.741000000002</v>
      </c>
      <c r="L36" s="722"/>
      <c r="M36" s="722">
        <v>36597.635000000002</v>
      </c>
      <c r="N36" s="722"/>
      <c r="O36" s="722">
        <v>439.89400000000023</v>
      </c>
      <c r="P36" s="723">
        <v>1.216597021368122E-2</v>
      </c>
      <c r="Q36" s="724"/>
    </row>
    <row r="37" spans="1:17" ht="15.75">
      <c r="A37" s="725">
        <v>15</v>
      </c>
      <c r="B37" s="720"/>
      <c r="C37" s="726" t="s">
        <v>478</v>
      </c>
      <c r="D37" s="694"/>
      <c r="E37" s="701"/>
      <c r="F37" s="701"/>
      <c r="G37" s="727">
        <v>25</v>
      </c>
      <c r="H37" s="720"/>
      <c r="I37" s="727">
        <v>632259.21669800009</v>
      </c>
      <c r="J37" s="720"/>
      <c r="K37" s="728">
        <v>40360.090000000004</v>
      </c>
      <c r="L37" s="722"/>
      <c r="M37" s="728">
        <v>40853.885999999999</v>
      </c>
      <c r="N37" s="722"/>
      <c r="O37" s="728">
        <v>493.79600000000028</v>
      </c>
      <c r="P37" s="729">
        <v>1.223475963507515E-2</v>
      </c>
      <c r="Q37" s="724"/>
    </row>
    <row r="38" spans="1:17" ht="15.75">
      <c r="A38" s="725"/>
      <c r="B38" s="720"/>
      <c r="C38" s="694"/>
      <c r="D38" s="694"/>
      <c r="E38" s="700"/>
      <c r="F38" s="701"/>
      <c r="G38" s="719"/>
      <c r="H38" s="720"/>
      <c r="I38" s="719"/>
      <c r="J38" s="720"/>
      <c r="K38" s="722"/>
      <c r="L38" s="722"/>
      <c r="M38" s="722"/>
      <c r="N38" s="722"/>
      <c r="O38" s="722"/>
      <c r="P38" s="723"/>
      <c r="Q38" s="724"/>
    </row>
    <row r="39" spans="1:17" ht="15.75">
      <c r="A39" s="725">
        <v>16</v>
      </c>
      <c r="B39" s="720"/>
      <c r="C39" s="694" t="s">
        <v>480</v>
      </c>
      <c r="D39" s="694"/>
      <c r="E39" s="700" t="s">
        <v>481</v>
      </c>
      <c r="F39" s="701"/>
      <c r="G39" s="727">
        <v>20</v>
      </c>
      <c r="H39" s="720"/>
      <c r="I39" s="727">
        <v>2098103.6366259996</v>
      </c>
      <c r="J39" s="720"/>
      <c r="K39" s="728">
        <v>7513.2849999999999</v>
      </c>
      <c r="L39" s="722"/>
      <c r="M39" s="728">
        <v>7958.26</v>
      </c>
      <c r="N39" s="722"/>
      <c r="O39" s="728">
        <v>444.97500000000036</v>
      </c>
      <c r="P39" s="729">
        <v>5.9225092619273778E-2</v>
      </c>
      <c r="Q39" s="724"/>
    </row>
    <row r="40" spans="1:17" ht="15.75">
      <c r="A40" s="725"/>
      <c r="B40" s="720"/>
      <c r="C40" s="694"/>
      <c r="D40" s="694"/>
      <c r="E40" s="700"/>
      <c r="F40" s="701"/>
      <c r="G40" s="719"/>
      <c r="H40" s="720"/>
      <c r="I40" s="719"/>
      <c r="J40" s="720"/>
      <c r="K40" s="722"/>
      <c r="L40" s="722"/>
      <c r="M40" s="722"/>
      <c r="N40" s="722"/>
      <c r="O40" s="722"/>
      <c r="P40" s="723"/>
      <c r="Q40" s="724"/>
    </row>
    <row r="41" spans="1:17" ht="15.75">
      <c r="A41" s="725">
        <v>17</v>
      </c>
      <c r="B41" s="720"/>
      <c r="C41" s="694" t="s">
        <v>482</v>
      </c>
      <c r="D41" s="694"/>
      <c r="E41" s="700" t="s">
        <v>251</v>
      </c>
      <c r="F41" s="701"/>
      <c r="G41" s="727">
        <v>7226.5</v>
      </c>
      <c r="H41" s="720"/>
      <c r="I41" s="727">
        <v>77972.349305999989</v>
      </c>
      <c r="J41" s="720"/>
      <c r="K41" s="728">
        <v>17167.293000000001</v>
      </c>
      <c r="L41" s="722"/>
      <c r="M41" s="728">
        <v>17488.471000000001</v>
      </c>
      <c r="N41" s="722"/>
      <c r="O41" s="728">
        <v>321.17799999999988</v>
      </c>
      <c r="P41" s="729">
        <v>1.8708715462595057E-2</v>
      </c>
      <c r="Q41" s="724"/>
    </row>
    <row r="42" spans="1:17" ht="15.75">
      <c r="A42" s="725"/>
      <c r="B42" s="720"/>
      <c r="C42" s="694"/>
      <c r="D42" s="694"/>
      <c r="E42" s="700"/>
      <c r="F42" s="701"/>
      <c r="G42" s="719"/>
      <c r="H42" s="720"/>
      <c r="I42" s="719"/>
      <c r="J42" s="720"/>
      <c r="K42" s="722"/>
      <c r="L42" s="722"/>
      <c r="M42" s="722"/>
      <c r="N42" s="722"/>
      <c r="O42" s="722"/>
      <c r="P42" s="723"/>
      <c r="Q42" s="724"/>
    </row>
    <row r="43" spans="1:17" ht="15.75">
      <c r="A43" s="725">
        <v>18</v>
      </c>
      <c r="B43" s="720"/>
      <c r="C43" s="726" t="s">
        <v>483</v>
      </c>
      <c r="D43" s="694"/>
      <c r="E43" s="694"/>
      <c r="F43" s="694"/>
      <c r="G43" s="727">
        <v>1152374.9166666667</v>
      </c>
      <c r="H43" s="720"/>
      <c r="I43" s="727">
        <v>22814379.24927425</v>
      </c>
      <c r="J43" s="720"/>
      <c r="K43" s="728">
        <v>1963184.040801262</v>
      </c>
      <c r="L43" s="722"/>
      <c r="M43" s="728">
        <v>1996286.1724999999</v>
      </c>
      <c r="N43" s="722"/>
      <c r="O43" s="728">
        <v>33102.131698737998</v>
      </c>
      <c r="P43" s="729">
        <v>1.6861451097181675E-2</v>
      </c>
      <c r="Q43" s="724"/>
    </row>
    <row r="44" spans="1:17" ht="15.75">
      <c r="A44" s="705"/>
      <c r="B44" s="720"/>
      <c r="C44" s="694"/>
      <c r="D44" s="694"/>
      <c r="E44" s="694"/>
      <c r="F44" s="694"/>
      <c r="G44" s="720"/>
      <c r="H44" s="720"/>
      <c r="I44" s="720"/>
      <c r="J44" s="720"/>
      <c r="K44" s="730"/>
      <c r="L44" s="730"/>
      <c r="M44" s="730"/>
      <c r="N44" s="730"/>
      <c r="O44" s="730"/>
      <c r="P44" s="731"/>
      <c r="Q44" s="720"/>
    </row>
    <row r="45" spans="1:17" ht="15.75">
      <c r="A45" s="725">
        <v>19</v>
      </c>
      <c r="B45" s="720"/>
      <c r="C45" s="694" t="s">
        <v>484</v>
      </c>
      <c r="D45" s="694"/>
      <c r="E45" s="700" t="s">
        <v>251</v>
      </c>
      <c r="F45" s="701"/>
      <c r="G45" s="727">
        <v>8</v>
      </c>
      <c r="H45" s="720"/>
      <c r="I45" s="727">
        <v>6929.8034221808284</v>
      </c>
      <c r="J45" s="720"/>
      <c r="K45" s="728">
        <v>316.39299999999997</v>
      </c>
      <c r="L45" s="730"/>
      <c r="M45" s="728">
        <v>684.43883817964468</v>
      </c>
      <c r="N45" s="722"/>
      <c r="O45" s="728">
        <v>368.0458381796447</v>
      </c>
      <c r="P45" s="729">
        <v>1.1632553127902474</v>
      </c>
      <c r="Q45" s="724"/>
    </row>
    <row r="46" spans="1:17" ht="15.75">
      <c r="A46" s="705"/>
      <c r="B46" s="720"/>
      <c r="C46" s="694"/>
      <c r="D46" s="694"/>
      <c r="E46" s="694"/>
      <c r="F46" s="694"/>
      <c r="G46" s="720"/>
      <c r="H46" s="720"/>
      <c r="I46" s="720"/>
      <c r="J46" s="720"/>
      <c r="K46" s="730"/>
      <c r="L46" s="730"/>
      <c r="M46" s="730"/>
      <c r="N46" s="730"/>
      <c r="O46" s="730"/>
      <c r="P46" s="731"/>
      <c r="Q46" s="720"/>
    </row>
    <row r="47" spans="1:17" ht="16.5" thickBot="1">
      <c r="A47" s="725">
        <v>20</v>
      </c>
      <c r="B47" s="720"/>
      <c r="C47" s="736" t="s">
        <v>485</v>
      </c>
      <c r="D47" s="694"/>
      <c r="E47" s="694"/>
      <c r="F47" s="694"/>
      <c r="G47" s="737">
        <v>1152382.9166666667</v>
      </c>
      <c r="H47" s="720"/>
      <c r="I47" s="737">
        <v>22821309.052696429</v>
      </c>
      <c r="J47" s="720"/>
      <c r="K47" s="738">
        <v>1963500.4338012619</v>
      </c>
      <c r="L47" s="739"/>
      <c r="M47" s="738">
        <v>1996970.6113381796</v>
      </c>
      <c r="N47" s="740"/>
      <c r="O47" s="738">
        <v>33470.177536917639</v>
      </c>
      <c r="P47" s="741">
        <v>1.7046177816279189E-2</v>
      </c>
      <c r="Q47" s="742"/>
    </row>
    <row r="48" spans="1:17" ht="15.75" thickTop="1">
      <c r="A48" t="s">
        <v>123</v>
      </c>
    </row>
    <row r="49" spans="15:16">
      <c r="O49" t="s">
        <v>123</v>
      </c>
      <c r="P49" t="s">
        <v>123</v>
      </c>
    </row>
  </sheetData>
  <mergeCells count="8">
    <mergeCell ref="M8:P8"/>
    <mergeCell ref="M9:P9"/>
    <mergeCell ref="A1:Q1"/>
    <mergeCell ref="A2:Q2"/>
    <mergeCell ref="A3:Q3"/>
    <mergeCell ref="A4:Q4"/>
    <mergeCell ref="A5:Q5"/>
    <mergeCell ref="A6:Q6"/>
  </mergeCells>
  <printOptions horizontalCentered="1"/>
  <pageMargins left="0.7" right="0.7" top="0.75" bottom="0.75" header="0.3" footer="0.3"/>
  <pageSetup scale="69" orientation="landscape" r:id="rId1"/>
  <headerFooter>
    <oddFooter xml:space="preserve">&amp;L&amp;F
&amp;A&amp;RPage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P46"/>
  <sheetViews>
    <sheetView zoomScale="80" zoomScaleNormal="80" workbookViewId="0">
      <pane xSplit="1" ySplit="5" topLeftCell="B24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/>
  <cols>
    <col min="1" max="1" width="31.140625" bestFit="1" customWidth="1"/>
    <col min="3" max="14" width="10.7109375" bestFit="1" customWidth="1"/>
    <col min="16" max="16" width="13.28515625" bestFit="1" customWidth="1"/>
  </cols>
  <sheetData>
    <row r="1" spans="1:14">
      <c r="A1" s="299" t="s">
        <v>275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>
      <c r="A2" s="299" t="s">
        <v>276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>
      <c r="A3" s="299" t="s">
        <v>494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>
      <c r="A5" s="303"/>
      <c r="B5" s="303" t="s">
        <v>1</v>
      </c>
      <c r="C5" s="304">
        <v>42736</v>
      </c>
      <c r="D5" s="304">
        <v>42767</v>
      </c>
      <c r="E5" s="304">
        <v>42795</v>
      </c>
      <c r="F5" s="304">
        <v>42826</v>
      </c>
      <c r="G5" s="304">
        <v>42856</v>
      </c>
      <c r="H5" s="304">
        <v>42887</v>
      </c>
      <c r="I5" s="304">
        <v>42917</v>
      </c>
      <c r="J5" s="304">
        <v>42948</v>
      </c>
      <c r="K5" s="304">
        <v>42979</v>
      </c>
      <c r="L5" s="304">
        <v>43009</v>
      </c>
      <c r="M5" s="304">
        <v>43040</v>
      </c>
      <c r="N5" s="304">
        <v>43070</v>
      </c>
    </row>
    <row r="6" spans="1:14">
      <c r="A6" s="306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/>
    </row>
    <row r="7" spans="1:14">
      <c r="A7" s="309" t="s">
        <v>258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1"/>
    </row>
    <row r="8" spans="1:14">
      <c r="A8" s="766" t="s">
        <v>259</v>
      </c>
      <c r="B8" s="313">
        <f>SUM(C8:N8)</f>
        <v>0</v>
      </c>
      <c r="C8" s="313">
        <f t="shared" ref="C8:N8" si="0">ROUND(+C22*C37,0)</f>
        <v>0</v>
      </c>
      <c r="D8" s="313">
        <f t="shared" si="0"/>
        <v>0</v>
      </c>
      <c r="E8" s="313">
        <f t="shared" si="0"/>
        <v>0</v>
      </c>
      <c r="F8" s="313">
        <f t="shared" si="0"/>
        <v>0</v>
      </c>
      <c r="G8" s="313">
        <f t="shared" si="0"/>
        <v>0</v>
      </c>
      <c r="H8" s="313">
        <f t="shared" si="0"/>
        <v>0</v>
      </c>
      <c r="I8" s="313">
        <f t="shared" si="0"/>
        <v>0</v>
      </c>
      <c r="J8" s="313">
        <f t="shared" si="0"/>
        <v>0</v>
      </c>
      <c r="K8" s="313">
        <f t="shared" si="0"/>
        <v>0</v>
      </c>
      <c r="L8" s="313">
        <f t="shared" si="0"/>
        <v>0</v>
      </c>
      <c r="M8" s="313">
        <f t="shared" si="0"/>
        <v>0</v>
      </c>
      <c r="N8" s="314">
        <f t="shared" si="0"/>
        <v>0</v>
      </c>
    </row>
    <row r="9" spans="1:14">
      <c r="A9" s="767" t="s">
        <v>500</v>
      </c>
      <c r="B9" s="313">
        <f t="shared" ref="B9:B16" si="1">SUM(C9:N9)</f>
        <v>0</v>
      </c>
      <c r="C9" s="313">
        <f t="shared" ref="C9:N9" si="2">ROUND(+C23*C38,0)</f>
        <v>0</v>
      </c>
      <c r="D9" s="313">
        <f t="shared" si="2"/>
        <v>0</v>
      </c>
      <c r="E9" s="313">
        <f t="shared" si="2"/>
        <v>0</v>
      </c>
      <c r="F9" s="313">
        <f t="shared" si="2"/>
        <v>0</v>
      </c>
      <c r="G9" s="313">
        <f t="shared" si="2"/>
        <v>0</v>
      </c>
      <c r="H9" s="313">
        <f t="shared" si="2"/>
        <v>0</v>
      </c>
      <c r="I9" s="313">
        <f t="shared" si="2"/>
        <v>0</v>
      </c>
      <c r="J9" s="313">
        <f t="shared" si="2"/>
        <v>0</v>
      </c>
      <c r="K9" s="313">
        <f t="shared" si="2"/>
        <v>0</v>
      </c>
      <c r="L9" s="313">
        <f t="shared" si="2"/>
        <v>0</v>
      </c>
      <c r="M9" s="313">
        <f t="shared" si="2"/>
        <v>0</v>
      </c>
      <c r="N9" s="314">
        <f t="shared" si="2"/>
        <v>0</v>
      </c>
    </row>
    <row r="10" spans="1:14">
      <c r="A10" s="767" t="s">
        <v>501</v>
      </c>
      <c r="B10" s="313">
        <f t="shared" si="1"/>
        <v>0</v>
      </c>
      <c r="C10" s="313">
        <f t="shared" ref="C10:N10" si="3">ROUND(+C24*C39,0)</f>
        <v>0</v>
      </c>
      <c r="D10" s="313">
        <f t="shared" si="3"/>
        <v>0</v>
      </c>
      <c r="E10" s="313">
        <f t="shared" si="3"/>
        <v>0</v>
      </c>
      <c r="F10" s="313">
        <f t="shared" si="3"/>
        <v>0</v>
      </c>
      <c r="G10" s="313">
        <f t="shared" si="3"/>
        <v>0</v>
      </c>
      <c r="H10" s="313">
        <f t="shared" si="3"/>
        <v>0</v>
      </c>
      <c r="I10" s="313">
        <f t="shared" si="3"/>
        <v>0</v>
      </c>
      <c r="J10" s="313">
        <f t="shared" si="3"/>
        <v>0</v>
      </c>
      <c r="K10" s="313">
        <f t="shared" si="3"/>
        <v>0</v>
      </c>
      <c r="L10" s="313">
        <f t="shared" si="3"/>
        <v>0</v>
      </c>
      <c r="M10" s="313">
        <f t="shared" si="3"/>
        <v>0</v>
      </c>
      <c r="N10" s="314">
        <f t="shared" si="3"/>
        <v>0</v>
      </c>
    </row>
    <row r="11" spans="1:14">
      <c r="A11" s="767" t="s">
        <v>502</v>
      </c>
      <c r="B11" s="313">
        <f t="shared" si="1"/>
        <v>0</v>
      </c>
      <c r="C11" s="313">
        <f t="shared" ref="C11:N11" si="4">ROUND(+C25*C40,0)</f>
        <v>0</v>
      </c>
      <c r="D11" s="313">
        <f t="shared" si="4"/>
        <v>0</v>
      </c>
      <c r="E11" s="313">
        <f t="shared" si="4"/>
        <v>0</v>
      </c>
      <c r="F11" s="313">
        <f t="shared" si="4"/>
        <v>0</v>
      </c>
      <c r="G11" s="313">
        <f t="shared" si="4"/>
        <v>0</v>
      </c>
      <c r="H11" s="313">
        <f t="shared" si="4"/>
        <v>0</v>
      </c>
      <c r="I11" s="313">
        <f t="shared" si="4"/>
        <v>0</v>
      </c>
      <c r="J11" s="313">
        <f t="shared" si="4"/>
        <v>0</v>
      </c>
      <c r="K11" s="313">
        <f t="shared" si="4"/>
        <v>0</v>
      </c>
      <c r="L11" s="313">
        <f t="shared" si="4"/>
        <v>0</v>
      </c>
      <c r="M11" s="313">
        <f t="shared" si="4"/>
        <v>0</v>
      </c>
      <c r="N11" s="314">
        <f t="shared" si="4"/>
        <v>0</v>
      </c>
    </row>
    <row r="12" spans="1:14">
      <c r="A12" s="766" t="s">
        <v>263</v>
      </c>
      <c r="B12" s="313">
        <f t="shared" si="1"/>
        <v>0</v>
      </c>
      <c r="C12" s="313">
        <f t="shared" ref="C12:N12" si="5">ROUND(+C26*C41,0)</f>
        <v>0</v>
      </c>
      <c r="D12" s="313">
        <f t="shared" si="5"/>
        <v>0</v>
      </c>
      <c r="E12" s="313">
        <f t="shared" si="5"/>
        <v>0</v>
      </c>
      <c r="F12" s="313">
        <f t="shared" si="5"/>
        <v>0</v>
      </c>
      <c r="G12" s="313">
        <f t="shared" si="5"/>
        <v>0</v>
      </c>
      <c r="H12" s="313">
        <f t="shared" si="5"/>
        <v>0</v>
      </c>
      <c r="I12" s="313">
        <f t="shared" si="5"/>
        <v>0</v>
      </c>
      <c r="J12" s="313">
        <f t="shared" si="5"/>
        <v>0</v>
      </c>
      <c r="K12" s="313">
        <f t="shared" si="5"/>
        <v>0</v>
      </c>
      <c r="L12" s="313">
        <f t="shared" si="5"/>
        <v>0</v>
      </c>
      <c r="M12" s="313">
        <f t="shared" si="5"/>
        <v>0</v>
      </c>
      <c r="N12" s="314">
        <f t="shared" si="5"/>
        <v>0</v>
      </c>
    </row>
    <row r="13" spans="1:14">
      <c r="A13" s="767" t="s">
        <v>503</v>
      </c>
      <c r="B13" s="313">
        <f t="shared" si="1"/>
        <v>0</v>
      </c>
      <c r="C13" s="313">
        <f t="shared" ref="C13:N13" si="6">ROUND(+C27*C42,0)</f>
        <v>0</v>
      </c>
      <c r="D13" s="313">
        <f t="shared" si="6"/>
        <v>0</v>
      </c>
      <c r="E13" s="313">
        <f t="shared" si="6"/>
        <v>0</v>
      </c>
      <c r="F13" s="313">
        <f t="shared" si="6"/>
        <v>0</v>
      </c>
      <c r="G13" s="313">
        <f t="shared" si="6"/>
        <v>0</v>
      </c>
      <c r="H13" s="313">
        <f t="shared" si="6"/>
        <v>0</v>
      </c>
      <c r="I13" s="313">
        <f t="shared" si="6"/>
        <v>0</v>
      </c>
      <c r="J13" s="313">
        <f t="shared" si="6"/>
        <v>0</v>
      </c>
      <c r="K13" s="313">
        <f t="shared" si="6"/>
        <v>0</v>
      </c>
      <c r="L13" s="313">
        <f t="shared" si="6"/>
        <v>0</v>
      </c>
      <c r="M13" s="313">
        <f t="shared" si="6"/>
        <v>0</v>
      </c>
      <c r="N13" s="314">
        <f t="shared" si="6"/>
        <v>0</v>
      </c>
    </row>
    <row r="14" spans="1:14" ht="13.9" customHeight="1">
      <c r="A14" s="768" t="s">
        <v>499</v>
      </c>
      <c r="B14" s="313">
        <f>SUM(C14:N14)</f>
        <v>0</v>
      </c>
      <c r="C14" s="313">
        <f t="shared" ref="C14:N14" si="7">ROUND(+C28*C43,0)</f>
        <v>0</v>
      </c>
      <c r="D14" s="313">
        <f t="shared" si="7"/>
        <v>0</v>
      </c>
      <c r="E14" s="313">
        <f t="shared" si="7"/>
        <v>0</v>
      </c>
      <c r="F14" s="313">
        <f t="shared" si="7"/>
        <v>0</v>
      </c>
      <c r="G14" s="313">
        <f t="shared" si="7"/>
        <v>0</v>
      </c>
      <c r="H14" s="313">
        <f t="shared" si="7"/>
        <v>0</v>
      </c>
      <c r="I14" s="313">
        <f t="shared" si="7"/>
        <v>0</v>
      </c>
      <c r="J14" s="313">
        <f t="shared" si="7"/>
        <v>0</v>
      </c>
      <c r="K14" s="313">
        <f t="shared" si="7"/>
        <v>0</v>
      </c>
      <c r="L14" s="313">
        <f t="shared" si="7"/>
        <v>0</v>
      </c>
      <c r="M14" s="313">
        <f t="shared" si="7"/>
        <v>0</v>
      </c>
      <c r="N14" s="314">
        <f t="shared" si="7"/>
        <v>0</v>
      </c>
    </row>
    <row r="15" spans="1:14">
      <c r="A15" s="766" t="s">
        <v>265</v>
      </c>
      <c r="B15" s="313">
        <f t="shared" si="1"/>
        <v>0</v>
      </c>
      <c r="C15" s="313">
        <f t="shared" ref="C15:N15" si="8">ROUND(+C29*C44,0)</f>
        <v>0</v>
      </c>
      <c r="D15" s="313">
        <f t="shared" si="8"/>
        <v>0</v>
      </c>
      <c r="E15" s="313">
        <f t="shared" si="8"/>
        <v>0</v>
      </c>
      <c r="F15" s="313">
        <f t="shared" si="8"/>
        <v>0</v>
      </c>
      <c r="G15" s="313">
        <f t="shared" si="8"/>
        <v>0</v>
      </c>
      <c r="H15" s="313">
        <f t="shared" si="8"/>
        <v>0</v>
      </c>
      <c r="I15" s="313">
        <f t="shared" si="8"/>
        <v>0</v>
      </c>
      <c r="J15" s="313">
        <f t="shared" si="8"/>
        <v>0</v>
      </c>
      <c r="K15" s="313">
        <f t="shared" si="8"/>
        <v>0</v>
      </c>
      <c r="L15" s="313">
        <f t="shared" si="8"/>
        <v>0</v>
      </c>
      <c r="M15" s="313">
        <f t="shared" si="8"/>
        <v>0</v>
      </c>
      <c r="N15" s="314">
        <f t="shared" si="8"/>
        <v>0</v>
      </c>
    </row>
    <row r="16" spans="1:14">
      <c r="A16" s="768" t="s">
        <v>14</v>
      </c>
      <c r="B16" s="313">
        <f t="shared" si="1"/>
        <v>0</v>
      </c>
      <c r="C16" s="313">
        <f t="shared" ref="C16:N16" si="9">ROUND(+C30*C45,0)</f>
        <v>0</v>
      </c>
      <c r="D16" s="313">
        <f t="shared" si="9"/>
        <v>0</v>
      </c>
      <c r="E16" s="313">
        <f t="shared" si="9"/>
        <v>0</v>
      </c>
      <c r="F16" s="313">
        <f t="shared" si="9"/>
        <v>0</v>
      </c>
      <c r="G16" s="313">
        <f t="shared" si="9"/>
        <v>0</v>
      </c>
      <c r="H16" s="313">
        <f t="shared" si="9"/>
        <v>0</v>
      </c>
      <c r="I16" s="313">
        <f t="shared" si="9"/>
        <v>0</v>
      </c>
      <c r="J16" s="313">
        <f t="shared" si="9"/>
        <v>0</v>
      </c>
      <c r="K16" s="313">
        <f t="shared" si="9"/>
        <v>0</v>
      </c>
      <c r="L16" s="313">
        <f t="shared" si="9"/>
        <v>0</v>
      </c>
      <c r="M16" s="313">
        <f t="shared" si="9"/>
        <v>0</v>
      </c>
      <c r="N16" s="314">
        <f t="shared" si="9"/>
        <v>0</v>
      </c>
    </row>
    <row r="17" spans="1:14">
      <c r="A17" s="309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4"/>
    </row>
    <row r="18" spans="1:14">
      <c r="A18" s="309" t="s">
        <v>269</v>
      </c>
      <c r="B18" s="313">
        <f t="shared" ref="B18:N18" si="10">SUM(B8:B17)</f>
        <v>0</v>
      </c>
      <c r="C18" s="313">
        <f t="shared" si="10"/>
        <v>0</v>
      </c>
      <c r="D18" s="313">
        <f t="shared" si="10"/>
        <v>0</v>
      </c>
      <c r="E18" s="313">
        <f t="shared" si="10"/>
        <v>0</v>
      </c>
      <c r="F18" s="313">
        <f t="shared" si="10"/>
        <v>0</v>
      </c>
      <c r="G18" s="313">
        <f t="shared" si="10"/>
        <v>0</v>
      </c>
      <c r="H18" s="313">
        <f t="shared" si="10"/>
        <v>0</v>
      </c>
      <c r="I18" s="313">
        <f t="shared" si="10"/>
        <v>0</v>
      </c>
      <c r="J18" s="313">
        <f t="shared" si="10"/>
        <v>0</v>
      </c>
      <c r="K18" s="313">
        <f t="shared" si="10"/>
        <v>0</v>
      </c>
      <c r="L18" s="313">
        <f t="shared" si="10"/>
        <v>0</v>
      </c>
      <c r="M18" s="313">
        <f t="shared" si="10"/>
        <v>0</v>
      </c>
      <c r="N18" s="314">
        <f t="shared" si="10"/>
        <v>0</v>
      </c>
    </row>
    <row r="19" spans="1:14">
      <c r="A19" s="316"/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8"/>
    </row>
    <row r="20" spans="1:14">
      <c r="A20" s="319"/>
      <c r="B20" s="320"/>
      <c r="C20" s="321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3"/>
    </row>
    <row r="21" spans="1:14">
      <c r="A21" s="604" t="s">
        <v>270</v>
      </c>
      <c r="B21" s="310"/>
      <c r="C21" s="325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1"/>
    </row>
    <row r="22" spans="1:14">
      <c r="A22" s="766" t="s">
        <v>259</v>
      </c>
      <c r="B22" s="326">
        <f>SUM(C22:N22)</f>
        <v>0</v>
      </c>
      <c r="C22" s="327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9"/>
    </row>
    <row r="23" spans="1:14">
      <c r="A23" s="767" t="s">
        <v>500</v>
      </c>
      <c r="B23" s="326">
        <f t="shared" ref="B23:B30" si="11">SUM(C23:N23)</f>
        <v>0</v>
      </c>
      <c r="C23" s="327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9"/>
    </row>
    <row r="24" spans="1:14">
      <c r="A24" s="767" t="s">
        <v>501</v>
      </c>
      <c r="B24" s="326">
        <f t="shared" si="11"/>
        <v>0</v>
      </c>
      <c r="C24" s="327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9"/>
    </row>
    <row r="25" spans="1:14">
      <c r="A25" s="767" t="s">
        <v>502</v>
      </c>
      <c r="B25" s="326">
        <f t="shared" si="11"/>
        <v>0</v>
      </c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9"/>
    </row>
    <row r="26" spans="1:14">
      <c r="A26" s="766" t="s">
        <v>263</v>
      </c>
      <c r="B26" s="326">
        <f t="shared" si="11"/>
        <v>0</v>
      </c>
      <c r="C26" s="327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9"/>
    </row>
    <row r="27" spans="1:14">
      <c r="A27" s="767" t="s">
        <v>503</v>
      </c>
      <c r="B27" s="326">
        <f t="shared" si="11"/>
        <v>0</v>
      </c>
      <c r="C27" s="327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9"/>
    </row>
    <row r="28" spans="1:14">
      <c r="A28" s="768" t="s">
        <v>499</v>
      </c>
      <c r="B28" s="326">
        <f>SUM(C28:N28)</f>
        <v>0</v>
      </c>
      <c r="C28" s="327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9"/>
    </row>
    <row r="29" spans="1:14">
      <c r="A29" s="766" t="s">
        <v>265</v>
      </c>
      <c r="B29" s="326">
        <f t="shared" si="11"/>
        <v>0</v>
      </c>
      <c r="C29" s="327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9"/>
    </row>
    <row r="30" spans="1:14">
      <c r="A30" s="768" t="s">
        <v>14</v>
      </c>
      <c r="B30" s="326">
        <f t="shared" si="11"/>
        <v>0</v>
      </c>
      <c r="C30" s="327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9"/>
    </row>
    <row r="31" spans="1:14">
      <c r="A31" s="309"/>
      <c r="B31" s="98"/>
      <c r="C31" s="309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330"/>
    </row>
    <row r="32" spans="1:14" ht="48" customHeight="1">
      <c r="A32" s="309" t="s">
        <v>269</v>
      </c>
      <c r="B32" s="310">
        <f t="shared" ref="B32:N32" si="12">SUM(B22:B31)</f>
        <v>0</v>
      </c>
      <c r="C32" s="325">
        <f t="shared" si="12"/>
        <v>0</v>
      </c>
      <c r="D32" s="310">
        <f t="shared" si="12"/>
        <v>0</v>
      </c>
      <c r="E32" s="310">
        <f t="shared" si="12"/>
        <v>0</v>
      </c>
      <c r="F32" s="310">
        <f t="shared" si="12"/>
        <v>0</v>
      </c>
      <c r="G32" s="310">
        <f t="shared" si="12"/>
        <v>0</v>
      </c>
      <c r="H32" s="310">
        <f t="shared" si="12"/>
        <v>0</v>
      </c>
      <c r="I32" s="310">
        <f t="shared" si="12"/>
        <v>0</v>
      </c>
      <c r="J32" s="310">
        <f t="shared" si="12"/>
        <v>0</v>
      </c>
      <c r="K32" s="310">
        <f t="shared" si="12"/>
        <v>0</v>
      </c>
      <c r="L32" s="310">
        <f t="shared" si="12"/>
        <v>0</v>
      </c>
      <c r="M32" s="310">
        <f t="shared" si="12"/>
        <v>0</v>
      </c>
      <c r="N32" s="311">
        <f t="shared" si="12"/>
        <v>0</v>
      </c>
    </row>
    <row r="33" spans="1:16">
      <c r="A33" s="309"/>
      <c r="B33" s="98"/>
      <c r="C33" s="316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2"/>
    </row>
    <row r="34" spans="1:16">
      <c r="A34" s="319"/>
      <c r="B34" s="320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3"/>
    </row>
    <row r="35" spans="1:16" ht="15.75" thickBot="1">
      <c r="A35" s="769" t="s">
        <v>271</v>
      </c>
      <c r="B35" s="770"/>
      <c r="C35" s="770"/>
      <c r="D35" s="770"/>
      <c r="E35" s="770"/>
      <c r="F35" s="770"/>
      <c r="G35" s="770"/>
      <c r="H35" s="770"/>
      <c r="I35" s="770"/>
      <c r="J35" s="770"/>
      <c r="K35" s="770"/>
      <c r="L35" s="770"/>
      <c r="M35" s="770"/>
      <c r="N35" s="771"/>
    </row>
    <row r="36" spans="1:16" ht="62.45" customHeight="1" thickBot="1">
      <c r="A36" s="333" t="s">
        <v>219</v>
      </c>
      <c r="B36" s="334"/>
      <c r="C36" s="785" t="s">
        <v>492</v>
      </c>
      <c r="D36" s="786"/>
      <c r="E36" s="786"/>
      <c r="F36" s="786"/>
      <c r="G36" s="786"/>
      <c r="H36" s="786"/>
      <c r="I36" s="786"/>
      <c r="J36" s="786"/>
      <c r="K36" s="786"/>
      <c r="L36" s="786"/>
      <c r="M36" s="786"/>
      <c r="N36" s="787"/>
      <c r="P36" s="750" t="s">
        <v>491</v>
      </c>
    </row>
    <row r="37" spans="1:16">
      <c r="A37" s="766" t="s">
        <v>259</v>
      </c>
      <c r="B37" s="326"/>
      <c r="C37" s="338">
        <f>+'2016 PCA Sales &amp; Revenue Adj.'!N41</f>
        <v>6.8902000000000005E-2</v>
      </c>
      <c r="D37" s="743">
        <f>+C37</f>
        <v>6.8902000000000005E-2</v>
      </c>
      <c r="E37" s="743">
        <f t="shared" ref="E37:M37" si="13">+D37</f>
        <v>6.8902000000000005E-2</v>
      </c>
      <c r="F37" s="743">
        <f t="shared" si="13"/>
        <v>6.8902000000000005E-2</v>
      </c>
      <c r="G37" s="743">
        <f t="shared" si="13"/>
        <v>6.8902000000000005E-2</v>
      </c>
      <c r="H37" s="743">
        <f t="shared" si="13"/>
        <v>6.8902000000000005E-2</v>
      </c>
      <c r="I37" s="743">
        <f t="shared" si="13"/>
        <v>6.8902000000000005E-2</v>
      </c>
      <c r="J37" s="743">
        <f t="shared" si="13"/>
        <v>6.8902000000000005E-2</v>
      </c>
      <c r="K37" s="743">
        <f t="shared" si="13"/>
        <v>6.8902000000000005E-2</v>
      </c>
      <c r="L37" s="743">
        <f t="shared" si="13"/>
        <v>6.8902000000000005E-2</v>
      </c>
      <c r="M37" s="743">
        <f t="shared" si="13"/>
        <v>6.8902000000000005E-2</v>
      </c>
      <c r="N37" s="745">
        <f>0.580645161290323*M37+0.419354838709677*P37</f>
        <v>5.6490774193548393E-2</v>
      </c>
      <c r="P37" s="747">
        <f>+'UE-170033 2017 GRC COS Pow Cost'!E32</f>
        <v>3.9306000000000001E-2</v>
      </c>
    </row>
    <row r="38" spans="1:16">
      <c r="A38" s="767" t="s">
        <v>500</v>
      </c>
      <c r="B38" s="326"/>
      <c r="C38" s="342">
        <f>+'2016 PCA Sales &amp; Revenue Adj.'!N42</f>
        <v>6.3548999999999994E-2</v>
      </c>
      <c r="D38" s="343">
        <f t="shared" ref="D38:M38" si="14">+C38</f>
        <v>6.3548999999999994E-2</v>
      </c>
      <c r="E38" s="343">
        <f t="shared" si="14"/>
        <v>6.3548999999999994E-2</v>
      </c>
      <c r="F38" s="343">
        <f t="shared" si="14"/>
        <v>6.3548999999999994E-2</v>
      </c>
      <c r="G38" s="343">
        <f t="shared" si="14"/>
        <v>6.3548999999999994E-2</v>
      </c>
      <c r="H38" s="343">
        <f t="shared" si="14"/>
        <v>6.3548999999999994E-2</v>
      </c>
      <c r="I38" s="343">
        <f t="shared" si="14"/>
        <v>6.3548999999999994E-2</v>
      </c>
      <c r="J38" s="343">
        <f t="shared" si="14"/>
        <v>6.3548999999999994E-2</v>
      </c>
      <c r="K38" s="343">
        <f t="shared" si="14"/>
        <v>6.3548999999999994E-2</v>
      </c>
      <c r="L38" s="343">
        <f t="shared" si="14"/>
        <v>6.3548999999999994E-2</v>
      </c>
      <c r="M38" s="343">
        <f t="shared" si="14"/>
        <v>6.3548999999999994E-2</v>
      </c>
      <c r="N38" s="746">
        <f t="shared" ref="N38:N45" si="15">0.580645161290323*M38+0.419354838709677*P38</f>
        <v>5.203729032258065E-2</v>
      </c>
      <c r="P38" s="748">
        <f>+'UE-170033 2017 GRC COS Pow Cost'!F32</f>
        <v>3.6097999999999998E-2</v>
      </c>
    </row>
    <row r="39" spans="1:16">
      <c r="A39" s="767" t="s">
        <v>501</v>
      </c>
      <c r="B39" s="326"/>
      <c r="C39" s="342">
        <f>+'2016 PCA Sales &amp; Revenue Adj.'!N43</f>
        <v>6.3299999999999995E-2</v>
      </c>
      <c r="D39" s="343">
        <f t="shared" ref="D39:M39" si="16">+C39</f>
        <v>6.3299999999999995E-2</v>
      </c>
      <c r="E39" s="343">
        <f t="shared" si="16"/>
        <v>6.3299999999999995E-2</v>
      </c>
      <c r="F39" s="343">
        <f t="shared" si="16"/>
        <v>6.3299999999999995E-2</v>
      </c>
      <c r="G39" s="343">
        <f t="shared" si="16"/>
        <v>6.3299999999999995E-2</v>
      </c>
      <c r="H39" s="343">
        <f t="shared" si="16"/>
        <v>6.3299999999999995E-2</v>
      </c>
      <c r="I39" s="343">
        <f t="shared" si="16"/>
        <v>6.3299999999999995E-2</v>
      </c>
      <c r="J39" s="343">
        <f t="shared" si="16"/>
        <v>6.3299999999999995E-2</v>
      </c>
      <c r="K39" s="343">
        <f t="shared" si="16"/>
        <v>6.3299999999999995E-2</v>
      </c>
      <c r="L39" s="343">
        <f t="shared" si="16"/>
        <v>6.3299999999999995E-2</v>
      </c>
      <c r="M39" s="343">
        <f t="shared" si="16"/>
        <v>6.3299999999999995E-2</v>
      </c>
      <c r="N39" s="746">
        <f t="shared" si="15"/>
        <v>5.168429032258065E-2</v>
      </c>
      <c r="P39" s="748">
        <f>+'UE-170033 2017 GRC COS Pow Cost'!G32</f>
        <v>3.5601000000000001E-2</v>
      </c>
    </row>
    <row r="40" spans="1:16">
      <c r="A40" s="767" t="s">
        <v>502</v>
      </c>
      <c r="B40" s="326"/>
      <c r="C40" s="342">
        <f>+'2016 PCA Sales &amp; Revenue Adj.'!N44</f>
        <v>6.5309000000000006E-2</v>
      </c>
      <c r="D40" s="343">
        <f t="shared" ref="D40:M40" si="17">+C40</f>
        <v>6.5309000000000006E-2</v>
      </c>
      <c r="E40" s="343">
        <f t="shared" si="17"/>
        <v>6.5309000000000006E-2</v>
      </c>
      <c r="F40" s="343">
        <f t="shared" si="17"/>
        <v>6.5309000000000006E-2</v>
      </c>
      <c r="G40" s="343">
        <f t="shared" si="17"/>
        <v>6.5309000000000006E-2</v>
      </c>
      <c r="H40" s="343">
        <f t="shared" si="17"/>
        <v>6.5309000000000006E-2</v>
      </c>
      <c r="I40" s="343">
        <f t="shared" si="17"/>
        <v>6.5309000000000006E-2</v>
      </c>
      <c r="J40" s="343">
        <f t="shared" si="17"/>
        <v>6.5309000000000006E-2</v>
      </c>
      <c r="K40" s="343">
        <f t="shared" si="17"/>
        <v>6.5309000000000006E-2</v>
      </c>
      <c r="L40" s="343">
        <f t="shared" si="17"/>
        <v>6.5309000000000006E-2</v>
      </c>
      <c r="M40" s="343">
        <f t="shared" si="17"/>
        <v>6.5309000000000006E-2</v>
      </c>
      <c r="N40" s="746">
        <f t="shared" si="15"/>
        <v>5.2485129032258077E-2</v>
      </c>
      <c r="P40" s="748">
        <f>+'UE-170033 2017 GRC COS Pow Cost'!H32</f>
        <v>3.4729000000000003E-2</v>
      </c>
    </row>
    <row r="41" spans="1:16">
      <c r="A41" s="766" t="s">
        <v>263</v>
      </c>
      <c r="B41" s="326"/>
      <c r="C41" s="342">
        <f>+'2016 PCA Sales &amp; Revenue Adj.'!N45</f>
        <v>6.3299999999999995E-2</v>
      </c>
      <c r="D41" s="343">
        <f t="shared" ref="D41:M41" si="18">+C41</f>
        <v>6.3299999999999995E-2</v>
      </c>
      <c r="E41" s="343">
        <f t="shared" si="18"/>
        <v>6.3299999999999995E-2</v>
      </c>
      <c r="F41" s="343">
        <f t="shared" si="18"/>
        <v>6.3299999999999995E-2</v>
      </c>
      <c r="G41" s="343">
        <f t="shared" si="18"/>
        <v>6.3299999999999995E-2</v>
      </c>
      <c r="H41" s="343">
        <f t="shared" si="18"/>
        <v>6.3299999999999995E-2</v>
      </c>
      <c r="I41" s="343">
        <f t="shared" si="18"/>
        <v>6.3299999999999995E-2</v>
      </c>
      <c r="J41" s="343">
        <f t="shared" si="18"/>
        <v>6.3299999999999995E-2</v>
      </c>
      <c r="K41" s="343">
        <f t="shared" si="18"/>
        <v>6.3299999999999995E-2</v>
      </c>
      <c r="L41" s="343">
        <f t="shared" si="18"/>
        <v>6.3299999999999995E-2</v>
      </c>
      <c r="M41" s="343">
        <f t="shared" si="18"/>
        <v>6.3299999999999995E-2</v>
      </c>
      <c r="N41" s="746">
        <f t="shared" si="15"/>
        <v>5.168429032258065E-2</v>
      </c>
      <c r="P41" s="748">
        <f>+P39</f>
        <v>3.5601000000000001E-2</v>
      </c>
    </row>
    <row r="42" spans="1:16">
      <c r="A42" s="767" t="s">
        <v>503</v>
      </c>
      <c r="B42" s="326"/>
      <c r="C42" s="342">
        <f>+'2016 PCA Sales &amp; Revenue Adj.'!N46</f>
        <v>5.9146999999999998E-2</v>
      </c>
      <c r="D42" s="343">
        <f t="shared" ref="D42:M42" si="19">+C42</f>
        <v>5.9146999999999998E-2</v>
      </c>
      <c r="E42" s="343">
        <f t="shared" si="19"/>
        <v>5.9146999999999998E-2</v>
      </c>
      <c r="F42" s="343">
        <f t="shared" si="19"/>
        <v>5.9146999999999998E-2</v>
      </c>
      <c r="G42" s="343">
        <f t="shared" si="19"/>
        <v>5.9146999999999998E-2</v>
      </c>
      <c r="H42" s="343">
        <f t="shared" si="19"/>
        <v>5.9146999999999998E-2</v>
      </c>
      <c r="I42" s="343">
        <f t="shared" si="19"/>
        <v>5.9146999999999998E-2</v>
      </c>
      <c r="J42" s="343">
        <f t="shared" si="19"/>
        <v>5.9146999999999998E-2</v>
      </c>
      <c r="K42" s="343">
        <f t="shared" si="19"/>
        <v>5.9146999999999998E-2</v>
      </c>
      <c r="L42" s="343">
        <f t="shared" si="19"/>
        <v>5.9146999999999998E-2</v>
      </c>
      <c r="M42" s="343">
        <f t="shared" si="19"/>
        <v>5.9146999999999998E-2</v>
      </c>
      <c r="N42" s="746">
        <f t="shared" si="15"/>
        <v>4.8515935483870967E-2</v>
      </c>
      <c r="P42" s="748">
        <f>+'UE-170033 2017 GRC COS Pow Cost'!I32</f>
        <v>3.3796E-2</v>
      </c>
    </row>
    <row r="43" spans="1:16">
      <c r="A43" s="768" t="s">
        <v>499</v>
      </c>
      <c r="B43" s="326"/>
      <c r="C43" s="342">
        <f>+'2016 PCA Sales &amp; Revenue Adj.'!N48</f>
        <v>6.5490000000000007E-2</v>
      </c>
      <c r="D43" s="343">
        <f t="shared" ref="D43:M43" si="20">+C43</f>
        <v>6.5490000000000007E-2</v>
      </c>
      <c r="E43" s="343">
        <f t="shared" si="20"/>
        <v>6.5490000000000007E-2</v>
      </c>
      <c r="F43" s="343">
        <f t="shared" si="20"/>
        <v>6.5490000000000007E-2</v>
      </c>
      <c r="G43" s="343">
        <f t="shared" si="20"/>
        <v>6.5490000000000007E-2</v>
      </c>
      <c r="H43" s="343">
        <f t="shared" si="20"/>
        <v>6.5490000000000007E-2</v>
      </c>
      <c r="I43" s="343">
        <f t="shared" si="20"/>
        <v>6.5490000000000007E-2</v>
      </c>
      <c r="J43" s="343">
        <f t="shared" si="20"/>
        <v>6.5490000000000007E-2</v>
      </c>
      <c r="K43" s="343">
        <f t="shared" si="20"/>
        <v>6.5490000000000007E-2</v>
      </c>
      <c r="L43" s="343">
        <f t="shared" si="20"/>
        <v>6.5490000000000007E-2</v>
      </c>
      <c r="M43" s="343">
        <f t="shared" si="20"/>
        <v>6.5490000000000007E-2</v>
      </c>
      <c r="N43" s="746">
        <f>0.580645161290323*M43+0.419354838709677*P43</f>
        <v>5.1811483870967755E-2</v>
      </c>
      <c r="P43" s="748">
        <f>+'UE-170033 2017 GRC COS Pow Cost'!L32</f>
        <v>3.2871999999999998E-2</v>
      </c>
    </row>
    <row r="44" spans="1:16">
      <c r="A44" s="766" t="s">
        <v>265</v>
      </c>
      <c r="B44" s="326"/>
      <c r="C44" s="342">
        <f>+'2016 PCA Sales &amp; Revenue Adj.'!N47</f>
        <v>5.8022999999999998E-2</v>
      </c>
      <c r="D44" s="343">
        <f t="shared" ref="D44:M44" si="21">+C44</f>
        <v>5.8022999999999998E-2</v>
      </c>
      <c r="E44" s="343">
        <f t="shared" si="21"/>
        <v>5.8022999999999998E-2</v>
      </c>
      <c r="F44" s="343">
        <f t="shared" si="21"/>
        <v>5.8022999999999998E-2</v>
      </c>
      <c r="G44" s="343">
        <f t="shared" si="21"/>
        <v>5.8022999999999998E-2</v>
      </c>
      <c r="H44" s="343">
        <f t="shared" si="21"/>
        <v>5.8022999999999998E-2</v>
      </c>
      <c r="I44" s="343">
        <f t="shared" si="21"/>
        <v>5.8022999999999998E-2</v>
      </c>
      <c r="J44" s="343">
        <f t="shared" si="21"/>
        <v>5.8022999999999998E-2</v>
      </c>
      <c r="K44" s="343">
        <f t="shared" si="21"/>
        <v>5.8022999999999998E-2</v>
      </c>
      <c r="L44" s="343">
        <f t="shared" si="21"/>
        <v>5.8022999999999998E-2</v>
      </c>
      <c r="M44" s="343">
        <f t="shared" si="21"/>
        <v>5.8022999999999998E-2</v>
      </c>
      <c r="N44" s="746">
        <f t="shared" si="15"/>
        <v>4.5001193548387101E-2</v>
      </c>
      <c r="P44" s="748">
        <f>+'UE-170033 2017 GRC COS Pow Cost'!K32</f>
        <v>2.6970999999999998E-2</v>
      </c>
    </row>
    <row r="45" spans="1:16">
      <c r="A45" s="768" t="s">
        <v>14</v>
      </c>
      <c r="B45" s="326"/>
      <c r="C45" s="342">
        <f>+'2016 PCA Sales &amp; Revenue Adj.'!N51</f>
        <v>3.5139999999999998E-2</v>
      </c>
      <c r="D45" s="343">
        <f t="shared" ref="D45:M45" si="22">+C45</f>
        <v>3.5139999999999998E-2</v>
      </c>
      <c r="E45" s="343">
        <f t="shared" si="22"/>
        <v>3.5139999999999998E-2</v>
      </c>
      <c r="F45" s="343">
        <f t="shared" si="22"/>
        <v>3.5139999999999998E-2</v>
      </c>
      <c r="G45" s="343">
        <f t="shared" si="22"/>
        <v>3.5139999999999998E-2</v>
      </c>
      <c r="H45" s="343">
        <f t="shared" si="22"/>
        <v>3.5139999999999998E-2</v>
      </c>
      <c r="I45" s="343">
        <f t="shared" si="22"/>
        <v>3.5139999999999998E-2</v>
      </c>
      <c r="J45" s="343">
        <f t="shared" si="22"/>
        <v>3.5139999999999998E-2</v>
      </c>
      <c r="K45" s="343">
        <f t="shared" si="22"/>
        <v>3.5139999999999998E-2</v>
      </c>
      <c r="L45" s="343">
        <f t="shared" si="22"/>
        <v>3.5139999999999998E-2</v>
      </c>
      <c r="M45" s="343">
        <f t="shared" si="22"/>
        <v>3.5139999999999998E-2</v>
      </c>
      <c r="N45" s="746">
        <f t="shared" si="15"/>
        <v>3.5139999999999998E-2</v>
      </c>
      <c r="P45" s="748">
        <v>3.5139999999999998E-2</v>
      </c>
    </row>
    <row r="46" spans="1:16" ht="15.75" thickBot="1">
      <c r="A46" s="344"/>
      <c r="B46" s="345"/>
      <c r="C46" s="344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6"/>
      <c r="P46" s="749"/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64" orientation="landscape" r:id="rId1"/>
  <headerFooter alignWithMargins="0">
    <oddFooter xml:space="preserve">&amp;L&amp;F 
&amp;A&amp;RPage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R33"/>
  <sheetViews>
    <sheetView zoomScale="80" zoomScaleNormal="80" workbookViewId="0">
      <pane xSplit="4" ySplit="8" topLeftCell="K23" activePane="bottomRight" state="frozen"/>
      <selection activeCell="C37" sqref="C37"/>
      <selection pane="topRight" activeCell="C37" sqref="C37"/>
      <selection pane="bottomLeft" activeCell="C37" sqref="C37"/>
      <selection pane="bottomRight" sqref="A1:Q32"/>
    </sheetView>
  </sheetViews>
  <sheetFormatPr defaultColWidth="3.85546875" defaultRowHeight="15"/>
  <cols>
    <col min="1" max="1" width="3.7109375" bestFit="1" customWidth="1"/>
    <col min="2" max="2" width="31.5703125" bestFit="1" customWidth="1"/>
    <col min="3" max="3" width="16.140625" bestFit="1" customWidth="1"/>
    <col min="5" max="5" width="16.140625" bestFit="1" customWidth="1"/>
    <col min="6" max="8" width="14.5703125" bestFit="1" customWidth="1"/>
    <col min="9" max="9" width="14.140625" bestFit="1" customWidth="1"/>
    <col min="10" max="11" width="12.7109375" bestFit="1" customWidth="1"/>
    <col min="12" max="12" width="13.28515625" bestFit="1" customWidth="1"/>
    <col min="13" max="13" width="13.7109375" bestFit="1" customWidth="1"/>
    <col min="14" max="15" width="12.5703125" bestFit="1" customWidth="1"/>
    <col min="16" max="16" width="13.140625" bestFit="1" customWidth="1"/>
    <col min="17" max="17" width="12.7109375" bestFit="1" customWidth="1"/>
  </cols>
  <sheetData>
    <row r="1" spans="1:17">
      <c r="A1" s="775" t="s">
        <v>216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</row>
    <row r="2" spans="1:17">
      <c r="A2" s="775" t="s">
        <v>375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</row>
    <row r="3" spans="1:17">
      <c r="A3" s="775" t="s">
        <v>376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</row>
    <row r="4" spans="1:17">
      <c r="A4" s="775" t="s">
        <v>377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</row>
    <row r="5" spans="1:17">
      <c r="A5" s="606"/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</row>
    <row r="6" spans="1:17" ht="51.75">
      <c r="A6" s="607" t="s">
        <v>29</v>
      </c>
      <c r="B6" s="607" t="s">
        <v>31</v>
      </c>
      <c r="C6" s="607" t="s">
        <v>378</v>
      </c>
      <c r="D6" s="607"/>
      <c r="E6" s="607" t="s">
        <v>379</v>
      </c>
      <c r="F6" s="607" t="s">
        <v>380</v>
      </c>
      <c r="G6" s="607" t="s">
        <v>381</v>
      </c>
      <c r="H6" s="607" t="s">
        <v>382</v>
      </c>
      <c r="I6" s="607" t="s">
        <v>383</v>
      </c>
      <c r="J6" s="607" t="s">
        <v>384</v>
      </c>
      <c r="K6" s="607" t="s">
        <v>385</v>
      </c>
      <c r="L6" s="607" t="s">
        <v>386</v>
      </c>
      <c r="M6" s="607" t="s">
        <v>387</v>
      </c>
      <c r="N6" s="607" t="s">
        <v>388</v>
      </c>
      <c r="O6" s="607" t="s">
        <v>389</v>
      </c>
      <c r="P6" s="607" t="s">
        <v>390</v>
      </c>
      <c r="Q6" s="607" t="s">
        <v>391</v>
      </c>
    </row>
    <row r="7" spans="1:17">
      <c r="A7" s="608"/>
      <c r="B7" s="609" t="s">
        <v>148</v>
      </c>
      <c r="C7" s="609" t="s">
        <v>175</v>
      </c>
      <c r="D7" s="609"/>
      <c r="E7" s="609" t="s">
        <v>146</v>
      </c>
      <c r="F7" s="609" t="s">
        <v>392</v>
      </c>
      <c r="G7" s="609" t="s">
        <v>393</v>
      </c>
      <c r="H7" s="609" t="s">
        <v>394</v>
      </c>
      <c r="I7" s="609" t="s">
        <v>395</v>
      </c>
      <c r="J7" s="609" t="s">
        <v>396</v>
      </c>
      <c r="K7" s="609" t="s">
        <v>397</v>
      </c>
      <c r="L7" s="609" t="s">
        <v>398</v>
      </c>
      <c r="M7" s="609" t="s">
        <v>399</v>
      </c>
      <c r="N7" s="609" t="s">
        <v>400</v>
      </c>
      <c r="O7" s="609" t="s">
        <v>401</v>
      </c>
      <c r="P7" s="609" t="s">
        <v>402</v>
      </c>
      <c r="Q7" s="609" t="s">
        <v>403</v>
      </c>
    </row>
    <row r="8" spans="1:17">
      <c r="A8" s="606"/>
      <c r="B8" s="606"/>
      <c r="C8" s="610"/>
      <c r="D8" s="606"/>
      <c r="E8" s="610"/>
      <c r="F8" s="610"/>
      <c r="G8" s="610"/>
      <c r="H8" s="610"/>
      <c r="I8" s="610"/>
      <c r="J8" s="610"/>
      <c r="K8" s="610"/>
      <c r="L8" s="610"/>
      <c r="M8" s="610"/>
      <c r="N8" s="610"/>
      <c r="O8" s="610"/>
      <c r="P8" s="610"/>
      <c r="Q8" s="610"/>
    </row>
    <row r="9" spans="1:17">
      <c r="A9" s="611">
        <v>1</v>
      </c>
      <c r="B9" s="612" t="s">
        <v>404</v>
      </c>
      <c r="C9" s="613">
        <v>22311829039.999996</v>
      </c>
      <c r="D9" s="614"/>
      <c r="E9" s="613">
        <v>11362694034.5944</v>
      </c>
      <c r="F9" s="613">
        <v>2983833723.3713889</v>
      </c>
      <c r="G9" s="613">
        <v>3080584885.4856691</v>
      </c>
      <c r="H9" s="613">
        <v>2051022389.543107</v>
      </c>
      <c r="I9" s="613">
        <v>1342870567.1184549</v>
      </c>
      <c r="J9" s="613">
        <v>4594563.3633324662</v>
      </c>
      <c r="K9" s="613">
        <v>124979540.86316925</v>
      </c>
      <c r="L9" s="613">
        <v>639599439.09802258</v>
      </c>
      <c r="M9" s="613">
        <v>632887813.72208166</v>
      </c>
      <c r="N9" s="613">
        <v>0</v>
      </c>
      <c r="O9" s="613">
        <v>0</v>
      </c>
      <c r="P9" s="613">
        <v>81534389.017231286</v>
      </c>
      <c r="Q9" s="613">
        <v>7227693.8231415441</v>
      </c>
    </row>
    <row r="10" spans="1:17">
      <c r="A10" s="611">
        <f>+A9+1</f>
        <v>2</v>
      </c>
      <c r="B10" s="612" t="s">
        <v>405</v>
      </c>
      <c r="C10" s="613">
        <v>3941657.8585261339</v>
      </c>
      <c r="D10" s="614"/>
      <c r="E10" s="613">
        <v>2401760.8159533199</v>
      </c>
      <c r="F10" s="613">
        <v>483797.35950569448</v>
      </c>
      <c r="G10" s="613">
        <v>452472.55815379717</v>
      </c>
      <c r="H10" s="613">
        <v>261562.891393383</v>
      </c>
      <c r="I10" s="613">
        <v>179157.07260351363</v>
      </c>
      <c r="J10" s="613">
        <v>4.0419526549894496</v>
      </c>
      <c r="K10" s="613">
        <v>0</v>
      </c>
      <c r="L10" s="613">
        <v>80420.565981487191</v>
      </c>
      <c r="M10" s="613">
        <v>67179.705291231017</v>
      </c>
      <c r="N10" s="613">
        <v>0</v>
      </c>
      <c r="O10" s="613">
        <v>0</v>
      </c>
      <c r="P10" s="613">
        <v>13772.381425311305</v>
      </c>
      <c r="Q10" s="613">
        <v>1530.4662657410647</v>
      </c>
    </row>
    <row r="11" spans="1:17">
      <c r="A11" s="611">
        <f t="shared" ref="A11:A33" si="0">+A10+1</f>
        <v>3</v>
      </c>
      <c r="B11" s="615" t="s">
        <v>406</v>
      </c>
      <c r="C11" s="616">
        <f>SUM(E11:Q11)</f>
        <v>1.0000000000000002</v>
      </c>
      <c r="D11" s="617"/>
      <c r="E11" s="616">
        <f t="shared" ref="E11:Q11" si="1">(E9/$C$9*$C$12+E10/$C$10*$C$13)</f>
        <v>0.53428267414961672</v>
      </c>
      <c r="F11" s="616">
        <f t="shared" si="1"/>
        <v>0.13098483852655646</v>
      </c>
      <c r="G11" s="616">
        <f t="shared" si="1"/>
        <v>0.13225029791791532</v>
      </c>
      <c r="H11" s="616">
        <f t="shared" si="1"/>
        <v>8.5533651911442882E-2</v>
      </c>
      <c r="I11" s="616">
        <f t="shared" si="1"/>
        <v>5.6502917113085652E-2</v>
      </c>
      <c r="J11" s="616">
        <f t="shared" si="1"/>
        <v>1.5470011013980859E-4</v>
      </c>
      <c r="K11" s="616">
        <f t="shared" si="1"/>
        <v>4.2011193022020825E-3</v>
      </c>
      <c r="L11" s="616">
        <f t="shared" si="1"/>
        <v>2.6600468875824963E-2</v>
      </c>
      <c r="M11" s="616">
        <f t="shared" si="1"/>
        <v>2.5535058472508355E-2</v>
      </c>
      <c r="N11" s="616">
        <f t="shared" si="1"/>
        <v>0</v>
      </c>
      <c r="O11" s="616">
        <f t="shared" si="1"/>
        <v>0</v>
      </c>
      <c r="P11" s="616">
        <f t="shared" si="1"/>
        <v>3.614248664337222E-3</v>
      </c>
      <c r="Q11" s="616">
        <f t="shared" si="1"/>
        <v>3.4002495637072092E-4</v>
      </c>
    </row>
    <row r="12" spans="1:17">
      <c r="A12" s="611">
        <f t="shared" si="0"/>
        <v>4</v>
      </c>
      <c r="B12" s="618" t="s">
        <v>407</v>
      </c>
      <c r="C12" s="619">
        <v>0.75</v>
      </c>
      <c r="D12" s="620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</row>
    <row r="13" spans="1:17">
      <c r="A13" s="611">
        <f t="shared" si="0"/>
        <v>5</v>
      </c>
      <c r="B13" s="618" t="s">
        <v>408</v>
      </c>
      <c r="C13" s="619">
        <v>0.25</v>
      </c>
      <c r="D13" s="620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</row>
    <row r="14" spans="1:17">
      <c r="A14" s="611">
        <f t="shared" si="0"/>
        <v>6</v>
      </c>
      <c r="B14" s="618"/>
      <c r="C14" s="619"/>
      <c r="D14" s="620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</row>
    <row r="15" spans="1:17">
      <c r="A15" s="611">
        <f t="shared" si="0"/>
        <v>7</v>
      </c>
      <c r="B15" s="622" t="s">
        <v>409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</row>
    <row r="16" spans="1:17">
      <c r="A16" s="611">
        <f t="shared" si="0"/>
        <v>8</v>
      </c>
      <c r="B16" s="622" t="s">
        <v>410</v>
      </c>
      <c r="C16" s="623">
        <f>SUM(E16:Q16)</f>
        <v>0.74999999999999989</v>
      </c>
      <c r="D16" s="623"/>
      <c r="E16" s="623">
        <f t="shared" ref="E16:Q16" si="2">ROUND(+$C$12*E9/$C$9,6)</f>
        <v>0.38195099999999998</v>
      </c>
      <c r="F16" s="623">
        <f t="shared" si="2"/>
        <v>0.1003</v>
      </c>
      <c r="G16" s="623">
        <f t="shared" si="2"/>
        <v>0.10355200000000001</v>
      </c>
      <c r="H16" s="623">
        <f t="shared" si="2"/>
        <v>6.8944000000000005E-2</v>
      </c>
      <c r="I16" s="623">
        <f t="shared" si="2"/>
        <v>4.514E-2</v>
      </c>
      <c r="J16" s="623">
        <f t="shared" si="2"/>
        <v>1.54E-4</v>
      </c>
      <c r="K16" s="623">
        <f t="shared" si="2"/>
        <v>4.2009999999999999E-3</v>
      </c>
      <c r="L16" s="623">
        <f t="shared" si="2"/>
        <v>2.1499999999999998E-2</v>
      </c>
      <c r="M16" s="623">
        <f t="shared" si="2"/>
        <v>2.1274000000000001E-2</v>
      </c>
      <c r="N16" s="623">
        <f t="shared" si="2"/>
        <v>0</v>
      </c>
      <c r="O16" s="623">
        <f t="shared" si="2"/>
        <v>0</v>
      </c>
      <c r="P16" s="623">
        <f t="shared" si="2"/>
        <v>2.7409999999999999E-3</v>
      </c>
      <c r="Q16" s="623">
        <f t="shared" si="2"/>
        <v>2.43E-4</v>
      </c>
    </row>
    <row r="17" spans="1:18">
      <c r="A17" s="611">
        <f t="shared" si="0"/>
        <v>9</v>
      </c>
      <c r="B17" s="622" t="s">
        <v>411</v>
      </c>
      <c r="C17" s="623">
        <f>SUM(E17:Q17)</f>
        <v>0.25</v>
      </c>
      <c r="D17" s="623"/>
      <c r="E17" s="623">
        <f>ROUND(+$C$13*E10/$C$10,6)-0.000001</f>
        <v>0.15233099999999999</v>
      </c>
      <c r="F17" s="623">
        <f t="shared" ref="F17:Q17" si="3">ROUND(+$C$13*F10/$C$10,6)</f>
        <v>3.0685E-2</v>
      </c>
      <c r="G17" s="623">
        <f t="shared" si="3"/>
        <v>2.8698000000000001E-2</v>
      </c>
      <c r="H17" s="623">
        <f t="shared" si="3"/>
        <v>1.6590000000000001E-2</v>
      </c>
      <c r="I17" s="623">
        <f t="shared" si="3"/>
        <v>1.1363E-2</v>
      </c>
      <c r="J17" s="623">
        <f t="shared" si="3"/>
        <v>0</v>
      </c>
      <c r="K17" s="623">
        <f t="shared" si="3"/>
        <v>0</v>
      </c>
      <c r="L17" s="623">
        <f t="shared" si="3"/>
        <v>5.1009999999999996E-3</v>
      </c>
      <c r="M17" s="623">
        <f t="shared" si="3"/>
        <v>4.261E-3</v>
      </c>
      <c r="N17" s="623">
        <f t="shared" si="3"/>
        <v>0</v>
      </c>
      <c r="O17" s="623">
        <f t="shared" si="3"/>
        <v>0</v>
      </c>
      <c r="P17" s="623">
        <f t="shared" si="3"/>
        <v>8.7399999999999999E-4</v>
      </c>
      <c r="Q17" s="623">
        <f t="shared" si="3"/>
        <v>9.7E-5</v>
      </c>
    </row>
    <row r="18" spans="1:18">
      <c r="A18" s="611">
        <f t="shared" si="0"/>
        <v>10</v>
      </c>
      <c r="B18" s="622" t="s">
        <v>412</v>
      </c>
      <c r="C18" s="623">
        <f>SUM(E18:Q18)</f>
        <v>0.99999999999999989</v>
      </c>
      <c r="D18" s="448"/>
      <c r="E18" s="624">
        <f>SUM(E16:E17)</f>
        <v>0.53428199999999992</v>
      </c>
      <c r="F18" s="624">
        <f t="shared" ref="F18:Q18" si="4">SUM(F16:F17)</f>
        <v>0.13098499999999999</v>
      </c>
      <c r="G18" s="624">
        <f t="shared" si="4"/>
        <v>0.13225000000000001</v>
      </c>
      <c r="H18" s="624">
        <f t="shared" si="4"/>
        <v>8.5533999999999999E-2</v>
      </c>
      <c r="I18" s="624">
        <f t="shared" si="4"/>
        <v>5.6502999999999998E-2</v>
      </c>
      <c r="J18" s="624">
        <f t="shared" si="4"/>
        <v>1.54E-4</v>
      </c>
      <c r="K18" s="624">
        <f t="shared" si="4"/>
        <v>4.2009999999999999E-3</v>
      </c>
      <c r="L18" s="624">
        <f t="shared" si="4"/>
        <v>2.6601E-2</v>
      </c>
      <c r="M18" s="624">
        <f t="shared" si="4"/>
        <v>2.5535000000000002E-2</v>
      </c>
      <c r="N18" s="624">
        <f t="shared" si="4"/>
        <v>0</v>
      </c>
      <c r="O18" s="624">
        <f t="shared" si="4"/>
        <v>0</v>
      </c>
      <c r="P18" s="624">
        <f t="shared" si="4"/>
        <v>3.6150000000000002E-3</v>
      </c>
      <c r="Q18" s="624">
        <f t="shared" si="4"/>
        <v>3.4000000000000002E-4</v>
      </c>
    </row>
    <row r="19" spans="1:18">
      <c r="A19" s="611">
        <f t="shared" si="0"/>
        <v>11</v>
      </c>
    </row>
    <row r="20" spans="1:18">
      <c r="A20" s="611">
        <f t="shared" si="0"/>
        <v>12</v>
      </c>
      <c r="B20" s="625" t="s">
        <v>495</v>
      </c>
      <c r="C20" s="761">
        <f>+'UE-170033 2017 GRC Exh A-1'!$G$38</f>
        <v>715775660.02487493</v>
      </c>
    </row>
    <row r="21" spans="1:18">
      <c r="A21" s="611">
        <f t="shared" si="0"/>
        <v>13</v>
      </c>
      <c r="B21" s="625" t="s">
        <v>17</v>
      </c>
      <c r="C21" s="759">
        <f>-'UE-170033 2017 GRC Exh A-1'!G29</f>
        <v>36228866.83523047</v>
      </c>
    </row>
    <row r="22" spans="1:18">
      <c r="A22" s="611">
        <f t="shared" si="0"/>
        <v>14</v>
      </c>
      <c r="B22" s="625" t="s">
        <v>18</v>
      </c>
      <c r="C22" s="759">
        <f>-'UE-170033 2017 GRC Exh A-1'!G27</f>
        <v>0</v>
      </c>
    </row>
    <row r="23" spans="1:18">
      <c r="A23" s="611">
        <f t="shared" si="0"/>
        <v>15</v>
      </c>
      <c r="B23" s="625" t="s">
        <v>19</v>
      </c>
      <c r="C23" s="759">
        <f>-'UE-170033 2017 GRC Exh A-1'!G30</f>
        <v>16223873.273980575</v>
      </c>
    </row>
    <row r="24" spans="1:18" ht="15.75" thickBot="1">
      <c r="A24" s="611">
        <f t="shared" si="0"/>
        <v>16</v>
      </c>
      <c r="B24" s="13" t="s">
        <v>490</v>
      </c>
      <c r="C24" s="758">
        <f>SUM(C20:C23)</f>
        <v>768228400.13408601</v>
      </c>
      <c r="D24" s="1"/>
      <c r="E24" s="760">
        <f>+E18*$C$24</f>
        <v>410450606.08043969</v>
      </c>
      <c r="F24" s="12">
        <f t="shared" ref="F24:Q24" si="5">+F18*$C$24</f>
        <v>100626396.99156325</v>
      </c>
      <c r="G24" s="12">
        <f t="shared" si="5"/>
        <v>101598205.91773288</v>
      </c>
      <c r="H24" s="12">
        <f t="shared" si="5"/>
        <v>65709647.977068909</v>
      </c>
      <c r="I24" s="12">
        <f t="shared" si="5"/>
        <v>43407209.292776257</v>
      </c>
      <c r="J24" s="12">
        <f t="shared" si="5"/>
        <v>118307.17362064925</v>
      </c>
      <c r="K24" s="12">
        <f t="shared" si="5"/>
        <v>3227327.5089632953</v>
      </c>
      <c r="L24" s="12">
        <f t="shared" si="5"/>
        <v>20435643.671966821</v>
      </c>
      <c r="M24" s="12">
        <f t="shared" si="5"/>
        <v>19616712.197423887</v>
      </c>
      <c r="N24" s="12">
        <f t="shared" si="5"/>
        <v>0</v>
      </c>
      <c r="O24" s="12">
        <f t="shared" si="5"/>
        <v>0</v>
      </c>
      <c r="P24" s="12">
        <f t="shared" si="5"/>
        <v>2777145.666484721</v>
      </c>
      <c r="Q24" s="12">
        <f t="shared" si="5"/>
        <v>261197.65604558928</v>
      </c>
      <c r="R24" s="12"/>
    </row>
    <row r="25" spans="1:18" ht="15.75" thickTop="1">
      <c r="A25" s="611">
        <f t="shared" si="0"/>
        <v>17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611">
        <f t="shared" si="0"/>
        <v>18</v>
      </c>
      <c r="B26" s="13" t="s">
        <v>486</v>
      </c>
      <c r="C26" s="14">
        <f>+'UE-170033 2017 GRC Prop Rev'!I47</f>
        <v>22821309.052696429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611">
        <f t="shared" si="0"/>
        <v>19</v>
      </c>
      <c r="B27" s="13" t="s">
        <v>487</v>
      </c>
      <c r="C27" s="14">
        <f>-'UE-170033 2017 GRC Prop Rev'!I39</f>
        <v>-2098103.6366259996</v>
      </c>
      <c r="D27" s="1"/>
      <c r="E27" s="1"/>
      <c r="F27" s="1"/>
      <c r="G27" s="1"/>
      <c r="H27" s="1"/>
      <c r="I27" s="1"/>
      <c r="J27" s="1"/>
      <c r="K27" s="1"/>
      <c r="L27" s="14"/>
      <c r="M27" s="14"/>
      <c r="N27" s="1"/>
      <c r="O27" s="1"/>
      <c r="P27" s="1"/>
      <c r="Q27" s="1"/>
      <c r="R27" s="1"/>
    </row>
    <row r="28" spans="1:18">
      <c r="A28" s="611">
        <f t="shared" si="0"/>
        <v>20</v>
      </c>
      <c r="B28" s="13" t="s">
        <v>488</v>
      </c>
      <c r="C28" s="14">
        <f>+C26+C27</f>
        <v>20723205.416070431</v>
      </c>
      <c r="D28" s="1"/>
      <c r="E28" s="14">
        <f>+'UE-170033 2017 GRC Prop Rev'!I16</f>
        <v>10442426</v>
      </c>
      <c r="F28" s="14">
        <f>+'UE-170033 2017 GRC Prop Rev'!I20</f>
        <v>2787584</v>
      </c>
      <c r="G28" s="14">
        <f>+'UE-170033 2017 GRC Prop Rev'!I21+'UE-170033 2017 GRC Prop Rev'!I23</f>
        <v>2853786</v>
      </c>
      <c r="H28" s="14">
        <f>+'UE-170033 2017 GRC Prop Rev'!I22</f>
        <v>1892054.7443816457</v>
      </c>
      <c r="I28" s="14">
        <f>+'UE-170033 2017 GRC Prop Rev'!I27</f>
        <v>1284401.5744586966</v>
      </c>
      <c r="J28" s="14">
        <f>+'UE-170033 2017 GRC Prop Rev'!I28</f>
        <v>4452.6000000000004</v>
      </c>
      <c r="K28" s="14">
        <f>+'UE-170033 2017 GRC Prop Rev'!I29</f>
        <v>119660.40146477679</v>
      </c>
      <c r="L28" s="14">
        <f>+'UE-170033 2017 GRC Prop Rev'!I32</f>
        <v>621678.72633913101</v>
      </c>
      <c r="M28" s="14">
        <f>+'UE-170033 2017 GRC Prop Rev'!I37</f>
        <v>632259.21669800009</v>
      </c>
      <c r="N28" s="14">
        <v>0</v>
      </c>
      <c r="O28" s="14">
        <v>0</v>
      </c>
      <c r="P28" s="14">
        <f>+'UE-170033 2017 GRC Prop Rev'!I41</f>
        <v>77972.349305999989</v>
      </c>
      <c r="Q28" s="14">
        <f>+'UE-170033 2017 GRC Prop Rev'!I45</f>
        <v>6929.8034221808284</v>
      </c>
      <c r="R28" s="14"/>
    </row>
    <row r="29" spans="1:18">
      <c r="A29" s="611">
        <f t="shared" si="0"/>
        <v>21</v>
      </c>
      <c r="B29" s="13" t="s">
        <v>489</v>
      </c>
      <c r="C29" s="14">
        <f>+'UE-170033 2017 GRC Exh A-1'!C39</f>
        <v>20723206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611">
        <f t="shared" si="0"/>
        <v>22</v>
      </c>
      <c r="B30" s="1" t="s">
        <v>27</v>
      </c>
      <c r="C30" s="14">
        <f>+C28-C29</f>
        <v>-0.58392956852912903</v>
      </c>
      <c r="D30" s="1"/>
      <c r="E30" s="1"/>
      <c r="F30" s="1"/>
      <c r="G30" s="1"/>
      <c r="H30" s="1"/>
      <c r="I30" s="1"/>
      <c r="J30" s="1"/>
      <c r="K30" s="14"/>
      <c r="L30" s="14"/>
      <c r="M30" s="14"/>
      <c r="N30" s="1"/>
      <c r="O30" s="1"/>
      <c r="P30" s="1"/>
      <c r="Q30" s="1"/>
      <c r="R30" s="1"/>
    </row>
    <row r="31" spans="1:18">
      <c r="A31" s="611">
        <f t="shared" si="0"/>
        <v>23</v>
      </c>
      <c r="B31" s="1"/>
      <c r="C31" s="1"/>
      <c r="D31" s="1"/>
      <c r="E31" s="1"/>
      <c r="F31" s="1"/>
      <c r="G31" s="1"/>
      <c r="H31" s="1"/>
      <c r="I31" s="1"/>
      <c r="J31" s="1"/>
      <c r="K31" s="14"/>
      <c r="L31" s="1"/>
      <c r="M31" s="14"/>
      <c r="N31" s="1"/>
      <c r="O31" s="1"/>
      <c r="P31" s="1"/>
      <c r="Q31" s="1"/>
      <c r="R31" s="1"/>
    </row>
    <row r="32" spans="1:18">
      <c r="A32" s="611">
        <f t="shared" si="0"/>
        <v>24</v>
      </c>
      <c r="B32" s="1" t="s">
        <v>28</v>
      </c>
      <c r="C32" s="1"/>
      <c r="D32" s="1"/>
      <c r="E32" s="445">
        <f>ROUND(E24/(E28*1000),6)</f>
        <v>3.9306000000000001E-2</v>
      </c>
      <c r="F32" s="445">
        <f t="shared" ref="F32:L32" si="6">ROUND(F24/(F28*1000),6)</f>
        <v>3.6097999999999998E-2</v>
      </c>
      <c r="G32" s="445">
        <f t="shared" si="6"/>
        <v>3.5601000000000001E-2</v>
      </c>
      <c r="H32" s="445">
        <f t="shared" si="6"/>
        <v>3.4729000000000003E-2</v>
      </c>
      <c r="I32" s="445">
        <f t="shared" si="6"/>
        <v>3.3796E-2</v>
      </c>
      <c r="J32" s="1"/>
      <c r="K32" s="445">
        <f t="shared" si="6"/>
        <v>2.6970999999999998E-2</v>
      </c>
      <c r="L32" s="445">
        <f t="shared" si="6"/>
        <v>3.2871999999999998E-2</v>
      </c>
      <c r="M32" s="14"/>
      <c r="N32" s="1"/>
      <c r="O32" s="1"/>
      <c r="P32" s="1"/>
      <c r="Q32" s="445">
        <f t="shared" ref="Q32" si="7">ROUND(Q24/(Q28*1000),6)</f>
        <v>3.7692000000000003E-2</v>
      </c>
      <c r="R32" s="15"/>
    </row>
    <row r="33" spans="1:1">
      <c r="A33" s="611">
        <f t="shared" si="0"/>
        <v>25</v>
      </c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52" fitToHeight="0" orientation="landscape" r:id="rId1"/>
  <headerFooter>
    <oddFooter xml:space="preserve">&amp;L&amp;F
&amp;A&amp;RPage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G58"/>
  <sheetViews>
    <sheetView zoomScale="90" zoomScaleNormal="90" workbookViewId="0">
      <pane xSplit="2" ySplit="4" topLeftCell="C12" activePane="bottomRight" state="frozen"/>
      <selection pane="topRight" activeCell="C1" sqref="C1"/>
      <selection pane="bottomLeft" activeCell="A5" sqref="A5"/>
      <selection pane="bottomRight" activeCell="G38" sqref="G38"/>
    </sheetView>
  </sheetViews>
  <sheetFormatPr defaultRowHeight="15"/>
  <cols>
    <col min="1" max="1" width="9.7109375" customWidth="1"/>
    <col min="2" max="2" width="53.7109375" customWidth="1"/>
    <col min="3" max="3" width="14.5703125" bestFit="1" customWidth="1"/>
    <col min="4" max="4" width="11.7109375" customWidth="1"/>
    <col min="5" max="5" width="4.28515625" bestFit="1" customWidth="1"/>
    <col min="6" max="6" width="13" bestFit="1" customWidth="1"/>
    <col min="7" max="7" width="13.28515625" customWidth="1"/>
  </cols>
  <sheetData>
    <row r="1" spans="1:7" ht="18">
      <c r="A1" s="447" t="s">
        <v>122</v>
      </c>
      <c r="B1" s="448"/>
      <c r="C1" s="625"/>
      <c r="D1" s="625"/>
      <c r="E1" s="625"/>
      <c r="F1" s="625"/>
      <c r="G1" s="626" t="s">
        <v>413</v>
      </c>
    </row>
    <row r="2" spans="1:7" ht="18">
      <c r="A2" s="627" t="s">
        <v>414</v>
      </c>
      <c r="B2" s="628"/>
      <c r="C2" s="625"/>
      <c r="D2" s="625"/>
      <c r="E2" s="625"/>
      <c r="F2" s="625"/>
      <c r="G2" s="626"/>
    </row>
    <row r="3" spans="1:7" ht="15.75">
      <c r="A3" s="629"/>
      <c r="B3" s="628"/>
      <c r="C3" s="625"/>
      <c r="D3" s="630"/>
      <c r="E3" s="625"/>
      <c r="F3" s="625"/>
      <c r="G3" s="631"/>
    </row>
    <row r="4" spans="1:7">
      <c r="A4" s="632" t="s">
        <v>124</v>
      </c>
      <c r="B4" s="633"/>
      <c r="C4" s="634" t="s">
        <v>125</v>
      </c>
      <c r="D4" s="635"/>
      <c r="E4" s="635"/>
      <c r="F4" s="635"/>
      <c r="G4" s="635"/>
    </row>
    <row r="5" spans="1:7">
      <c r="A5" s="632">
        <v>3</v>
      </c>
      <c r="B5" s="636" t="s">
        <v>415</v>
      </c>
      <c r="C5" s="637">
        <v>199079031.3739852</v>
      </c>
      <c r="D5" s="625"/>
      <c r="E5" s="638"/>
      <c r="F5" s="638"/>
      <c r="G5" s="638"/>
    </row>
    <row r="6" spans="1:7">
      <c r="A6" s="632">
        <v>4</v>
      </c>
      <c r="B6" s="636" t="s">
        <v>127</v>
      </c>
      <c r="C6" s="639">
        <v>85738601.034227908</v>
      </c>
      <c r="D6" s="625"/>
      <c r="E6" s="638"/>
      <c r="F6" s="638"/>
      <c r="G6" s="638"/>
    </row>
    <row r="7" spans="1:7">
      <c r="A7" s="632">
        <v>5</v>
      </c>
      <c r="B7" s="636" t="s">
        <v>128</v>
      </c>
      <c r="C7" s="640">
        <v>1961447671.7378278</v>
      </c>
      <c r="D7" s="625"/>
      <c r="E7" s="638"/>
      <c r="F7" s="641"/>
      <c r="G7" s="642"/>
    </row>
    <row r="8" spans="1:7">
      <c r="A8" s="632">
        <v>6</v>
      </c>
      <c r="B8" s="643"/>
      <c r="C8" s="644">
        <f>SUM(C5:C7)</f>
        <v>2246265304.1460409</v>
      </c>
      <c r="D8" s="625"/>
      <c r="E8" s="632"/>
      <c r="F8" s="632"/>
      <c r="G8" s="635"/>
    </row>
    <row r="9" spans="1:7">
      <c r="A9" s="632">
        <v>7</v>
      </c>
      <c r="B9" s="636" t="s">
        <v>131</v>
      </c>
      <c r="C9" s="645">
        <v>6.5500000000000003E-2</v>
      </c>
      <c r="D9" s="646"/>
      <c r="E9" s="632"/>
      <c r="F9" s="632" t="s">
        <v>314</v>
      </c>
      <c r="G9" s="632" t="s">
        <v>315</v>
      </c>
    </row>
    <row r="10" spans="1:7">
      <c r="A10" s="632">
        <v>8</v>
      </c>
      <c r="B10" s="647"/>
      <c r="C10" s="638"/>
      <c r="D10" s="632" t="s">
        <v>133</v>
      </c>
      <c r="E10" s="632"/>
      <c r="F10" s="632" t="s">
        <v>416</v>
      </c>
      <c r="G10" s="632" t="s">
        <v>416</v>
      </c>
    </row>
    <row r="11" spans="1:7">
      <c r="A11" s="632">
        <v>9</v>
      </c>
      <c r="B11" s="648"/>
      <c r="C11" s="638"/>
      <c r="D11" s="649" t="s">
        <v>135</v>
      </c>
      <c r="E11" s="650" t="s">
        <v>323</v>
      </c>
      <c r="F11" s="650" t="s">
        <v>417</v>
      </c>
      <c r="G11" s="650" t="s">
        <v>418</v>
      </c>
    </row>
    <row r="12" spans="1:7">
      <c r="A12" s="632" t="s">
        <v>141</v>
      </c>
      <c r="B12" s="636"/>
      <c r="C12" s="649" t="s">
        <v>142</v>
      </c>
      <c r="D12" s="649" t="s">
        <v>143</v>
      </c>
      <c r="E12" s="649" t="s">
        <v>144</v>
      </c>
      <c r="F12" s="650" t="s">
        <v>325</v>
      </c>
      <c r="G12" s="650" t="s">
        <v>326</v>
      </c>
    </row>
    <row r="13" spans="1:7">
      <c r="A13" s="632">
        <v>10</v>
      </c>
      <c r="B13" s="636" t="s">
        <v>145</v>
      </c>
      <c r="C13" s="637">
        <f>C5*$C$9/0.65</f>
        <v>20061040.853840046</v>
      </c>
      <c r="D13" s="651">
        <f t="shared" ref="D13:D34" si="0">+C13/$C$39</f>
        <v>0.96804716672893398</v>
      </c>
      <c r="E13" s="652" t="s">
        <v>38</v>
      </c>
      <c r="F13" s="637">
        <f>+C13</f>
        <v>20061040.853840046</v>
      </c>
      <c r="G13" s="653">
        <v>0</v>
      </c>
    </row>
    <row r="14" spans="1:7">
      <c r="A14" s="632" t="s">
        <v>280</v>
      </c>
      <c r="B14" s="636" t="s">
        <v>281</v>
      </c>
      <c r="C14" s="639">
        <v>4769481.1386719989</v>
      </c>
      <c r="D14" s="651">
        <f t="shared" si="0"/>
        <v>0.23015170233177235</v>
      </c>
      <c r="E14" s="652" t="s">
        <v>332</v>
      </c>
      <c r="F14" s="638"/>
      <c r="G14" s="641">
        <f>+C14</f>
        <v>4769481.1386719989</v>
      </c>
    </row>
    <row r="15" spans="1:7">
      <c r="A15" s="632">
        <v>11</v>
      </c>
      <c r="B15" s="643" t="s">
        <v>147</v>
      </c>
      <c r="C15" s="654">
        <f>+C6*C9/0.65</f>
        <v>8639812.8734491207</v>
      </c>
      <c r="D15" s="651">
        <f t="shared" si="0"/>
        <v>0.41691487665803839</v>
      </c>
      <c r="E15" s="652" t="s">
        <v>38</v>
      </c>
      <c r="F15" s="641">
        <f>+C15</f>
        <v>8639812.8734491207</v>
      </c>
      <c r="G15" s="638"/>
    </row>
    <row r="16" spans="1:7">
      <c r="A16" s="632">
        <v>12</v>
      </c>
      <c r="B16" s="643" t="s">
        <v>149</v>
      </c>
      <c r="C16" s="639">
        <f>C7*$C$9/0.65</f>
        <v>197653573.07511958</v>
      </c>
      <c r="D16" s="651">
        <f t="shared" si="0"/>
        <v>9.5377893302377821</v>
      </c>
      <c r="E16" s="652" t="s">
        <v>38</v>
      </c>
      <c r="F16" s="639">
        <f>+C16</f>
        <v>197653573.07511958</v>
      </c>
      <c r="G16" s="638"/>
    </row>
    <row r="17" spans="1:7">
      <c r="A17" s="632">
        <v>13</v>
      </c>
      <c r="B17" s="643" t="s">
        <v>419</v>
      </c>
      <c r="C17" s="639">
        <v>69962949.456452519</v>
      </c>
      <c r="D17" s="651">
        <f t="shared" si="0"/>
        <v>3.3760678466668006</v>
      </c>
      <c r="E17" s="652" t="s">
        <v>332</v>
      </c>
      <c r="F17" s="639"/>
      <c r="G17" s="639">
        <f>+C17</f>
        <v>69962949.456452519</v>
      </c>
    </row>
    <row r="18" spans="1:7">
      <c r="A18" s="632">
        <v>14</v>
      </c>
      <c r="B18" s="643" t="s">
        <v>420</v>
      </c>
      <c r="C18" s="639">
        <v>378349379.60972166</v>
      </c>
      <c r="D18" s="651">
        <f t="shared" si="0"/>
        <v>18.257280249480782</v>
      </c>
      <c r="E18" s="652" t="s">
        <v>332</v>
      </c>
      <c r="F18" s="639"/>
      <c r="G18" s="639">
        <f>+C18</f>
        <v>378349379.60972166</v>
      </c>
    </row>
    <row r="19" spans="1:7">
      <c r="A19" s="632">
        <v>15</v>
      </c>
      <c r="B19" s="643" t="s">
        <v>152</v>
      </c>
      <c r="C19" s="639">
        <v>7238267.1874165451</v>
      </c>
      <c r="D19" s="651">
        <f t="shared" si="0"/>
        <v>0.34928317497864692</v>
      </c>
      <c r="E19" s="652" t="s">
        <v>38</v>
      </c>
      <c r="F19" s="639">
        <f>+C19</f>
        <v>7238267.1874165451</v>
      </c>
      <c r="G19" s="638"/>
    </row>
    <row r="20" spans="1:7">
      <c r="A20" s="632" t="s">
        <v>153</v>
      </c>
      <c r="B20" s="655" t="s">
        <v>154</v>
      </c>
      <c r="C20" s="639">
        <v>8206061.1260157973</v>
      </c>
      <c r="D20" s="651">
        <f t="shared" si="0"/>
        <v>0.39598415061915598</v>
      </c>
      <c r="E20" s="652" t="s">
        <v>38</v>
      </c>
      <c r="F20" s="639">
        <f>+C20</f>
        <v>8206061.1260157973</v>
      </c>
      <c r="G20" s="638"/>
    </row>
    <row r="21" spans="1:7">
      <c r="A21" s="632" t="s">
        <v>155</v>
      </c>
      <c r="B21" s="655" t="s">
        <v>156</v>
      </c>
      <c r="C21" s="639">
        <v>2763777.09</v>
      </c>
      <c r="D21" s="651">
        <f t="shared" si="0"/>
        <v>0.13336628946312651</v>
      </c>
      <c r="E21" s="652" t="s">
        <v>38</v>
      </c>
      <c r="F21" s="639">
        <f>+C21</f>
        <v>2763777.09</v>
      </c>
      <c r="G21" s="638"/>
    </row>
    <row r="22" spans="1:7">
      <c r="A22" s="632" t="s">
        <v>157</v>
      </c>
      <c r="B22" s="655" t="s">
        <v>158</v>
      </c>
      <c r="C22" s="639">
        <v>1262663.2680056884</v>
      </c>
      <c r="D22" s="651">
        <f t="shared" si="0"/>
        <v>6.092991924153475E-2</v>
      </c>
      <c r="E22" s="652" t="s">
        <v>332</v>
      </c>
      <c r="F22" s="639"/>
      <c r="G22" s="639">
        <f>+C22</f>
        <v>1262663.2680056884</v>
      </c>
    </row>
    <row r="23" spans="1:7">
      <c r="A23" s="632" t="s">
        <v>159</v>
      </c>
      <c r="B23" s="655" t="s">
        <v>160</v>
      </c>
      <c r="C23" s="639">
        <v>2119540.3036357597</v>
      </c>
      <c r="D23" s="651">
        <f t="shared" si="0"/>
        <v>0.1022785906599471</v>
      </c>
      <c r="E23" s="652" t="s">
        <v>38</v>
      </c>
      <c r="F23" s="639">
        <f>+C23</f>
        <v>2119540.3036357597</v>
      </c>
      <c r="G23" s="639"/>
    </row>
    <row r="24" spans="1:7">
      <c r="A24" s="632" t="s">
        <v>337</v>
      </c>
      <c r="B24" s="655" t="s">
        <v>421</v>
      </c>
      <c r="C24" s="639">
        <v>313332.07420681993</v>
      </c>
      <c r="D24" s="651">
        <f t="shared" si="0"/>
        <v>1.5119864861007507E-2</v>
      </c>
      <c r="E24" s="652" t="s">
        <v>332</v>
      </c>
      <c r="F24" s="638"/>
      <c r="G24" s="641">
        <f>+C24</f>
        <v>313332.07420681993</v>
      </c>
    </row>
    <row r="25" spans="1:7">
      <c r="A25" s="632">
        <v>16</v>
      </c>
      <c r="B25" s="643" t="s">
        <v>422</v>
      </c>
      <c r="C25" s="639">
        <v>171115373.90212974</v>
      </c>
      <c r="D25" s="651">
        <f t="shared" si="0"/>
        <v>8.2571863592018406</v>
      </c>
      <c r="E25" s="652" t="s">
        <v>332</v>
      </c>
      <c r="F25" s="638"/>
      <c r="G25" s="639">
        <f>+C25</f>
        <v>171115373.90212974</v>
      </c>
    </row>
    <row r="26" spans="1:7">
      <c r="A26" s="632">
        <v>17</v>
      </c>
      <c r="B26" s="643" t="s">
        <v>423</v>
      </c>
      <c r="C26" s="639">
        <v>108374278.4084733</v>
      </c>
      <c r="D26" s="651">
        <f t="shared" si="0"/>
        <v>5.2296096660175699</v>
      </c>
      <c r="E26" s="652" t="s">
        <v>332</v>
      </c>
      <c r="F26" s="638"/>
      <c r="G26" s="639">
        <f>+C26</f>
        <v>108374278.4084733</v>
      </c>
    </row>
    <row r="27" spans="1:7">
      <c r="A27" s="632">
        <v>18</v>
      </c>
      <c r="B27" s="643" t="s">
        <v>341</v>
      </c>
      <c r="C27" s="639">
        <v>-11639833.365925668</v>
      </c>
      <c r="D27" s="651">
        <f t="shared" si="0"/>
        <v>-0.56168111082453498</v>
      </c>
      <c r="E27" s="652" t="s">
        <v>38</v>
      </c>
      <c r="F27" s="639">
        <f>+C27</f>
        <v>-11639833.365925668</v>
      </c>
      <c r="G27" s="639"/>
    </row>
    <row r="28" spans="1:7">
      <c r="A28" s="632">
        <v>19</v>
      </c>
      <c r="B28" s="643" t="s">
        <v>164</v>
      </c>
      <c r="C28" s="639">
        <v>138209148.65181684</v>
      </c>
      <c r="D28" s="651">
        <f t="shared" si="0"/>
        <v>6.6692937691116345</v>
      </c>
      <c r="E28" s="652" t="s">
        <v>38</v>
      </c>
      <c r="F28" s="639">
        <f>+C28</f>
        <v>138209148.65181684</v>
      </c>
      <c r="G28" s="639"/>
    </row>
    <row r="29" spans="1:7">
      <c r="A29" s="632">
        <v>20</v>
      </c>
      <c r="B29" s="643" t="s">
        <v>165</v>
      </c>
      <c r="C29" s="639">
        <v>-36228866.83523047</v>
      </c>
      <c r="D29" s="651">
        <f t="shared" si="0"/>
        <v>-1.7482269314521348</v>
      </c>
      <c r="E29" s="652" t="s">
        <v>332</v>
      </c>
      <c r="F29" s="639"/>
      <c r="G29" s="639">
        <f>+C29</f>
        <v>-36228866.83523047</v>
      </c>
    </row>
    <row r="30" spans="1:7">
      <c r="A30" s="656">
        <v>21</v>
      </c>
      <c r="B30" s="657" t="s">
        <v>282</v>
      </c>
      <c r="C30" s="639">
        <v>-16223873.273980575</v>
      </c>
      <c r="D30" s="651">
        <f t="shared" si="0"/>
        <v>-0.78288433140994562</v>
      </c>
      <c r="E30" s="652" t="s">
        <v>332</v>
      </c>
      <c r="F30" s="639"/>
      <c r="G30" s="639">
        <f>+C30</f>
        <v>-16223873.273980575</v>
      </c>
    </row>
    <row r="31" spans="1:7">
      <c r="A31" s="632">
        <v>22</v>
      </c>
      <c r="B31" s="643" t="s">
        <v>167</v>
      </c>
      <c r="C31" s="639">
        <v>662134.87</v>
      </c>
      <c r="D31" s="651">
        <f t="shared" si="0"/>
        <v>3.1951372292491807E-2</v>
      </c>
      <c r="E31" s="652" t="s">
        <v>38</v>
      </c>
      <c r="F31" s="639">
        <f>+C31</f>
        <v>662134.87</v>
      </c>
      <c r="G31" s="638"/>
    </row>
    <row r="32" spans="1:7">
      <c r="A32" s="632">
        <v>23</v>
      </c>
      <c r="B32" s="658" t="s">
        <v>168</v>
      </c>
      <c r="C32" s="639">
        <v>161583689.16694248</v>
      </c>
      <c r="D32" s="651">
        <f t="shared" si="0"/>
        <v>7.7972341329301305</v>
      </c>
      <c r="E32" s="652" t="s">
        <v>38</v>
      </c>
      <c r="F32" s="639">
        <f>+C32</f>
        <v>161583689.16694248</v>
      </c>
      <c r="G32" s="638"/>
    </row>
    <row r="33" spans="1:7">
      <c r="A33" s="632">
        <v>24</v>
      </c>
      <c r="B33" s="633" t="s">
        <v>169</v>
      </c>
      <c r="C33" s="639">
        <v>3490805.0455442886</v>
      </c>
      <c r="D33" s="651">
        <f t="shared" si="0"/>
        <v>0.16844908290465715</v>
      </c>
      <c r="E33" s="652" t="s">
        <v>38</v>
      </c>
      <c r="F33" s="641">
        <f>+C33</f>
        <v>3490805.0455442886</v>
      </c>
      <c r="G33" s="638"/>
    </row>
    <row r="34" spans="1:7">
      <c r="A34" s="632">
        <f t="shared" ref="A34:A45" si="1">+A33+1</f>
        <v>25</v>
      </c>
      <c r="B34" s="633" t="s">
        <v>424</v>
      </c>
      <c r="C34" s="639">
        <f>+F57</f>
        <v>19415532.153878614</v>
      </c>
      <c r="D34" s="651">
        <f t="shared" si="0"/>
        <v>0.93689809163112181</v>
      </c>
      <c r="E34" s="652" t="s">
        <v>38</v>
      </c>
      <c r="F34" s="639">
        <f>+C34</f>
        <v>19415532.153878614</v>
      </c>
      <c r="G34" s="638"/>
    </row>
    <row r="35" spans="1:7">
      <c r="A35" s="632">
        <f t="shared" si="1"/>
        <v>26</v>
      </c>
      <c r="B35" s="659" t="s">
        <v>425</v>
      </c>
      <c r="C35" s="660"/>
      <c r="D35" s="660"/>
      <c r="E35" s="652"/>
      <c r="F35" s="660"/>
      <c r="G35" s="660"/>
    </row>
    <row r="36" spans="1:7">
      <c r="A36" s="632">
        <f t="shared" si="1"/>
        <v>27</v>
      </c>
      <c r="B36" s="661" t="s">
        <v>174</v>
      </c>
      <c r="C36" s="662">
        <f>SUM(C13:C35)</f>
        <v>1240098266.7801845</v>
      </c>
      <c r="D36" s="663">
        <f>SUM(D13:D35)</f>
        <v>59.841043262330352</v>
      </c>
      <c r="E36" s="663"/>
      <c r="F36" s="662">
        <f>SUM(F13:F35)</f>
        <v>558403549.03173339</v>
      </c>
      <c r="G36" s="662">
        <f>SUM(G13:G35)</f>
        <v>681694717.74845052</v>
      </c>
    </row>
    <row r="37" spans="1:7">
      <c r="A37" s="632">
        <f t="shared" si="1"/>
        <v>28</v>
      </c>
      <c r="B37" s="643" t="s">
        <v>176</v>
      </c>
      <c r="C37" s="664">
        <v>0.95238599999999995</v>
      </c>
      <c r="D37" s="664">
        <f>+C37</f>
        <v>0.95238599999999995</v>
      </c>
      <c r="E37" s="664"/>
      <c r="F37" s="665">
        <f>+D37</f>
        <v>0.95238599999999995</v>
      </c>
      <c r="G37" s="665">
        <f>+F37</f>
        <v>0.95238599999999995</v>
      </c>
    </row>
    <row r="38" spans="1:7">
      <c r="A38" s="632">
        <f t="shared" si="1"/>
        <v>29</v>
      </c>
      <c r="B38" s="643" t="s">
        <v>348</v>
      </c>
      <c r="C38" s="662">
        <f>+C36/C37</f>
        <v>1302096279.0089149</v>
      </c>
      <c r="D38" s="663">
        <f>+D36/C37</f>
        <v>62.832762411806087</v>
      </c>
      <c r="E38" s="663"/>
      <c r="F38" s="662">
        <f>+F36/F37</f>
        <v>586320618.98403943</v>
      </c>
      <c r="G38" s="744">
        <f>+G36/G37</f>
        <v>715775660.02487493</v>
      </c>
    </row>
    <row r="39" spans="1:7">
      <c r="A39" s="632">
        <f t="shared" si="1"/>
        <v>30</v>
      </c>
      <c r="B39" s="643" t="s">
        <v>177</v>
      </c>
      <c r="C39" s="654">
        <v>20723206</v>
      </c>
      <c r="D39" s="666" t="s">
        <v>178</v>
      </c>
      <c r="E39" s="666"/>
      <c r="F39" s="638"/>
      <c r="G39" s="638"/>
    </row>
    <row r="40" spans="1:7">
      <c r="A40" s="632">
        <f t="shared" si="1"/>
        <v>31</v>
      </c>
      <c r="B40" s="636"/>
      <c r="C40" s="653"/>
      <c r="D40" s="667" t="s">
        <v>1</v>
      </c>
      <c r="E40" s="667"/>
      <c r="F40" s="667" t="s">
        <v>314</v>
      </c>
      <c r="G40" s="667" t="s">
        <v>426</v>
      </c>
    </row>
    <row r="41" spans="1:7">
      <c r="A41" s="632">
        <f t="shared" si="1"/>
        <v>32</v>
      </c>
      <c r="B41" s="643" t="s">
        <v>351</v>
      </c>
      <c r="C41" s="635"/>
      <c r="D41" s="635"/>
      <c r="E41" s="635"/>
      <c r="F41" s="635"/>
      <c r="G41" s="635"/>
    </row>
    <row r="42" spans="1:7">
      <c r="A42" s="632">
        <f t="shared" si="1"/>
        <v>33</v>
      </c>
      <c r="B42" s="643" t="s">
        <v>353</v>
      </c>
      <c r="C42" s="668"/>
      <c r="D42" s="669">
        <f>+F42+G42</f>
        <v>59.841043262330345</v>
      </c>
      <c r="E42" s="669"/>
      <c r="F42" s="669">
        <f>+F36/$C$39</f>
        <v>26.94580891739113</v>
      </c>
      <c r="G42" s="669">
        <f>+G36/$C$39</f>
        <v>32.895234344939219</v>
      </c>
    </row>
    <row r="43" spans="1:7">
      <c r="A43" s="632">
        <f t="shared" si="1"/>
        <v>34</v>
      </c>
      <c r="B43" s="643" t="s">
        <v>348</v>
      </c>
      <c r="C43" s="635"/>
      <c r="D43" s="669">
        <f>+F43+G43</f>
        <v>62.832762411806087</v>
      </c>
      <c r="E43" s="669"/>
      <c r="F43" s="669">
        <f>+F38/$C$39</f>
        <v>28.292949410628811</v>
      </c>
      <c r="G43" s="669">
        <f>+G38/$C$39</f>
        <v>34.539813001177272</v>
      </c>
    </row>
    <row r="44" spans="1:7">
      <c r="A44" s="632">
        <f t="shared" si="1"/>
        <v>35</v>
      </c>
      <c r="B44" s="643"/>
      <c r="C44" s="635"/>
      <c r="D44" s="635"/>
      <c r="E44" s="635"/>
      <c r="F44" s="635"/>
      <c r="G44" s="635"/>
    </row>
    <row r="45" spans="1:7">
      <c r="A45" s="632">
        <f t="shared" si="1"/>
        <v>36</v>
      </c>
      <c r="B45" s="643" t="s">
        <v>427</v>
      </c>
      <c r="C45" s="635"/>
      <c r="D45" s="635"/>
      <c r="E45" s="635"/>
      <c r="F45" s="635"/>
      <c r="G45" s="635"/>
    </row>
    <row r="46" spans="1:7">
      <c r="A46" s="625"/>
      <c r="B46" s="670"/>
      <c r="C46" s="625"/>
      <c r="D46" s="625"/>
      <c r="E46" s="625"/>
      <c r="F46" s="625"/>
      <c r="G46" s="625"/>
    </row>
    <row r="47" spans="1:7" ht="15.75" thickBot="1">
      <c r="A47" s="625"/>
      <c r="B47" s="671"/>
      <c r="C47" s="672"/>
      <c r="D47" s="673" t="s">
        <v>136</v>
      </c>
      <c r="E47" s="673"/>
      <c r="F47" s="673" t="s">
        <v>428</v>
      </c>
      <c r="G47" s="625"/>
    </row>
    <row r="48" spans="1:7">
      <c r="A48" s="625"/>
      <c r="B48" s="674" t="s">
        <v>429</v>
      </c>
      <c r="C48" s="675"/>
      <c r="D48" s="676" t="s">
        <v>356</v>
      </c>
      <c r="E48" s="676"/>
      <c r="F48" s="677">
        <v>1</v>
      </c>
      <c r="G48" s="625"/>
    </row>
    <row r="49" spans="1:7">
      <c r="A49" s="625"/>
      <c r="B49" s="678" t="s">
        <v>364</v>
      </c>
      <c r="C49" s="679">
        <v>407</v>
      </c>
      <c r="D49" s="680">
        <v>6553640.5497812936</v>
      </c>
      <c r="E49" s="680"/>
      <c r="F49" s="681">
        <f t="shared" ref="F49:F56" si="2">+D49*$F$48</f>
        <v>6553640.5497812936</v>
      </c>
      <c r="G49" s="630"/>
    </row>
    <row r="50" spans="1:7">
      <c r="A50" s="625"/>
      <c r="B50" s="682" t="s">
        <v>366</v>
      </c>
      <c r="C50" s="673">
        <v>407.3</v>
      </c>
      <c r="D50" s="683">
        <v>687420</v>
      </c>
      <c r="E50" s="683"/>
      <c r="F50" s="684">
        <f t="shared" si="2"/>
        <v>687420</v>
      </c>
      <c r="G50" s="630"/>
    </row>
    <row r="51" spans="1:7">
      <c r="A51" s="625"/>
      <c r="B51" s="682" t="s">
        <v>367</v>
      </c>
      <c r="C51" s="673">
        <v>407.3</v>
      </c>
      <c r="D51" s="683">
        <v>2885052</v>
      </c>
      <c r="E51" s="683"/>
      <c r="F51" s="684">
        <f t="shared" si="2"/>
        <v>2885052</v>
      </c>
      <c r="G51" s="630"/>
    </row>
    <row r="52" spans="1:7">
      <c r="A52" s="625"/>
      <c r="B52" s="685" t="s">
        <v>369</v>
      </c>
      <c r="C52" s="673">
        <v>407.3</v>
      </c>
      <c r="D52" s="683">
        <v>4520422.508572978</v>
      </c>
      <c r="E52" s="683"/>
      <c r="F52" s="684">
        <f t="shared" si="2"/>
        <v>4520422.508572978</v>
      </c>
      <c r="G52" s="630"/>
    </row>
    <row r="53" spans="1:7">
      <c r="A53" s="625"/>
      <c r="B53" s="685" t="s">
        <v>370</v>
      </c>
      <c r="C53" s="673">
        <v>407.3</v>
      </c>
      <c r="D53" s="683">
        <v>561126.34087998548</v>
      </c>
      <c r="E53" s="683"/>
      <c r="F53" s="684">
        <f t="shared" si="2"/>
        <v>561126.34087998548</v>
      </c>
      <c r="G53" s="630"/>
    </row>
    <row r="54" spans="1:7">
      <c r="A54" s="625"/>
      <c r="B54" s="685" t="s">
        <v>371</v>
      </c>
      <c r="C54" s="673">
        <v>407.3</v>
      </c>
      <c r="D54" s="683">
        <v>2203436.1529896799</v>
      </c>
      <c r="E54" s="683"/>
      <c r="F54" s="684">
        <f t="shared" si="2"/>
        <v>2203436.1529896799</v>
      </c>
      <c r="G54" s="630"/>
    </row>
    <row r="55" spans="1:7">
      <c r="A55" s="625"/>
      <c r="B55" s="685" t="s">
        <v>372</v>
      </c>
      <c r="C55" s="673">
        <v>407.4</v>
      </c>
      <c r="D55" s="683">
        <v>-1781873.2383453234</v>
      </c>
      <c r="E55" s="683"/>
      <c r="F55" s="684">
        <f t="shared" si="2"/>
        <v>-1781873.2383453234</v>
      </c>
      <c r="G55" s="630"/>
    </row>
    <row r="56" spans="1:7">
      <c r="A56" s="625"/>
      <c r="B56" s="685" t="s">
        <v>373</v>
      </c>
      <c r="C56" s="673">
        <v>407</v>
      </c>
      <c r="D56" s="686">
        <v>3786307.8400000003</v>
      </c>
      <c r="E56" s="686"/>
      <c r="F56" s="687">
        <f t="shared" si="2"/>
        <v>3786307.8400000003</v>
      </c>
      <c r="G56" s="630"/>
    </row>
    <row r="57" spans="1:7">
      <c r="A57" s="625"/>
      <c r="B57" s="682" t="s">
        <v>374</v>
      </c>
      <c r="C57" s="596"/>
      <c r="D57" s="686">
        <f>SUM(D49:D56)</f>
        <v>19415532.153878614</v>
      </c>
      <c r="E57" s="686"/>
      <c r="F57" s="687">
        <f>SUM(F49:F56)</f>
        <v>19415532.153878614</v>
      </c>
      <c r="G57" s="630">
        <v>0</v>
      </c>
    </row>
    <row r="58" spans="1:7" ht="15.75" thickBot="1">
      <c r="A58" s="625"/>
      <c r="B58" s="598"/>
      <c r="C58" s="688" t="s">
        <v>363</v>
      </c>
      <c r="D58" s="689">
        <v>0</v>
      </c>
      <c r="E58" s="689"/>
      <c r="F58" s="690">
        <f>+F57/D57-F48</f>
        <v>0</v>
      </c>
      <c r="G58" s="625"/>
    </row>
  </sheetData>
  <pageMargins left="0.7" right="0.7" top="0.75" bottom="0.75" header="0.3" footer="0.3"/>
  <pageSetup scale="75" orientation="portrait" r:id="rId1"/>
  <headerFooter>
    <oddFooter xml:space="preserve">&amp;L&amp;F
&amp;A&amp;RPage 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Q48"/>
  <sheetViews>
    <sheetView zoomScale="90" zoomScaleNormal="90" workbookViewId="0">
      <pane xSplit="6" ySplit="13" topLeftCell="G25" activePane="bottomRight" state="frozen"/>
      <selection pane="topRight" activeCell="G1" sqref="G1"/>
      <selection pane="bottomLeft" activeCell="A14" sqref="A14"/>
      <selection pane="bottomRight" activeCell="I47" sqref="I47"/>
    </sheetView>
  </sheetViews>
  <sheetFormatPr defaultRowHeight="15"/>
  <cols>
    <col min="1" max="1" width="4.85546875" bestFit="1" customWidth="1"/>
    <col min="2" max="2" width="2.85546875" customWidth="1"/>
    <col min="3" max="3" width="37.28515625" bestFit="1" customWidth="1"/>
    <col min="4" max="4" width="2.85546875" customWidth="1"/>
    <col min="5" max="5" width="11.140625" bestFit="1" customWidth="1"/>
    <col min="6" max="6" width="2.85546875" customWidth="1"/>
    <col min="7" max="7" width="10.7109375" bestFit="1" customWidth="1"/>
    <col min="8" max="8" width="2.85546875" customWidth="1"/>
    <col min="9" max="9" width="11.7109375" bestFit="1" customWidth="1"/>
    <col min="10" max="10" width="2.85546875" customWidth="1"/>
    <col min="11" max="11" width="11" bestFit="1" customWidth="1"/>
    <col min="12" max="12" width="2.85546875" customWidth="1"/>
    <col min="13" max="13" width="11" bestFit="1" customWidth="1"/>
    <col min="14" max="14" width="2.85546875" customWidth="1"/>
    <col min="15" max="15" width="9.28515625" bestFit="1" customWidth="1"/>
    <col min="16" max="16" width="7.85546875" bestFit="1" customWidth="1"/>
    <col min="17" max="17" width="2.85546875" customWidth="1"/>
  </cols>
  <sheetData>
    <row r="1" spans="1:17">
      <c r="A1" s="783" t="s">
        <v>430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</row>
    <row r="2" spans="1:17">
      <c r="A2" s="784" t="s">
        <v>431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</row>
    <row r="3" spans="1:17">
      <c r="A3" s="784" t="s">
        <v>432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</row>
    <row r="4" spans="1:17">
      <c r="A4" s="783" t="s">
        <v>433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  <c r="N4" s="784"/>
      <c r="O4" s="784"/>
      <c r="P4" s="784"/>
      <c r="Q4" s="784"/>
    </row>
    <row r="5" spans="1:17">
      <c r="A5" s="783" t="s">
        <v>434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</row>
    <row r="6" spans="1:17">
      <c r="A6" s="783"/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</row>
    <row r="7" spans="1:17">
      <c r="A7" s="691"/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1"/>
      <c r="N7" s="691"/>
      <c r="O7" s="691"/>
      <c r="P7" s="691"/>
      <c r="Q7" s="692"/>
    </row>
    <row r="8" spans="1:17" ht="15.75">
      <c r="A8" s="693"/>
      <c r="B8" s="693"/>
      <c r="C8" s="694"/>
      <c r="D8" s="694"/>
      <c r="E8" s="694"/>
      <c r="F8" s="694"/>
      <c r="G8" s="693"/>
      <c r="H8" s="693"/>
      <c r="I8" s="693"/>
      <c r="J8" s="695"/>
      <c r="K8" s="696"/>
      <c r="L8" s="697"/>
      <c r="M8" s="777" t="s">
        <v>435</v>
      </c>
      <c r="N8" s="778"/>
      <c r="O8" s="778"/>
      <c r="P8" s="779"/>
      <c r="Q8" s="697"/>
    </row>
    <row r="9" spans="1:17" ht="15.75">
      <c r="A9" s="693"/>
      <c r="B9" s="693"/>
      <c r="C9" s="694"/>
      <c r="D9" s="694"/>
      <c r="E9" s="694"/>
      <c r="F9" s="694"/>
      <c r="G9" s="693"/>
      <c r="H9" s="693"/>
      <c r="I9" s="693"/>
      <c r="J9" s="693"/>
      <c r="K9" s="698" t="s">
        <v>436</v>
      </c>
      <c r="L9" s="699"/>
      <c r="M9" s="780" t="s">
        <v>437</v>
      </c>
      <c r="N9" s="781"/>
      <c r="O9" s="781"/>
      <c r="P9" s="782"/>
      <c r="Q9" s="699"/>
    </row>
    <row r="10" spans="1:17" ht="15.75">
      <c r="A10" s="693"/>
      <c r="B10" s="693"/>
      <c r="C10" s="694"/>
      <c r="D10" s="694"/>
      <c r="E10" s="700" t="s">
        <v>438</v>
      </c>
      <c r="F10" s="701"/>
      <c r="G10" s="693"/>
      <c r="H10" s="693"/>
      <c r="I10" s="693"/>
      <c r="J10" s="693"/>
      <c r="K10" s="702" t="s">
        <v>439</v>
      </c>
      <c r="L10" s="703"/>
      <c r="M10" s="702" t="s">
        <v>439</v>
      </c>
      <c r="N10" s="702"/>
      <c r="O10" s="704" t="s">
        <v>123</v>
      </c>
      <c r="P10" s="704"/>
      <c r="Q10" s="704"/>
    </row>
    <row r="11" spans="1:17" ht="15.75">
      <c r="A11" s="705" t="s">
        <v>440</v>
      </c>
      <c r="B11" s="693"/>
      <c r="C11" s="694"/>
      <c r="D11" s="694"/>
      <c r="E11" s="701" t="s">
        <v>441</v>
      </c>
      <c r="F11" s="701"/>
      <c r="G11" s="698" t="s">
        <v>442</v>
      </c>
      <c r="H11" s="693"/>
      <c r="I11" s="693"/>
      <c r="J11" s="693"/>
      <c r="K11" s="698" t="s">
        <v>443</v>
      </c>
      <c r="L11" s="705"/>
      <c r="M11" s="706" t="s">
        <v>443</v>
      </c>
      <c r="N11" s="698"/>
      <c r="O11" s="707" t="s">
        <v>444</v>
      </c>
      <c r="P11" s="698" t="s">
        <v>439</v>
      </c>
      <c r="Q11" s="705"/>
    </row>
    <row r="12" spans="1:17" ht="15.75">
      <c r="A12" s="708" t="s">
        <v>445</v>
      </c>
      <c r="B12" s="693"/>
      <c r="C12" s="709" t="s">
        <v>31</v>
      </c>
      <c r="D12" s="694"/>
      <c r="E12" s="709" t="s">
        <v>445</v>
      </c>
      <c r="F12" s="710"/>
      <c r="G12" s="711" t="s">
        <v>446</v>
      </c>
      <c r="H12" s="693"/>
      <c r="I12" s="711" t="s">
        <v>447</v>
      </c>
      <c r="J12" s="693"/>
      <c r="K12" s="712" t="s">
        <v>448</v>
      </c>
      <c r="L12" s="702"/>
      <c r="M12" s="713" t="s">
        <v>448</v>
      </c>
      <c r="N12" s="714"/>
      <c r="O12" s="715" t="s">
        <v>448</v>
      </c>
      <c r="P12" s="711" t="s">
        <v>449</v>
      </c>
      <c r="Q12" s="716"/>
    </row>
    <row r="13" spans="1:17" ht="15.75">
      <c r="A13" s="717"/>
      <c r="B13" s="693"/>
      <c r="C13" s="707" t="s">
        <v>450</v>
      </c>
      <c r="D13" s="694"/>
      <c r="E13" s="707" t="s">
        <v>451</v>
      </c>
      <c r="F13" s="701"/>
      <c r="G13" s="707" t="s">
        <v>452</v>
      </c>
      <c r="H13" s="693"/>
      <c r="I13" s="707" t="s">
        <v>453</v>
      </c>
      <c r="J13" s="693"/>
      <c r="K13" s="707" t="s">
        <v>454</v>
      </c>
      <c r="L13" s="707"/>
      <c r="M13" s="707" t="s">
        <v>455</v>
      </c>
      <c r="N13" s="707"/>
      <c r="O13" s="707" t="s">
        <v>456</v>
      </c>
      <c r="P13" s="707" t="s">
        <v>457</v>
      </c>
      <c r="Q13" s="707"/>
    </row>
    <row r="14" spans="1:17" ht="15.75">
      <c r="A14" s="693"/>
      <c r="B14" s="693"/>
      <c r="C14" s="694"/>
      <c r="D14" s="694"/>
      <c r="E14" s="694"/>
      <c r="F14" s="694"/>
      <c r="G14" s="693"/>
      <c r="H14" s="693"/>
      <c r="I14" s="693"/>
      <c r="J14" s="693"/>
      <c r="K14" s="693"/>
      <c r="L14" s="707"/>
      <c r="M14" s="707" t="s">
        <v>123</v>
      </c>
      <c r="N14" s="693"/>
      <c r="O14" s="707" t="s">
        <v>458</v>
      </c>
      <c r="P14" s="707" t="s">
        <v>459</v>
      </c>
      <c r="Q14" s="693"/>
    </row>
    <row r="15" spans="1:17" ht="15.75">
      <c r="A15" s="693"/>
      <c r="B15" s="693"/>
      <c r="C15" s="718" t="s">
        <v>460</v>
      </c>
      <c r="D15" s="694"/>
      <c r="E15" s="694"/>
      <c r="F15" s="694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</row>
    <row r="16" spans="1:17" ht="15.75">
      <c r="A16" s="705">
        <v>1</v>
      </c>
      <c r="B16" s="693"/>
      <c r="C16" s="694" t="s">
        <v>460</v>
      </c>
      <c r="D16" s="694"/>
      <c r="E16" s="700">
        <v>7</v>
      </c>
      <c r="F16" s="700"/>
      <c r="G16" s="719">
        <v>999942</v>
      </c>
      <c r="H16" s="720"/>
      <c r="I16" s="719">
        <v>10442426</v>
      </c>
      <c r="J16" s="693"/>
      <c r="K16" s="721">
        <v>1066627</v>
      </c>
      <c r="L16" s="722"/>
      <c r="M16" s="721">
        <v>1132659</v>
      </c>
      <c r="N16" s="721"/>
      <c r="O16" s="721">
        <v>66032</v>
      </c>
      <c r="P16" s="723">
        <v>6.1907302177799738E-2</v>
      </c>
      <c r="Q16" s="724"/>
    </row>
    <row r="17" spans="1:17" ht="15.75">
      <c r="A17" s="725">
        <v>2</v>
      </c>
      <c r="B17" s="693"/>
      <c r="C17" s="726" t="s">
        <v>461</v>
      </c>
      <c r="D17" s="694"/>
      <c r="E17" s="694"/>
      <c r="F17" s="694"/>
      <c r="G17" s="727">
        <v>999942</v>
      </c>
      <c r="H17" s="693"/>
      <c r="I17" s="727">
        <v>10442426</v>
      </c>
      <c r="J17" s="693"/>
      <c r="K17" s="728">
        <v>1066627</v>
      </c>
      <c r="L17" s="722"/>
      <c r="M17" s="728">
        <v>1132659</v>
      </c>
      <c r="N17" s="721"/>
      <c r="O17" s="728">
        <v>66032</v>
      </c>
      <c r="P17" s="729">
        <v>6.1907302177799738E-2</v>
      </c>
      <c r="Q17" s="724"/>
    </row>
    <row r="18" spans="1:17" ht="15.75">
      <c r="A18" s="693"/>
      <c r="B18" s="693"/>
      <c r="C18" s="694"/>
      <c r="D18" s="694"/>
      <c r="E18" s="694"/>
      <c r="F18" s="694"/>
      <c r="G18" s="693"/>
      <c r="H18" s="693"/>
      <c r="I18" s="720" t="s">
        <v>123</v>
      </c>
      <c r="J18" s="693"/>
      <c r="K18" s="730"/>
      <c r="L18" s="730"/>
      <c r="M18" s="730"/>
      <c r="N18" s="730"/>
      <c r="O18" s="730"/>
      <c r="P18" s="731"/>
      <c r="Q18" s="693"/>
    </row>
    <row r="19" spans="1:17" ht="15.75">
      <c r="A19" s="693"/>
      <c r="B19" s="693"/>
      <c r="C19" s="732" t="s">
        <v>462</v>
      </c>
      <c r="D19" s="694"/>
      <c r="E19" s="694"/>
      <c r="F19" s="694"/>
      <c r="G19" s="733"/>
      <c r="H19" s="693"/>
      <c r="I19" s="693"/>
      <c r="J19" s="693"/>
      <c r="K19" s="730"/>
      <c r="L19" s="730"/>
      <c r="M19" s="730"/>
      <c r="N19" s="730"/>
      <c r="O19" s="730"/>
      <c r="P19" s="731"/>
      <c r="Q19" s="693"/>
    </row>
    <row r="20" spans="1:17" ht="15.75">
      <c r="A20" s="725">
        <v>3</v>
      </c>
      <c r="B20" s="693"/>
      <c r="C20" s="734" t="s">
        <v>463</v>
      </c>
      <c r="D20" s="694"/>
      <c r="E20" s="700" t="s">
        <v>464</v>
      </c>
      <c r="F20" s="701"/>
      <c r="G20" s="719">
        <v>126833.25</v>
      </c>
      <c r="H20" s="693"/>
      <c r="I20" s="719">
        <v>2787584</v>
      </c>
      <c r="J20" s="693"/>
      <c r="K20" s="721">
        <v>266957</v>
      </c>
      <c r="L20" s="722"/>
      <c r="M20" s="721">
        <v>279352</v>
      </c>
      <c r="N20" s="721"/>
      <c r="O20" s="721">
        <v>12395</v>
      </c>
      <c r="P20" s="723">
        <v>4.6430698576924376E-2</v>
      </c>
      <c r="Q20" s="724"/>
    </row>
    <row r="21" spans="1:17" ht="15.75">
      <c r="A21" s="725">
        <v>4</v>
      </c>
      <c r="B21" s="693"/>
      <c r="C21" s="734" t="s">
        <v>465</v>
      </c>
      <c r="D21" s="735"/>
      <c r="E21" s="700" t="s">
        <v>466</v>
      </c>
      <c r="F21" s="701"/>
      <c r="G21" s="719">
        <v>7219.916666666667</v>
      </c>
      <c r="H21" s="693"/>
      <c r="I21" s="719">
        <v>2839459</v>
      </c>
      <c r="J21" s="693"/>
      <c r="K21" s="721">
        <v>252529</v>
      </c>
      <c r="L21" s="722"/>
      <c r="M21" s="721">
        <v>262691</v>
      </c>
      <c r="N21" s="721"/>
      <c r="O21" s="721">
        <v>10162</v>
      </c>
      <c r="P21" s="723">
        <v>4.0240922824705282E-2</v>
      </c>
      <c r="Q21" s="724"/>
    </row>
    <row r="22" spans="1:17" ht="15.75">
      <c r="A22" s="725">
        <v>5</v>
      </c>
      <c r="B22" s="693"/>
      <c r="C22" s="734" t="s">
        <v>467</v>
      </c>
      <c r="D22" s="694"/>
      <c r="E22" s="700" t="s">
        <v>468</v>
      </c>
      <c r="F22" s="701"/>
      <c r="G22" s="719">
        <v>9711</v>
      </c>
      <c r="H22" s="693"/>
      <c r="I22" s="719">
        <v>1892054.7443816457</v>
      </c>
      <c r="J22" s="693"/>
      <c r="K22" s="721">
        <v>153864.55600000001</v>
      </c>
      <c r="L22" s="722"/>
      <c r="M22" s="721">
        <v>160056.01999999999</v>
      </c>
      <c r="N22" s="721"/>
      <c r="O22" s="721">
        <v>6191.4639999999781</v>
      </c>
      <c r="P22" s="723">
        <v>4.0239702768192942E-2</v>
      </c>
      <c r="Q22" s="724"/>
    </row>
    <row r="23" spans="1:17" ht="15.75">
      <c r="A23" s="725">
        <v>6</v>
      </c>
      <c r="B23" s="693"/>
      <c r="C23" s="734" t="s">
        <v>469</v>
      </c>
      <c r="D23" s="694"/>
      <c r="E23" s="701">
        <v>29</v>
      </c>
      <c r="F23" s="701"/>
      <c r="G23" s="719">
        <v>607.5</v>
      </c>
      <c r="H23" s="693"/>
      <c r="I23" s="719">
        <v>14327</v>
      </c>
      <c r="J23" s="693"/>
      <c r="K23" s="721">
        <v>1137.7460000000001</v>
      </c>
      <c r="L23" s="722"/>
      <c r="M23" s="721">
        <v>1183.5619999999999</v>
      </c>
      <c r="N23" s="721"/>
      <c r="O23" s="721">
        <v>45.815999999999804</v>
      </c>
      <c r="P23" s="723">
        <v>4.0269093453195882E-2</v>
      </c>
      <c r="Q23" s="724"/>
    </row>
    <row r="24" spans="1:17" ht="15.75">
      <c r="A24" s="725">
        <v>7</v>
      </c>
      <c r="B24" s="693"/>
      <c r="C24" s="726" t="s">
        <v>470</v>
      </c>
      <c r="D24" s="694"/>
      <c r="E24" s="701"/>
      <c r="F24" s="701"/>
      <c r="G24" s="727">
        <v>144371.66666666666</v>
      </c>
      <c r="H24" s="693"/>
      <c r="I24" s="727">
        <v>7533424.7443816457</v>
      </c>
      <c r="J24" s="693"/>
      <c r="K24" s="728">
        <v>674488.30200000003</v>
      </c>
      <c r="L24" s="722"/>
      <c r="M24" s="728">
        <v>703282.58200000005</v>
      </c>
      <c r="N24" s="721"/>
      <c r="O24" s="728">
        <v>28794.279999999977</v>
      </c>
      <c r="P24" s="729">
        <v>4.2690555069107745E-2</v>
      </c>
      <c r="Q24" s="724"/>
    </row>
    <row r="25" spans="1:17" ht="15.75">
      <c r="A25" s="725"/>
      <c r="B25" s="693"/>
      <c r="C25" s="734"/>
      <c r="D25" s="694"/>
      <c r="E25" s="701"/>
      <c r="F25" s="701"/>
      <c r="G25" s="719"/>
      <c r="H25" s="693"/>
      <c r="I25" s="719"/>
      <c r="J25" s="693"/>
      <c r="K25" s="721"/>
      <c r="L25" s="722"/>
      <c r="M25" s="721"/>
      <c r="N25" s="721"/>
      <c r="O25" s="721"/>
      <c r="P25" s="723"/>
      <c r="Q25" s="724"/>
    </row>
    <row r="26" spans="1:17" ht="15.75">
      <c r="A26" s="725"/>
      <c r="B26" s="693"/>
      <c r="C26" s="732" t="s">
        <v>471</v>
      </c>
      <c r="D26" s="694"/>
      <c r="E26" s="701"/>
      <c r="F26" s="701"/>
      <c r="G26" s="719"/>
      <c r="H26" s="693"/>
      <c r="I26" s="719"/>
      <c r="J26" s="693"/>
      <c r="K26" s="721"/>
      <c r="L26" s="722"/>
      <c r="M26" s="721"/>
      <c r="N26" s="721"/>
      <c r="O26" s="721"/>
      <c r="P26" s="723"/>
      <c r="Q26" s="724"/>
    </row>
    <row r="27" spans="1:17" ht="15.75">
      <c r="A27" s="725">
        <v>8</v>
      </c>
      <c r="B27" s="693"/>
      <c r="C27" s="734" t="s">
        <v>472</v>
      </c>
      <c r="D27" s="694"/>
      <c r="E27" s="700" t="s">
        <v>473</v>
      </c>
      <c r="F27" s="701"/>
      <c r="G27" s="719">
        <v>487.83333333333331</v>
      </c>
      <c r="H27" s="693"/>
      <c r="I27" s="719">
        <v>1284401.5744586966</v>
      </c>
      <c r="J27" s="693"/>
      <c r="K27" s="721">
        <v>102890.712</v>
      </c>
      <c r="L27" s="722"/>
      <c r="M27" s="721">
        <v>107031.32799999999</v>
      </c>
      <c r="N27" s="721"/>
      <c r="O27" s="721">
        <v>4140.6159999999945</v>
      </c>
      <c r="P27" s="723">
        <v>4.0242854962457587E-2</v>
      </c>
      <c r="Q27" s="724"/>
    </row>
    <row r="28" spans="1:17" ht="15.75">
      <c r="A28" s="725">
        <v>9</v>
      </c>
      <c r="B28" s="693"/>
      <c r="C28" s="734" t="s">
        <v>474</v>
      </c>
      <c r="D28" s="694"/>
      <c r="E28" s="701">
        <v>35</v>
      </c>
      <c r="F28" s="701"/>
      <c r="G28" s="719">
        <v>1</v>
      </c>
      <c r="H28" s="693"/>
      <c r="I28" s="719">
        <v>4452.6000000000004</v>
      </c>
      <c r="J28" s="693"/>
      <c r="K28" s="721">
        <v>248.215</v>
      </c>
      <c r="L28" s="722"/>
      <c r="M28" s="721">
        <v>271.267</v>
      </c>
      <c r="N28" s="721"/>
      <c r="O28" s="721">
        <v>23.051999999999992</v>
      </c>
      <c r="P28" s="723">
        <v>9.287109965151176E-2</v>
      </c>
      <c r="Q28" s="724"/>
    </row>
    <row r="29" spans="1:17" ht="15.75">
      <c r="A29" s="725">
        <v>10</v>
      </c>
      <c r="B29" s="693"/>
      <c r="C29" s="694" t="s">
        <v>475</v>
      </c>
      <c r="D29" s="694"/>
      <c r="E29" s="700">
        <v>43</v>
      </c>
      <c r="F29" s="701"/>
      <c r="G29" s="719">
        <v>158.66666666666666</v>
      </c>
      <c r="H29" s="693"/>
      <c r="I29" s="719">
        <v>119660.40146477679</v>
      </c>
      <c r="J29" s="693"/>
      <c r="K29" s="721">
        <v>10337.824000000001</v>
      </c>
      <c r="L29" s="722"/>
      <c r="M29" s="721">
        <v>10977.795</v>
      </c>
      <c r="N29" s="721"/>
      <c r="O29" s="721">
        <v>639.97099999999955</v>
      </c>
      <c r="P29" s="723">
        <v>6.1905774367990739E-2</v>
      </c>
      <c r="Q29" s="724"/>
    </row>
    <row r="30" spans="1:17" ht="15.75">
      <c r="A30" s="725">
        <v>11</v>
      </c>
      <c r="B30" s="693"/>
      <c r="C30" s="726" t="s">
        <v>476</v>
      </c>
      <c r="D30" s="694"/>
      <c r="E30" s="701"/>
      <c r="F30" s="701"/>
      <c r="G30" s="727">
        <v>647.5</v>
      </c>
      <c r="H30" s="693"/>
      <c r="I30" s="727">
        <v>1408514.5759234736</v>
      </c>
      <c r="J30" s="693"/>
      <c r="K30" s="728">
        <v>113476.75099999999</v>
      </c>
      <c r="L30" s="722"/>
      <c r="M30" s="728">
        <v>118280.39</v>
      </c>
      <c r="N30" s="721"/>
      <c r="O30" s="728">
        <v>4803.6389999999938</v>
      </c>
      <c r="P30" s="729">
        <v>4.2331481626575601E-2</v>
      </c>
      <c r="Q30" s="724"/>
    </row>
    <row r="31" spans="1:17" ht="15.75">
      <c r="A31" s="725"/>
      <c r="B31" s="693"/>
      <c r="C31" s="694"/>
      <c r="D31" s="694"/>
      <c r="E31" s="700"/>
      <c r="F31" s="701"/>
      <c r="G31" s="719"/>
      <c r="H31" s="693"/>
      <c r="I31" s="719"/>
      <c r="J31" s="693"/>
      <c r="K31" s="721"/>
      <c r="L31" s="722"/>
      <c r="M31" s="721"/>
      <c r="N31" s="721"/>
      <c r="O31" s="721"/>
      <c r="P31" s="723"/>
      <c r="Q31" s="724"/>
    </row>
    <row r="32" spans="1:17" ht="15.75">
      <c r="A32" s="725">
        <v>12</v>
      </c>
      <c r="B32" s="693"/>
      <c r="C32" s="694" t="s">
        <v>477</v>
      </c>
      <c r="D32" s="694"/>
      <c r="E32" s="700">
        <v>40</v>
      </c>
      <c r="F32" s="701"/>
      <c r="G32" s="727">
        <v>142.25</v>
      </c>
      <c r="H32" s="693"/>
      <c r="I32" s="727">
        <v>621678.72633913101</v>
      </c>
      <c r="J32" s="693"/>
      <c r="K32" s="728">
        <v>43551.319801261998</v>
      </c>
      <c r="L32" s="722"/>
      <c r="M32" s="728">
        <v>46757.564130000006</v>
      </c>
      <c r="N32" s="721"/>
      <c r="O32" s="728">
        <v>3206.2443287380083</v>
      </c>
      <c r="P32" s="729">
        <v>7.3619911942257601E-2</v>
      </c>
      <c r="Q32" s="724"/>
    </row>
    <row r="33" spans="1:17" ht="15.75">
      <c r="A33" s="725"/>
      <c r="B33" s="693"/>
      <c r="C33" s="694"/>
      <c r="D33" s="694"/>
      <c r="E33" s="700"/>
      <c r="F33" s="701"/>
      <c r="G33" s="719"/>
      <c r="H33" s="693"/>
      <c r="I33" s="719"/>
      <c r="J33" s="693"/>
      <c r="K33" s="721"/>
      <c r="L33" s="722"/>
      <c r="M33" s="721"/>
      <c r="N33" s="721"/>
      <c r="O33" s="721"/>
      <c r="P33" s="723"/>
      <c r="Q33" s="724"/>
    </row>
    <row r="34" spans="1:17" ht="15.75">
      <c r="A34" s="725"/>
      <c r="B34" s="693"/>
      <c r="C34" s="732" t="s">
        <v>478</v>
      </c>
      <c r="D34" s="694"/>
      <c r="E34" s="700"/>
      <c r="F34" s="701"/>
      <c r="G34" s="719"/>
      <c r="H34" s="693"/>
      <c r="I34" s="719"/>
      <c r="J34" s="693"/>
      <c r="K34" s="721"/>
      <c r="L34" s="722"/>
      <c r="M34" s="721"/>
      <c r="N34" s="721"/>
      <c r="O34" s="721"/>
      <c r="P34" s="723"/>
      <c r="Q34" s="724"/>
    </row>
    <row r="35" spans="1:17" ht="15.75">
      <c r="A35" s="725">
        <v>13</v>
      </c>
      <c r="B35" s="693"/>
      <c r="C35" s="734" t="s">
        <v>479</v>
      </c>
      <c r="D35" s="694"/>
      <c r="E35" s="700">
        <v>46</v>
      </c>
      <c r="F35" s="701"/>
      <c r="G35" s="719">
        <v>5</v>
      </c>
      <c r="H35" s="693"/>
      <c r="I35" s="719">
        <v>64275.357697999993</v>
      </c>
      <c r="J35" s="693"/>
      <c r="K35" s="721">
        <v>4202.3490000000002</v>
      </c>
      <c r="L35" s="722"/>
      <c r="M35" s="721">
        <v>4371.1989999999996</v>
      </c>
      <c r="N35" s="721"/>
      <c r="O35" s="721">
        <v>168.84999999999945</v>
      </c>
      <c r="P35" s="723">
        <v>4.017990890332989E-2</v>
      </c>
      <c r="Q35" s="724"/>
    </row>
    <row r="36" spans="1:17" ht="15.75">
      <c r="A36" s="725">
        <v>14</v>
      </c>
      <c r="B36" s="693"/>
      <c r="C36" s="694" t="s">
        <v>249</v>
      </c>
      <c r="D36" s="694"/>
      <c r="E36" s="700">
        <v>49</v>
      </c>
      <c r="F36" s="701"/>
      <c r="G36" s="719">
        <v>20</v>
      </c>
      <c r="H36" s="693"/>
      <c r="I36" s="719">
        <v>567983.85900000005</v>
      </c>
      <c r="J36" s="693"/>
      <c r="K36" s="721">
        <v>36157.741000000002</v>
      </c>
      <c r="L36" s="722"/>
      <c r="M36" s="721">
        <v>37613.177000000003</v>
      </c>
      <c r="N36" s="721"/>
      <c r="O36" s="721">
        <v>1455.4360000000015</v>
      </c>
      <c r="P36" s="723">
        <v>4.0252404042608783E-2</v>
      </c>
      <c r="Q36" s="724"/>
    </row>
    <row r="37" spans="1:17" ht="15.75">
      <c r="A37" s="725">
        <v>15</v>
      </c>
      <c r="B37" s="693"/>
      <c r="C37" s="726" t="s">
        <v>478</v>
      </c>
      <c r="D37" s="694"/>
      <c r="E37" s="701"/>
      <c r="F37" s="701"/>
      <c r="G37" s="727">
        <v>25</v>
      </c>
      <c r="H37" s="693"/>
      <c r="I37" s="727">
        <v>632259.21669800009</v>
      </c>
      <c r="J37" s="693"/>
      <c r="K37" s="728">
        <v>40360.090000000004</v>
      </c>
      <c r="L37" s="722"/>
      <c r="M37" s="728">
        <v>41984.376000000004</v>
      </c>
      <c r="N37" s="721"/>
      <c r="O37" s="728">
        <v>1624.286000000001</v>
      </c>
      <c r="P37" s="729">
        <v>4.024485574734845E-2</v>
      </c>
      <c r="Q37" s="724"/>
    </row>
    <row r="38" spans="1:17" ht="15.75">
      <c r="A38" s="725"/>
      <c r="B38" s="693"/>
      <c r="C38" s="694"/>
      <c r="D38" s="694"/>
      <c r="E38" s="700"/>
      <c r="F38" s="701"/>
      <c r="G38" s="719"/>
      <c r="H38" s="693"/>
      <c r="I38" s="719"/>
      <c r="J38" s="693"/>
      <c r="K38" s="721"/>
      <c r="L38" s="722"/>
      <c r="M38" s="721"/>
      <c r="N38" s="721"/>
      <c r="O38" s="721"/>
      <c r="P38" s="723"/>
      <c r="Q38" s="724"/>
    </row>
    <row r="39" spans="1:17" ht="15.75">
      <c r="A39" s="725">
        <v>16</v>
      </c>
      <c r="B39" s="693"/>
      <c r="C39" s="694" t="s">
        <v>480</v>
      </c>
      <c r="D39" s="694"/>
      <c r="E39" s="700" t="s">
        <v>481</v>
      </c>
      <c r="F39" s="701"/>
      <c r="G39" s="727">
        <v>20</v>
      </c>
      <c r="H39" s="693"/>
      <c r="I39" s="727">
        <v>2098103.6366259996</v>
      </c>
      <c r="J39" s="693"/>
      <c r="K39" s="728">
        <v>7513.2849999999999</v>
      </c>
      <c r="L39" s="722"/>
      <c r="M39" s="728">
        <v>7966.6130000000003</v>
      </c>
      <c r="N39" s="721"/>
      <c r="O39" s="728">
        <v>453.32800000000043</v>
      </c>
      <c r="P39" s="729">
        <v>6.0336856647924368E-2</v>
      </c>
      <c r="Q39" s="724"/>
    </row>
    <row r="40" spans="1:17" ht="15.75">
      <c r="A40" s="725"/>
      <c r="B40" s="693"/>
      <c r="C40" s="694"/>
      <c r="D40" s="694"/>
      <c r="E40" s="700"/>
      <c r="F40" s="701"/>
      <c r="G40" s="719"/>
      <c r="H40" s="693"/>
      <c r="I40" s="719"/>
      <c r="J40" s="693"/>
      <c r="K40" s="721"/>
      <c r="L40" s="722"/>
      <c r="M40" s="721"/>
      <c r="N40" s="721"/>
      <c r="O40" s="721"/>
      <c r="P40" s="723"/>
      <c r="Q40" s="724"/>
    </row>
    <row r="41" spans="1:17" ht="15.75">
      <c r="A41" s="725">
        <v>17</v>
      </c>
      <c r="B41" s="693"/>
      <c r="C41" s="694" t="s">
        <v>482</v>
      </c>
      <c r="D41" s="694"/>
      <c r="E41" s="700" t="s">
        <v>251</v>
      </c>
      <c r="F41" s="701"/>
      <c r="G41" s="727">
        <v>7226.5</v>
      </c>
      <c r="H41" s="693"/>
      <c r="I41" s="727">
        <v>77972.349305999989</v>
      </c>
      <c r="J41" s="693"/>
      <c r="K41" s="728">
        <v>17167.293000000001</v>
      </c>
      <c r="L41" s="722"/>
      <c r="M41" s="728">
        <v>18229.402999999998</v>
      </c>
      <c r="N41" s="721"/>
      <c r="O41" s="728">
        <v>1062.1099999999969</v>
      </c>
      <c r="P41" s="729">
        <v>6.1868228147559247E-2</v>
      </c>
      <c r="Q41" s="724"/>
    </row>
    <row r="42" spans="1:17" ht="15.75">
      <c r="A42" s="725"/>
      <c r="B42" s="693"/>
      <c r="C42" s="694"/>
      <c r="D42" s="694"/>
      <c r="E42" s="700"/>
      <c r="F42" s="701"/>
      <c r="G42" s="719"/>
      <c r="H42" s="693"/>
      <c r="I42" s="719"/>
      <c r="J42" s="693"/>
      <c r="K42" s="721"/>
      <c r="L42" s="722"/>
      <c r="M42" s="721"/>
      <c r="N42" s="721"/>
      <c r="O42" s="721"/>
      <c r="P42" s="723"/>
      <c r="Q42" s="724"/>
    </row>
    <row r="43" spans="1:17" ht="15.75">
      <c r="A43" s="725">
        <v>18</v>
      </c>
      <c r="B43" s="693"/>
      <c r="C43" s="726" t="s">
        <v>483</v>
      </c>
      <c r="D43" s="694"/>
      <c r="E43" s="694"/>
      <c r="F43" s="694"/>
      <c r="G43" s="727">
        <v>1152374.9166666667</v>
      </c>
      <c r="H43" s="693"/>
      <c r="I43" s="727">
        <v>22814379.24927425</v>
      </c>
      <c r="J43" s="693"/>
      <c r="K43" s="728">
        <v>1963184.040801262</v>
      </c>
      <c r="L43" s="722"/>
      <c r="M43" s="728">
        <v>2069159.9281300001</v>
      </c>
      <c r="N43" s="721"/>
      <c r="O43" s="728">
        <v>105975.88732873797</v>
      </c>
      <c r="P43" s="729">
        <v>5.3981636528322906E-2</v>
      </c>
      <c r="Q43" s="724"/>
    </row>
    <row r="44" spans="1:17" ht="15.75">
      <c r="A44" s="705"/>
      <c r="B44" s="693"/>
      <c r="C44" s="694"/>
      <c r="D44" s="694"/>
      <c r="E44" s="694"/>
      <c r="F44" s="694"/>
      <c r="G44" s="693"/>
      <c r="H44" s="693"/>
      <c r="I44" s="693"/>
      <c r="J44" s="693"/>
      <c r="K44" s="730"/>
      <c r="L44" s="730"/>
      <c r="M44" s="730"/>
      <c r="N44" s="730"/>
      <c r="O44" s="730"/>
      <c r="P44" s="731"/>
      <c r="Q44" s="693"/>
    </row>
    <row r="45" spans="1:17" ht="15.75">
      <c r="A45" s="725">
        <v>19</v>
      </c>
      <c r="B45" s="693"/>
      <c r="C45" s="694" t="s">
        <v>484</v>
      </c>
      <c r="D45" s="694"/>
      <c r="E45" s="700" t="s">
        <v>251</v>
      </c>
      <c r="F45" s="701"/>
      <c r="G45" s="727">
        <v>8</v>
      </c>
      <c r="H45" s="693"/>
      <c r="I45" s="727">
        <v>6929.8034221808284</v>
      </c>
      <c r="J45" s="693"/>
      <c r="K45" s="728">
        <v>316.39299999999997</v>
      </c>
      <c r="L45" s="730"/>
      <c r="M45" s="728">
        <v>709.64599999999996</v>
      </c>
      <c r="N45" s="721"/>
      <c r="O45" s="728">
        <v>393.25299999999999</v>
      </c>
      <c r="P45" s="729">
        <v>1.2429257284453197</v>
      </c>
      <c r="Q45" s="724"/>
    </row>
    <row r="46" spans="1:17" ht="15.75">
      <c r="A46" s="705"/>
      <c r="B46" s="693"/>
      <c r="C46" s="694"/>
      <c r="D46" s="694"/>
      <c r="E46" s="694"/>
      <c r="F46" s="694"/>
      <c r="G46" s="693"/>
      <c r="H46" s="693"/>
      <c r="I46" s="693"/>
      <c r="J46" s="693"/>
      <c r="K46" s="730"/>
      <c r="L46" s="730"/>
      <c r="M46" s="730"/>
      <c r="N46" s="730"/>
      <c r="O46" s="730"/>
      <c r="P46" s="731"/>
      <c r="Q46" s="693"/>
    </row>
    <row r="47" spans="1:17" ht="16.5" thickBot="1">
      <c r="A47" s="725">
        <v>20</v>
      </c>
      <c r="B47" s="693"/>
      <c r="C47" s="736" t="s">
        <v>485</v>
      </c>
      <c r="D47" s="694"/>
      <c r="E47" s="694"/>
      <c r="F47" s="694"/>
      <c r="G47" s="737">
        <v>1152382.9166666667</v>
      </c>
      <c r="H47" s="693"/>
      <c r="I47" s="737">
        <v>22821309.052696429</v>
      </c>
      <c r="J47" s="693"/>
      <c r="K47" s="738">
        <v>1963500.4338012619</v>
      </c>
      <c r="L47" s="739"/>
      <c r="M47" s="738">
        <v>2069869.5741300001</v>
      </c>
      <c r="N47" s="740"/>
      <c r="O47" s="738">
        <v>106369.14032873797</v>
      </c>
      <c r="P47" s="741">
        <v>5.4173219673199345E-2</v>
      </c>
      <c r="Q47" s="742"/>
    </row>
    <row r="48" spans="1:17" ht="15.75" thickTop="1"/>
  </sheetData>
  <mergeCells count="8">
    <mergeCell ref="M8:P8"/>
    <mergeCell ref="M9:P9"/>
    <mergeCell ref="A1:Q1"/>
    <mergeCell ref="A2:Q2"/>
    <mergeCell ref="A3:Q3"/>
    <mergeCell ref="A4:Q4"/>
    <mergeCell ref="A5:Q5"/>
    <mergeCell ref="A6:Q6"/>
  </mergeCells>
  <printOptions horizontalCentered="1"/>
  <pageMargins left="0.7" right="0.7" top="0.75" bottom="0.75" header="0.3" footer="0.3"/>
  <pageSetup scale="69" orientation="landscape" r:id="rId1"/>
  <headerFooter>
    <oddFooter xml:space="preserve">&amp;L&amp;F
&amp;A&amp;RPage &amp;P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O52"/>
  <sheetViews>
    <sheetView zoomScale="80" zoomScaleNormal="80" workbookViewId="0">
      <pane xSplit="2" ySplit="5" topLeftCell="C41" activePane="bottomRight" state="frozen"/>
      <selection activeCell="N41" sqref="N41"/>
      <selection pane="topRight" activeCell="N41" sqref="N41"/>
      <selection pane="bottomLeft" activeCell="N41" sqref="N41"/>
      <selection pane="bottomRight" activeCell="N41" sqref="N41"/>
    </sheetView>
  </sheetViews>
  <sheetFormatPr defaultRowHeight="15"/>
  <cols>
    <col min="1" max="1" width="31.140625" bestFit="1" customWidth="1"/>
    <col min="2" max="2" width="6" bestFit="1" customWidth="1"/>
    <col min="3" max="14" width="10.7109375" bestFit="1" customWidth="1"/>
    <col min="15" max="15" width="11.28515625" bestFit="1" customWidth="1"/>
  </cols>
  <sheetData>
    <row r="1" spans="1:14">
      <c r="A1" s="299" t="s">
        <v>275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>
      <c r="A2" s="299" t="s">
        <v>276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>
      <c r="A3" s="299" t="s">
        <v>297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1:14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>
      <c r="A5" s="303"/>
      <c r="B5" s="303" t="s">
        <v>1</v>
      </c>
      <c r="C5" s="304">
        <v>42370</v>
      </c>
      <c r="D5" s="304">
        <v>42401</v>
      </c>
      <c r="E5" s="304">
        <v>42430</v>
      </c>
      <c r="F5" s="304">
        <v>42461</v>
      </c>
      <c r="G5" s="304">
        <v>42491</v>
      </c>
      <c r="H5" s="304">
        <v>42522</v>
      </c>
      <c r="I5" s="304">
        <v>42552</v>
      </c>
      <c r="J5" s="304">
        <v>42583</v>
      </c>
      <c r="K5" s="304">
        <v>42614</v>
      </c>
      <c r="L5" s="304">
        <v>42644</v>
      </c>
      <c r="M5" s="304">
        <v>42675</v>
      </c>
      <c r="N5" s="304">
        <v>42705</v>
      </c>
    </row>
    <row r="6" spans="1:14">
      <c r="A6" s="306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/>
    </row>
    <row r="7" spans="1:14">
      <c r="A7" s="309" t="s">
        <v>258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1"/>
    </row>
    <row r="8" spans="1:14">
      <c r="A8" s="312" t="s">
        <v>259</v>
      </c>
      <c r="B8" s="313">
        <f>SUM(C8:N8)</f>
        <v>0</v>
      </c>
      <c r="C8" s="313">
        <f t="shared" ref="C8:C18" si="0">ROUND(+C24*C41,0)</f>
        <v>0</v>
      </c>
      <c r="D8" s="313">
        <f t="shared" ref="D8:M18" si="1">ROUND(+D24*D41,0)</f>
        <v>0</v>
      </c>
      <c r="E8" s="313">
        <f t="shared" si="1"/>
        <v>0</v>
      </c>
      <c r="F8" s="313">
        <f t="shared" si="1"/>
        <v>0</v>
      </c>
      <c r="G8" s="313">
        <f t="shared" si="1"/>
        <v>0</v>
      </c>
      <c r="H8" s="313">
        <f t="shared" si="1"/>
        <v>0</v>
      </c>
      <c r="I8" s="313">
        <f t="shared" si="1"/>
        <v>0</v>
      </c>
      <c r="J8" s="313">
        <f t="shared" si="1"/>
        <v>0</v>
      </c>
      <c r="K8" s="313">
        <f t="shared" si="1"/>
        <v>0</v>
      </c>
      <c r="L8" s="313">
        <f t="shared" si="1"/>
        <v>0</v>
      </c>
      <c r="M8" s="313">
        <f t="shared" si="1"/>
        <v>0</v>
      </c>
      <c r="N8" s="314">
        <f t="shared" ref="N8:N18" si="2">ROUND(+N24*N41,0)</f>
        <v>0</v>
      </c>
    </row>
    <row r="9" spans="1:14">
      <c r="A9" s="315" t="s">
        <v>260</v>
      </c>
      <c r="B9" s="313">
        <f t="shared" ref="B9:B18" si="3">SUM(C9:N9)</f>
        <v>0</v>
      </c>
      <c r="C9" s="313">
        <f t="shared" si="0"/>
        <v>0</v>
      </c>
      <c r="D9" s="313">
        <f t="shared" si="1"/>
        <v>0</v>
      </c>
      <c r="E9" s="313">
        <f t="shared" si="1"/>
        <v>0</v>
      </c>
      <c r="F9" s="313">
        <f t="shared" si="1"/>
        <v>0</v>
      </c>
      <c r="G9" s="313">
        <f t="shared" si="1"/>
        <v>0</v>
      </c>
      <c r="H9" s="313">
        <f t="shared" si="1"/>
        <v>0</v>
      </c>
      <c r="I9" s="313">
        <f t="shared" si="1"/>
        <v>0</v>
      </c>
      <c r="J9" s="313">
        <f t="shared" si="1"/>
        <v>0</v>
      </c>
      <c r="K9" s="313">
        <f t="shared" si="1"/>
        <v>0</v>
      </c>
      <c r="L9" s="313">
        <f t="shared" si="1"/>
        <v>0</v>
      </c>
      <c r="M9" s="313">
        <f t="shared" si="1"/>
        <v>0</v>
      </c>
      <c r="N9" s="314">
        <f t="shared" si="2"/>
        <v>0</v>
      </c>
    </row>
    <row r="10" spans="1:14">
      <c r="A10" s="315" t="s">
        <v>261</v>
      </c>
      <c r="B10" s="313">
        <f t="shared" si="3"/>
        <v>0</v>
      </c>
      <c r="C10" s="313">
        <f t="shared" si="0"/>
        <v>0</v>
      </c>
      <c r="D10" s="313">
        <f t="shared" si="1"/>
        <v>0</v>
      </c>
      <c r="E10" s="313">
        <f t="shared" si="1"/>
        <v>0</v>
      </c>
      <c r="F10" s="313">
        <f t="shared" si="1"/>
        <v>0</v>
      </c>
      <c r="G10" s="313">
        <f t="shared" si="1"/>
        <v>0</v>
      </c>
      <c r="H10" s="313">
        <f t="shared" si="1"/>
        <v>0</v>
      </c>
      <c r="I10" s="313">
        <f t="shared" si="1"/>
        <v>0</v>
      </c>
      <c r="J10" s="313">
        <f t="shared" si="1"/>
        <v>0</v>
      </c>
      <c r="K10" s="313">
        <f t="shared" si="1"/>
        <v>0</v>
      </c>
      <c r="L10" s="313">
        <f t="shared" si="1"/>
        <v>0</v>
      </c>
      <c r="M10" s="313">
        <f t="shared" si="1"/>
        <v>0</v>
      </c>
      <c r="N10" s="314">
        <f t="shared" si="2"/>
        <v>0</v>
      </c>
    </row>
    <row r="11" spans="1:14">
      <c r="A11" s="315" t="s">
        <v>262</v>
      </c>
      <c r="B11" s="313">
        <f t="shared" si="3"/>
        <v>0</v>
      </c>
      <c r="C11" s="313">
        <f t="shared" si="0"/>
        <v>0</v>
      </c>
      <c r="D11" s="313">
        <f t="shared" si="1"/>
        <v>0</v>
      </c>
      <c r="E11" s="313">
        <f t="shared" si="1"/>
        <v>0</v>
      </c>
      <c r="F11" s="313">
        <f t="shared" si="1"/>
        <v>0</v>
      </c>
      <c r="G11" s="313">
        <f t="shared" si="1"/>
        <v>0</v>
      </c>
      <c r="H11" s="313">
        <f t="shared" si="1"/>
        <v>0</v>
      </c>
      <c r="I11" s="313">
        <f t="shared" si="1"/>
        <v>0</v>
      </c>
      <c r="J11" s="313">
        <f t="shared" si="1"/>
        <v>0</v>
      </c>
      <c r="K11" s="313">
        <f t="shared" si="1"/>
        <v>0</v>
      </c>
      <c r="L11" s="313">
        <f t="shared" si="1"/>
        <v>0</v>
      </c>
      <c r="M11" s="313">
        <f t="shared" si="1"/>
        <v>0</v>
      </c>
      <c r="N11" s="314">
        <f t="shared" si="2"/>
        <v>0</v>
      </c>
    </row>
    <row r="12" spans="1:14">
      <c r="A12" s="312" t="s">
        <v>263</v>
      </c>
      <c r="B12" s="313">
        <f t="shared" si="3"/>
        <v>0</v>
      </c>
      <c r="C12" s="313">
        <f t="shared" si="0"/>
        <v>0</v>
      </c>
      <c r="D12" s="313">
        <f t="shared" si="1"/>
        <v>0</v>
      </c>
      <c r="E12" s="313">
        <f t="shared" si="1"/>
        <v>0</v>
      </c>
      <c r="F12" s="313">
        <f t="shared" si="1"/>
        <v>0</v>
      </c>
      <c r="G12" s="313">
        <f t="shared" si="1"/>
        <v>0</v>
      </c>
      <c r="H12" s="313">
        <f t="shared" si="1"/>
        <v>0</v>
      </c>
      <c r="I12" s="313">
        <f t="shared" si="1"/>
        <v>0</v>
      </c>
      <c r="J12" s="313">
        <f t="shared" si="1"/>
        <v>0</v>
      </c>
      <c r="K12" s="313">
        <f t="shared" si="1"/>
        <v>0</v>
      </c>
      <c r="L12" s="313">
        <f t="shared" si="1"/>
        <v>0</v>
      </c>
      <c r="M12" s="313">
        <f t="shared" si="1"/>
        <v>0</v>
      </c>
      <c r="N12" s="314">
        <f t="shared" si="2"/>
        <v>0</v>
      </c>
    </row>
    <row r="13" spans="1:14">
      <c r="A13" s="315" t="s">
        <v>264</v>
      </c>
      <c r="B13" s="313">
        <f t="shared" si="3"/>
        <v>0</v>
      </c>
      <c r="C13" s="313">
        <f t="shared" si="0"/>
        <v>0</v>
      </c>
      <c r="D13" s="313">
        <f t="shared" si="1"/>
        <v>0</v>
      </c>
      <c r="E13" s="313">
        <f t="shared" si="1"/>
        <v>0</v>
      </c>
      <c r="F13" s="313">
        <f t="shared" si="1"/>
        <v>0</v>
      </c>
      <c r="G13" s="313">
        <f t="shared" si="1"/>
        <v>0</v>
      </c>
      <c r="H13" s="313">
        <f t="shared" si="1"/>
        <v>0</v>
      </c>
      <c r="I13" s="313">
        <f t="shared" si="1"/>
        <v>0</v>
      </c>
      <c r="J13" s="313">
        <f t="shared" si="1"/>
        <v>0</v>
      </c>
      <c r="K13" s="313">
        <f t="shared" si="1"/>
        <v>0</v>
      </c>
      <c r="L13" s="313">
        <f t="shared" si="1"/>
        <v>0</v>
      </c>
      <c r="M13" s="313">
        <f t="shared" si="1"/>
        <v>0</v>
      </c>
      <c r="N13" s="314">
        <f t="shared" si="2"/>
        <v>0</v>
      </c>
    </row>
    <row r="14" spans="1:14">
      <c r="A14" s="315" t="s">
        <v>265</v>
      </c>
      <c r="B14" s="313">
        <f t="shared" si="3"/>
        <v>0</v>
      </c>
      <c r="C14" s="313">
        <f t="shared" si="0"/>
        <v>0</v>
      </c>
      <c r="D14" s="313">
        <f t="shared" si="1"/>
        <v>0</v>
      </c>
      <c r="E14" s="313">
        <f t="shared" si="1"/>
        <v>0</v>
      </c>
      <c r="F14" s="313">
        <f t="shared" si="1"/>
        <v>0</v>
      </c>
      <c r="G14" s="313">
        <f t="shared" si="1"/>
        <v>0</v>
      </c>
      <c r="H14" s="313">
        <f t="shared" si="1"/>
        <v>0</v>
      </c>
      <c r="I14" s="313">
        <f t="shared" si="1"/>
        <v>0</v>
      </c>
      <c r="J14" s="313">
        <f t="shared" si="1"/>
        <v>0</v>
      </c>
      <c r="K14" s="313">
        <f t="shared" si="1"/>
        <v>0</v>
      </c>
      <c r="L14" s="313">
        <f t="shared" si="1"/>
        <v>0</v>
      </c>
      <c r="M14" s="313">
        <f t="shared" si="1"/>
        <v>0</v>
      </c>
      <c r="N14" s="314">
        <f t="shared" si="2"/>
        <v>0</v>
      </c>
    </row>
    <row r="15" spans="1:14">
      <c r="A15" s="312" t="s">
        <v>266</v>
      </c>
      <c r="B15" s="313">
        <f t="shared" si="3"/>
        <v>0</v>
      </c>
      <c r="C15" s="313">
        <f t="shared" si="0"/>
        <v>0</v>
      </c>
      <c r="D15" s="313">
        <f t="shared" si="1"/>
        <v>0</v>
      </c>
      <c r="E15" s="313">
        <f t="shared" si="1"/>
        <v>0</v>
      </c>
      <c r="F15" s="313">
        <f t="shared" si="1"/>
        <v>0</v>
      </c>
      <c r="G15" s="313">
        <f t="shared" si="1"/>
        <v>0</v>
      </c>
      <c r="H15" s="313">
        <f t="shared" si="1"/>
        <v>0</v>
      </c>
      <c r="I15" s="313">
        <f t="shared" si="1"/>
        <v>0</v>
      </c>
      <c r="J15" s="313">
        <f t="shared" si="1"/>
        <v>0</v>
      </c>
      <c r="K15" s="313">
        <f t="shared" si="1"/>
        <v>0</v>
      </c>
      <c r="L15" s="313">
        <f t="shared" si="1"/>
        <v>0</v>
      </c>
      <c r="M15" s="313">
        <f t="shared" si="1"/>
        <v>0</v>
      </c>
      <c r="N15" s="314">
        <f t="shared" si="2"/>
        <v>0</v>
      </c>
    </row>
    <row r="16" spans="1:14">
      <c r="A16" s="312" t="s">
        <v>267</v>
      </c>
      <c r="B16" s="313">
        <f t="shared" si="3"/>
        <v>0</v>
      </c>
      <c r="C16" s="313">
        <f t="shared" si="0"/>
        <v>0</v>
      </c>
      <c r="D16" s="313">
        <f t="shared" si="1"/>
        <v>0</v>
      </c>
      <c r="E16" s="313">
        <f t="shared" si="1"/>
        <v>0</v>
      </c>
      <c r="F16" s="313">
        <f t="shared" si="1"/>
        <v>0</v>
      </c>
      <c r="G16" s="313">
        <f t="shared" si="1"/>
        <v>0</v>
      </c>
      <c r="H16" s="313">
        <f t="shared" si="1"/>
        <v>0</v>
      </c>
      <c r="I16" s="313">
        <f t="shared" si="1"/>
        <v>0</v>
      </c>
      <c r="J16" s="313">
        <f t="shared" si="1"/>
        <v>0</v>
      </c>
      <c r="K16" s="313">
        <f t="shared" si="1"/>
        <v>0</v>
      </c>
      <c r="L16" s="313">
        <f t="shared" si="1"/>
        <v>0</v>
      </c>
      <c r="M16" s="313">
        <f t="shared" si="1"/>
        <v>0</v>
      </c>
      <c r="N16" s="314">
        <f t="shared" si="2"/>
        <v>0</v>
      </c>
    </row>
    <row r="17" spans="1:14">
      <c r="A17" s="312" t="s">
        <v>268</v>
      </c>
      <c r="B17" s="313">
        <f t="shared" si="3"/>
        <v>0</v>
      </c>
      <c r="C17" s="313">
        <f t="shared" si="0"/>
        <v>0</v>
      </c>
      <c r="D17" s="313">
        <f t="shared" si="1"/>
        <v>0</v>
      </c>
      <c r="E17" s="313">
        <f t="shared" si="1"/>
        <v>0</v>
      </c>
      <c r="F17" s="313">
        <f t="shared" si="1"/>
        <v>0</v>
      </c>
      <c r="G17" s="313">
        <f t="shared" si="1"/>
        <v>0</v>
      </c>
      <c r="H17" s="313">
        <f t="shared" si="1"/>
        <v>0</v>
      </c>
      <c r="I17" s="313">
        <f t="shared" si="1"/>
        <v>0</v>
      </c>
      <c r="J17" s="313">
        <f t="shared" si="1"/>
        <v>0</v>
      </c>
      <c r="K17" s="313">
        <f t="shared" si="1"/>
        <v>0</v>
      </c>
      <c r="L17" s="313">
        <f t="shared" si="1"/>
        <v>0</v>
      </c>
      <c r="M17" s="313">
        <f t="shared" si="1"/>
        <v>0</v>
      </c>
      <c r="N17" s="314">
        <f t="shared" si="2"/>
        <v>0</v>
      </c>
    </row>
    <row r="18" spans="1:14">
      <c r="A18" s="315" t="s">
        <v>14</v>
      </c>
      <c r="B18" s="313">
        <f t="shared" si="3"/>
        <v>0</v>
      </c>
      <c r="C18" s="313">
        <f t="shared" si="0"/>
        <v>0</v>
      </c>
      <c r="D18" s="313">
        <f t="shared" si="1"/>
        <v>0</v>
      </c>
      <c r="E18" s="313">
        <f t="shared" si="1"/>
        <v>0</v>
      </c>
      <c r="F18" s="313">
        <f t="shared" si="1"/>
        <v>0</v>
      </c>
      <c r="G18" s="313">
        <f t="shared" si="1"/>
        <v>0</v>
      </c>
      <c r="H18" s="313">
        <f t="shared" si="1"/>
        <v>0</v>
      </c>
      <c r="I18" s="313">
        <f t="shared" si="1"/>
        <v>0</v>
      </c>
      <c r="J18" s="313">
        <f t="shared" si="1"/>
        <v>0</v>
      </c>
      <c r="K18" s="313">
        <f t="shared" si="1"/>
        <v>0</v>
      </c>
      <c r="L18" s="313">
        <f t="shared" si="1"/>
        <v>0</v>
      </c>
      <c r="M18" s="313">
        <f t="shared" si="1"/>
        <v>0</v>
      </c>
      <c r="N18" s="314">
        <f t="shared" si="2"/>
        <v>0</v>
      </c>
    </row>
    <row r="19" spans="1:14">
      <c r="A19" s="309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4"/>
    </row>
    <row r="20" spans="1:14">
      <c r="A20" s="309" t="s">
        <v>269</v>
      </c>
      <c r="B20" s="313">
        <f t="shared" ref="B20:K20" si="4">SUM(B8:B19)</f>
        <v>0</v>
      </c>
      <c r="C20" s="313">
        <f t="shared" si="4"/>
        <v>0</v>
      </c>
      <c r="D20" s="313">
        <f t="shared" si="4"/>
        <v>0</v>
      </c>
      <c r="E20" s="313">
        <f t="shared" si="4"/>
        <v>0</v>
      </c>
      <c r="F20" s="313">
        <f t="shared" si="4"/>
        <v>0</v>
      </c>
      <c r="G20" s="313">
        <f t="shared" si="4"/>
        <v>0</v>
      </c>
      <c r="H20" s="313">
        <f t="shared" si="4"/>
        <v>0</v>
      </c>
      <c r="I20" s="313">
        <f t="shared" si="4"/>
        <v>0</v>
      </c>
      <c r="J20" s="313">
        <f t="shared" si="4"/>
        <v>0</v>
      </c>
      <c r="K20" s="313">
        <f t="shared" si="4"/>
        <v>0</v>
      </c>
      <c r="L20" s="313">
        <f>SUM(L8:L19)</f>
        <v>0</v>
      </c>
      <c r="M20" s="313">
        <f>SUM(M8:M19)</f>
        <v>0</v>
      </c>
      <c r="N20" s="314">
        <f>SUM(N8:N19)</f>
        <v>0</v>
      </c>
    </row>
    <row r="21" spans="1:14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8"/>
    </row>
    <row r="22" spans="1:14">
      <c r="A22" s="319"/>
      <c r="B22" s="320"/>
      <c r="C22" s="321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3"/>
    </row>
    <row r="23" spans="1:14">
      <c r="A23" s="446" t="s">
        <v>270</v>
      </c>
      <c r="B23" s="310"/>
      <c r="C23" s="325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1"/>
    </row>
    <row r="24" spans="1:14">
      <c r="A24" s="312" t="s">
        <v>259</v>
      </c>
      <c r="B24" s="326">
        <f>SUM(C24:N24)</f>
        <v>0</v>
      </c>
      <c r="C24" s="327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9"/>
    </row>
    <row r="25" spans="1:14">
      <c r="A25" s="315" t="s">
        <v>260</v>
      </c>
      <c r="B25" s="326">
        <f t="shared" ref="B25:B34" si="5">SUM(C25:N25)</f>
        <v>0</v>
      </c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9"/>
    </row>
    <row r="26" spans="1:14">
      <c r="A26" s="315" t="s">
        <v>261</v>
      </c>
      <c r="B26" s="326">
        <f t="shared" si="5"/>
        <v>0</v>
      </c>
      <c r="C26" s="327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9"/>
    </row>
    <row r="27" spans="1:14">
      <c r="A27" s="315" t="s">
        <v>262</v>
      </c>
      <c r="B27" s="326">
        <f t="shared" si="5"/>
        <v>0</v>
      </c>
      <c r="C27" s="327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9"/>
    </row>
    <row r="28" spans="1:14">
      <c r="A28" s="312" t="s">
        <v>263</v>
      </c>
      <c r="B28" s="326">
        <f t="shared" si="5"/>
        <v>0</v>
      </c>
      <c r="C28" s="327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9"/>
    </row>
    <row r="29" spans="1:14">
      <c r="A29" s="315" t="s">
        <v>264</v>
      </c>
      <c r="B29" s="326">
        <f t="shared" si="5"/>
        <v>0</v>
      </c>
      <c r="C29" s="327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9"/>
    </row>
    <row r="30" spans="1:14">
      <c r="A30" s="315" t="s">
        <v>265</v>
      </c>
      <c r="B30" s="326">
        <f t="shared" si="5"/>
        <v>0</v>
      </c>
      <c r="C30" s="327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9"/>
    </row>
    <row r="31" spans="1:14">
      <c r="A31" s="312" t="s">
        <v>266</v>
      </c>
      <c r="B31" s="326">
        <f>SUM(C31:N31)</f>
        <v>0</v>
      </c>
      <c r="C31" s="327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9"/>
    </row>
    <row r="32" spans="1:14">
      <c r="A32" s="312" t="s">
        <v>267</v>
      </c>
      <c r="B32" s="326">
        <f>SUM(C32:N32)</f>
        <v>0</v>
      </c>
      <c r="C32" s="327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9"/>
    </row>
    <row r="33" spans="1:15">
      <c r="A33" s="312" t="s">
        <v>268</v>
      </c>
      <c r="B33" s="326">
        <f>SUM(C33:N33)</f>
        <v>0</v>
      </c>
      <c r="C33" s="327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9"/>
    </row>
    <row r="34" spans="1:15">
      <c r="A34" s="315" t="s">
        <v>14</v>
      </c>
      <c r="B34" s="326">
        <f t="shared" si="5"/>
        <v>0</v>
      </c>
      <c r="C34" s="327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9"/>
    </row>
    <row r="35" spans="1:15">
      <c r="A35" s="309"/>
      <c r="B35" s="98"/>
      <c r="C35" s="309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330"/>
    </row>
    <row r="36" spans="1:15">
      <c r="A36" s="309" t="s">
        <v>269</v>
      </c>
      <c r="B36" s="310">
        <f t="shared" ref="B36:K36" si="6">SUM(B24:B35)</f>
        <v>0</v>
      </c>
      <c r="C36" s="325">
        <f t="shared" si="6"/>
        <v>0</v>
      </c>
      <c r="D36" s="310">
        <f t="shared" si="6"/>
        <v>0</v>
      </c>
      <c r="E36" s="310">
        <f t="shared" si="6"/>
        <v>0</v>
      </c>
      <c r="F36" s="310">
        <f t="shared" si="6"/>
        <v>0</v>
      </c>
      <c r="G36" s="310">
        <f t="shared" si="6"/>
        <v>0</v>
      </c>
      <c r="H36" s="310">
        <f t="shared" si="6"/>
        <v>0</v>
      </c>
      <c r="I36" s="310">
        <f t="shared" si="6"/>
        <v>0</v>
      </c>
      <c r="J36" s="310">
        <f t="shared" si="6"/>
        <v>0</v>
      </c>
      <c r="K36" s="310">
        <f t="shared" si="6"/>
        <v>0</v>
      </c>
      <c r="L36" s="310">
        <f>SUM(L24:L35)</f>
        <v>0</v>
      </c>
      <c r="M36" s="310">
        <f>SUM(M24:M35)</f>
        <v>0</v>
      </c>
      <c r="N36" s="311">
        <f>SUM(N24:N35)</f>
        <v>0</v>
      </c>
    </row>
    <row r="37" spans="1:15">
      <c r="A37" s="309"/>
      <c r="B37" s="98"/>
      <c r="C37" s="316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2"/>
    </row>
    <row r="38" spans="1:15">
      <c r="A38" s="319"/>
      <c r="B38" s="320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3"/>
    </row>
    <row r="39" spans="1:15" ht="15.75" thickBot="1">
      <c r="A39" s="769" t="s">
        <v>271</v>
      </c>
      <c r="B39" s="770"/>
      <c r="C39" s="770"/>
      <c r="D39" s="770"/>
      <c r="E39" s="770"/>
      <c r="F39" s="770"/>
      <c r="G39" s="770"/>
      <c r="H39" s="770"/>
      <c r="I39" s="770"/>
      <c r="J39" s="770"/>
      <c r="K39" s="770"/>
      <c r="L39" s="770"/>
      <c r="M39" s="770"/>
      <c r="N39" s="771"/>
    </row>
    <row r="40" spans="1:15" ht="48" customHeight="1" thickBot="1">
      <c r="A40" s="333" t="s">
        <v>219</v>
      </c>
      <c r="B40" s="334"/>
      <c r="C40" s="785" t="s">
        <v>296</v>
      </c>
      <c r="D40" s="786"/>
      <c r="E40" s="786"/>
      <c r="F40" s="786"/>
      <c r="G40" s="786"/>
      <c r="H40" s="786"/>
      <c r="I40" s="786"/>
      <c r="J40" s="786"/>
      <c r="K40" s="786"/>
      <c r="L40" s="786"/>
      <c r="M40" s="786"/>
      <c r="N40" s="787"/>
    </row>
    <row r="41" spans="1:15">
      <c r="A41" s="337" t="s">
        <v>259</v>
      </c>
      <c r="B41" s="326"/>
      <c r="C41" s="338">
        <f>+'Summary 2014 PCORC Rev Req'!E22</f>
        <v>6.7820000000000005E-2</v>
      </c>
      <c r="D41" s="339">
        <f>+C41</f>
        <v>6.7820000000000005E-2</v>
      </c>
      <c r="E41" s="339">
        <f t="shared" ref="E41:M41" si="7">+D41</f>
        <v>6.7820000000000005E-2</v>
      </c>
      <c r="F41" s="339">
        <f t="shared" si="7"/>
        <v>6.7820000000000005E-2</v>
      </c>
      <c r="G41" s="339">
        <f t="shared" si="7"/>
        <v>6.7820000000000005E-2</v>
      </c>
      <c r="H41" s="339">
        <f t="shared" si="7"/>
        <v>6.7820000000000005E-2</v>
      </c>
      <c r="I41" s="339">
        <f t="shared" si="7"/>
        <v>6.7820000000000005E-2</v>
      </c>
      <c r="J41" s="339">
        <f t="shared" si="7"/>
        <v>6.7820000000000005E-2</v>
      </c>
      <c r="K41" s="339">
        <f t="shared" si="7"/>
        <v>6.7820000000000005E-2</v>
      </c>
      <c r="L41" s="339">
        <f t="shared" si="7"/>
        <v>6.7820000000000005E-2</v>
      </c>
      <c r="M41" s="339">
        <f t="shared" si="7"/>
        <v>6.7820000000000005E-2</v>
      </c>
      <c r="N41" s="352">
        <f>+'Summary 2016 PCORC Rev Req'!E22</f>
        <v>6.8902000000000005E-2</v>
      </c>
      <c r="O41" s="603"/>
    </row>
    <row r="42" spans="1:15">
      <c r="A42" s="341" t="s">
        <v>260</v>
      </c>
      <c r="B42" s="326"/>
      <c r="C42" s="342">
        <f>+'Summary 2013 PCORC Rev Req'!F22</f>
        <v>6.4281000000000005E-2</v>
      </c>
      <c r="D42" s="343">
        <f t="shared" ref="D42:M42" si="8">+C42</f>
        <v>6.4281000000000005E-2</v>
      </c>
      <c r="E42" s="343">
        <f t="shared" si="8"/>
        <v>6.4281000000000005E-2</v>
      </c>
      <c r="F42" s="343">
        <f t="shared" si="8"/>
        <v>6.4281000000000005E-2</v>
      </c>
      <c r="G42" s="343">
        <f t="shared" si="8"/>
        <v>6.4281000000000005E-2</v>
      </c>
      <c r="H42" s="343">
        <f t="shared" si="8"/>
        <v>6.4281000000000005E-2</v>
      </c>
      <c r="I42" s="343">
        <f t="shared" si="8"/>
        <v>6.4281000000000005E-2</v>
      </c>
      <c r="J42" s="343">
        <f t="shared" si="8"/>
        <v>6.4281000000000005E-2</v>
      </c>
      <c r="K42" s="343">
        <f t="shared" si="8"/>
        <v>6.4281000000000005E-2</v>
      </c>
      <c r="L42" s="343">
        <f t="shared" si="8"/>
        <v>6.4281000000000005E-2</v>
      </c>
      <c r="M42" s="343">
        <f t="shared" si="8"/>
        <v>6.4281000000000005E-2</v>
      </c>
      <c r="N42" s="353">
        <f>+'Summary 2016 PCORC Rev Req'!F22</f>
        <v>6.3548999999999994E-2</v>
      </c>
      <c r="O42" s="603"/>
    </row>
    <row r="43" spans="1:15">
      <c r="A43" s="341" t="s">
        <v>261</v>
      </c>
      <c r="B43" s="326"/>
      <c r="C43" s="342">
        <f>+'Summary 2013 PCORC Rev Req'!G22</f>
        <v>6.2725000000000003E-2</v>
      </c>
      <c r="D43" s="343">
        <f t="shared" ref="D43:M43" si="9">+C43</f>
        <v>6.2725000000000003E-2</v>
      </c>
      <c r="E43" s="343">
        <f t="shared" si="9"/>
        <v>6.2725000000000003E-2</v>
      </c>
      <c r="F43" s="343">
        <f t="shared" si="9"/>
        <v>6.2725000000000003E-2</v>
      </c>
      <c r="G43" s="343">
        <f t="shared" si="9"/>
        <v>6.2725000000000003E-2</v>
      </c>
      <c r="H43" s="343">
        <f t="shared" si="9"/>
        <v>6.2725000000000003E-2</v>
      </c>
      <c r="I43" s="343">
        <f t="shared" si="9"/>
        <v>6.2725000000000003E-2</v>
      </c>
      <c r="J43" s="343">
        <f t="shared" si="9"/>
        <v>6.2725000000000003E-2</v>
      </c>
      <c r="K43" s="343">
        <f t="shared" si="9"/>
        <v>6.2725000000000003E-2</v>
      </c>
      <c r="L43" s="343">
        <f t="shared" si="9"/>
        <v>6.2725000000000003E-2</v>
      </c>
      <c r="M43" s="343">
        <f t="shared" si="9"/>
        <v>6.2725000000000003E-2</v>
      </c>
      <c r="N43" s="353">
        <f>+'Summary 2016 PCORC Rev Req'!G22</f>
        <v>6.3299999999999995E-2</v>
      </c>
      <c r="O43" s="603"/>
    </row>
    <row r="44" spans="1:15">
      <c r="A44" s="341" t="s">
        <v>262</v>
      </c>
      <c r="B44" s="326"/>
      <c r="C44" s="342">
        <f>+'Summary 2013 PCORC Rev Req'!H22</f>
        <v>6.4186000000000007E-2</v>
      </c>
      <c r="D44" s="343">
        <f t="shared" ref="D44:M44" si="10">+C44</f>
        <v>6.4186000000000007E-2</v>
      </c>
      <c r="E44" s="343">
        <f t="shared" si="10"/>
        <v>6.4186000000000007E-2</v>
      </c>
      <c r="F44" s="343">
        <f t="shared" si="10"/>
        <v>6.4186000000000007E-2</v>
      </c>
      <c r="G44" s="343">
        <f t="shared" si="10"/>
        <v>6.4186000000000007E-2</v>
      </c>
      <c r="H44" s="343">
        <f t="shared" si="10"/>
        <v>6.4186000000000007E-2</v>
      </c>
      <c r="I44" s="343">
        <f t="shared" si="10"/>
        <v>6.4186000000000007E-2</v>
      </c>
      <c r="J44" s="343">
        <f t="shared" si="10"/>
        <v>6.4186000000000007E-2</v>
      </c>
      <c r="K44" s="343">
        <f t="shared" si="10"/>
        <v>6.4186000000000007E-2</v>
      </c>
      <c r="L44" s="343">
        <f t="shared" si="10"/>
        <v>6.4186000000000007E-2</v>
      </c>
      <c r="M44" s="343">
        <f t="shared" si="10"/>
        <v>6.4186000000000007E-2</v>
      </c>
      <c r="N44" s="353">
        <f>+'Summary 2016 PCORC Rev Req'!H22</f>
        <v>6.5309000000000006E-2</v>
      </c>
      <c r="O44" s="603"/>
    </row>
    <row r="45" spans="1:15">
      <c r="A45" s="337" t="s">
        <v>263</v>
      </c>
      <c r="B45" s="326"/>
      <c r="C45" s="342">
        <f>+'Summary 2013 PCORC Rev Req'!G22</f>
        <v>6.2725000000000003E-2</v>
      </c>
      <c r="D45" s="343">
        <f t="shared" ref="D45:M45" si="11">+C45</f>
        <v>6.2725000000000003E-2</v>
      </c>
      <c r="E45" s="343">
        <f t="shared" si="11"/>
        <v>6.2725000000000003E-2</v>
      </c>
      <c r="F45" s="343">
        <f t="shared" si="11"/>
        <v>6.2725000000000003E-2</v>
      </c>
      <c r="G45" s="343">
        <f t="shared" si="11"/>
        <v>6.2725000000000003E-2</v>
      </c>
      <c r="H45" s="343">
        <f t="shared" si="11"/>
        <v>6.2725000000000003E-2</v>
      </c>
      <c r="I45" s="343">
        <f t="shared" si="11"/>
        <v>6.2725000000000003E-2</v>
      </c>
      <c r="J45" s="343">
        <f t="shared" si="11"/>
        <v>6.2725000000000003E-2</v>
      </c>
      <c r="K45" s="343">
        <f t="shared" si="11"/>
        <v>6.2725000000000003E-2</v>
      </c>
      <c r="L45" s="343">
        <f t="shared" si="11"/>
        <v>6.2725000000000003E-2</v>
      </c>
      <c r="M45" s="343">
        <f t="shared" si="11"/>
        <v>6.2725000000000003E-2</v>
      </c>
      <c r="N45" s="353">
        <f>+N43</f>
        <v>6.3299999999999995E-2</v>
      </c>
      <c r="O45" s="603"/>
    </row>
    <row r="46" spans="1:15">
      <c r="A46" s="341" t="s">
        <v>264</v>
      </c>
      <c r="B46" s="326"/>
      <c r="C46" s="342">
        <f>+'Summary 2013 PCORC Rev Req'!I22</f>
        <v>6.0102000000000003E-2</v>
      </c>
      <c r="D46" s="343">
        <f t="shared" ref="D46:M46" si="12">+C46</f>
        <v>6.0102000000000003E-2</v>
      </c>
      <c r="E46" s="343">
        <f t="shared" si="12"/>
        <v>6.0102000000000003E-2</v>
      </c>
      <c r="F46" s="343">
        <f t="shared" si="12"/>
        <v>6.0102000000000003E-2</v>
      </c>
      <c r="G46" s="343">
        <f t="shared" si="12"/>
        <v>6.0102000000000003E-2</v>
      </c>
      <c r="H46" s="343">
        <f t="shared" si="12"/>
        <v>6.0102000000000003E-2</v>
      </c>
      <c r="I46" s="343">
        <f t="shared" si="12"/>
        <v>6.0102000000000003E-2</v>
      </c>
      <c r="J46" s="343">
        <f t="shared" si="12"/>
        <v>6.0102000000000003E-2</v>
      </c>
      <c r="K46" s="343">
        <f t="shared" si="12"/>
        <v>6.0102000000000003E-2</v>
      </c>
      <c r="L46" s="343">
        <f t="shared" si="12"/>
        <v>6.0102000000000003E-2</v>
      </c>
      <c r="M46" s="343">
        <f t="shared" si="12"/>
        <v>6.0102000000000003E-2</v>
      </c>
      <c r="N46" s="353">
        <f>+'Summary 2016 PCORC Rev Req'!I22</f>
        <v>5.9146999999999998E-2</v>
      </c>
      <c r="O46" s="603"/>
    </row>
    <row r="47" spans="1:15">
      <c r="A47" s="341" t="s">
        <v>265</v>
      </c>
      <c r="B47" s="326"/>
      <c r="C47" s="342">
        <f>+'Summary 2013 PCORC Rev Req'!K22</f>
        <v>5.6188000000000002E-2</v>
      </c>
      <c r="D47" s="343">
        <f t="shared" ref="D47:M47" si="13">+C47</f>
        <v>5.6188000000000002E-2</v>
      </c>
      <c r="E47" s="343">
        <f t="shared" si="13"/>
        <v>5.6188000000000002E-2</v>
      </c>
      <c r="F47" s="343">
        <f t="shared" si="13"/>
        <v>5.6188000000000002E-2</v>
      </c>
      <c r="G47" s="343">
        <f t="shared" si="13"/>
        <v>5.6188000000000002E-2</v>
      </c>
      <c r="H47" s="343">
        <f t="shared" si="13"/>
        <v>5.6188000000000002E-2</v>
      </c>
      <c r="I47" s="343">
        <f t="shared" si="13"/>
        <v>5.6188000000000002E-2</v>
      </c>
      <c r="J47" s="343">
        <f t="shared" si="13"/>
        <v>5.6188000000000002E-2</v>
      </c>
      <c r="K47" s="343">
        <f t="shared" si="13"/>
        <v>5.6188000000000002E-2</v>
      </c>
      <c r="L47" s="343">
        <f t="shared" si="13"/>
        <v>5.6188000000000002E-2</v>
      </c>
      <c r="M47" s="343">
        <f t="shared" si="13"/>
        <v>5.6188000000000002E-2</v>
      </c>
      <c r="N47" s="353">
        <f>+'Summary 2016 PCORC Rev Req'!K22</f>
        <v>5.8022999999999998E-2</v>
      </c>
      <c r="O47" s="603"/>
    </row>
    <row r="48" spans="1:15">
      <c r="A48" s="337" t="s">
        <v>272</v>
      </c>
      <c r="B48" s="326"/>
      <c r="C48" s="342">
        <f>+'Summary 2013 PCORC Rev Req'!L22</f>
        <v>6.2293000000000001E-2</v>
      </c>
      <c r="D48" s="343">
        <f t="shared" ref="D48:M48" si="14">+C48</f>
        <v>6.2293000000000001E-2</v>
      </c>
      <c r="E48" s="343">
        <f t="shared" si="14"/>
        <v>6.2293000000000001E-2</v>
      </c>
      <c r="F48" s="343">
        <f t="shared" si="14"/>
        <v>6.2293000000000001E-2</v>
      </c>
      <c r="G48" s="343">
        <f t="shared" si="14"/>
        <v>6.2293000000000001E-2</v>
      </c>
      <c r="H48" s="343">
        <f t="shared" si="14"/>
        <v>6.2293000000000001E-2</v>
      </c>
      <c r="I48" s="343">
        <f t="shared" si="14"/>
        <v>6.2293000000000001E-2</v>
      </c>
      <c r="J48" s="343">
        <f t="shared" si="14"/>
        <v>6.2293000000000001E-2</v>
      </c>
      <c r="K48" s="343">
        <f t="shared" si="14"/>
        <v>6.2293000000000001E-2</v>
      </c>
      <c r="L48" s="343">
        <f t="shared" si="14"/>
        <v>6.2293000000000001E-2</v>
      </c>
      <c r="M48" s="343">
        <f t="shared" si="14"/>
        <v>6.2293000000000001E-2</v>
      </c>
      <c r="N48" s="353">
        <f>+'Summary 2016 PCORC Rev Req'!L22</f>
        <v>6.5490000000000007E-2</v>
      </c>
      <c r="O48" s="603"/>
    </row>
    <row r="49" spans="1:15">
      <c r="A49" s="337" t="s">
        <v>273</v>
      </c>
      <c r="B49" s="326"/>
      <c r="C49" s="342">
        <f>+'Summary 2013 PCORC Rev Req'!L22</f>
        <v>6.2293000000000001E-2</v>
      </c>
      <c r="D49" s="343">
        <f t="shared" ref="D49:M49" si="15">+C49</f>
        <v>6.2293000000000001E-2</v>
      </c>
      <c r="E49" s="343">
        <f t="shared" si="15"/>
        <v>6.2293000000000001E-2</v>
      </c>
      <c r="F49" s="343">
        <f t="shared" si="15"/>
        <v>6.2293000000000001E-2</v>
      </c>
      <c r="G49" s="343">
        <f t="shared" si="15"/>
        <v>6.2293000000000001E-2</v>
      </c>
      <c r="H49" s="343">
        <f t="shared" si="15"/>
        <v>6.2293000000000001E-2</v>
      </c>
      <c r="I49" s="343">
        <f t="shared" si="15"/>
        <v>6.2293000000000001E-2</v>
      </c>
      <c r="J49" s="343">
        <f t="shared" si="15"/>
        <v>6.2293000000000001E-2</v>
      </c>
      <c r="K49" s="343">
        <f t="shared" si="15"/>
        <v>6.2293000000000001E-2</v>
      </c>
      <c r="L49" s="343">
        <f t="shared" si="15"/>
        <v>6.2293000000000001E-2</v>
      </c>
      <c r="M49" s="343">
        <f t="shared" si="15"/>
        <v>6.2293000000000001E-2</v>
      </c>
      <c r="N49" s="353">
        <f>+N48</f>
        <v>6.5490000000000007E-2</v>
      </c>
      <c r="O49" s="603"/>
    </row>
    <row r="50" spans="1:15">
      <c r="A50" s="337" t="s">
        <v>274</v>
      </c>
      <c r="B50" s="326"/>
      <c r="C50" s="342">
        <f>+'Summary 2013 PCORC Rev Req'!L22</f>
        <v>6.2293000000000001E-2</v>
      </c>
      <c r="D50" s="343">
        <f t="shared" ref="D50:M50" si="16">+C50</f>
        <v>6.2293000000000001E-2</v>
      </c>
      <c r="E50" s="343">
        <f t="shared" si="16"/>
        <v>6.2293000000000001E-2</v>
      </c>
      <c r="F50" s="343">
        <f t="shared" si="16"/>
        <v>6.2293000000000001E-2</v>
      </c>
      <c r="G50" s="343">
        <f t="shared" si="16"/>
        <v>6.2293000000000001E-2</v>
      </c>
      <c r="H50" s="343">
        <f t="shared" si="16"/>
        <v>6.2293000000000001E-2</v>
      </c>
      <c r="I50" s="343">
        <f t="shared" si="16"/>
        <v>6.2293000000000001E-2</v>
      </c>
      <c r="J50" s="343">
        <f t="shared" si="16"/>
        <v>6.2293000000000001E-2</v>
      </c>
      <c r="K50" s="343">
        <f t="shared" si="16"/>
        <v>6.2293000000000001E-2</v>
      </c>
      <c r="L50" s="343">
        <f t="shared" si="16"/>
        <v>6.2293000000000001E-2</v>
      </c>
      <c r="M50" s="343">
        <f t="shared" si="16"/>
        <v>6.2293000000000001E-2</v>
      </c>
      <c r="N50" s="353">
        <f>+N49</f>
        <v>6.5490000000000007E-2</v>
      </c>
      <c r="O50" s="603"/>
    </row>
    <row r="51" spans="1:15">
      <c r="A51" s="341" t="s">
        <v>14</v>
      </c>
      <c r="B51" s="326"/>
      <c r="C51" s="342">
        <v>3.5139999999999998E-2</v>
      </c>
      <c r="D51" s="343">
        <f t="shared" ref="D51:M51" si="17">+C51</f>
        <v>3.5139999999999998E-2</v>
      </c>
      <c r="E51" s="343">
        <f t="shared" si="17"/>
        <v>3.5139999999999998E-2</v>
      </c>
      <c r="F51" s="343">
        <f t="shared" si="17"/>
        <v>3.5139999999999998E-2</v>
      </c>
      <c r="G51" s="343">
        <f t="shared" si="17"/>
        <v>3.5139999999999998E-2</v>
      </c>
      <c r="H51" s="343">
        <f t="shared" si="17"/>
        <v>3.5139999999999998E-2</v>
      </c>
      <c r="I51" s="343">
        <f t="shared" si="17"/>
        <v>3.5139999999999998E-2</v>
      </c>
      <c r="J51" s="343">
        <f t="shared" si="17"/>
        <v>3.5139999999999998E-2</v>
      </c>
      <c r="K51" s="343">
        <f t="shared" si="17"/>
        <v>3.5139999999999998E-2</v>
      </c>
      <c r="L51" s="343">
        <f t="shared" si="17"/>
        <v>3.5139999999999998E-2</v>
      </c>
      <c r="M51" s="343">
        <f t="shared" si="17"/>
        <v>3.5139999999999998E-2</v>
      </c>
      <c r="N51" s="353">
        <f>+M51</f>
        <v>3.5139999999999998E-2</v>
      </c>
      <c r="O51" s="603"/>
    </row>
    <row r="52" spans="1:15" ht="15.75" thickBot="1">
      <c r="A52" s="344"/>
      <c r="B52" s="345"/>
      <c r="C52" s="344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6"/>
    </row>
  </sheetData>
  <mergeCells count="2">
    <mergeCell ref="A39:N39"/>
    <mergeCell ref="C40:N40"/>
  </mergeCells>
  <printOptions horizontalCentered="1"/>
  <pageMargins left="0.7" right="0.7" top="0.75" bottom="0.75" header="0.3" footer="0.3"/>
  <pageSetup scale="63" orientation="landscape" r:id="rId1"/>
  <headerFooter alignWithMargins="0">
    <oddFooter xml:space="preserve">&amp;L&amp;F 
&amp;A&amp;RPage &amp;P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52CC02-F0A7-4CA4-A28A-E5427F717DF0}"/>
</file>

<file path=customXml/itemProps2.xml><?xml version="1.0" encoding="utf-8"?>
<ds:datastoreItem xmlns:ds="http://schemas.openxmlformats.org/officeDocument/2006/customXml" ds:itemID="{A0AFBDB9-38DB-44D4-B583-F59345FED946}"/>
</file>

<file path=customXml/itemProps3.xml><?xml version="1.0" encoding="utf-8"?>
<ds:datastoreItem xmlns:ds="http://schemas.openxmlformats.org/officeDocument/2006/customXml" ds:itemID="{4BADD196-57BA-4BC5-BD48-3B8BD325E871}"/>
</file>

<file path=customXml/itemProps4.xml><?xml version="1.0" encoding="utf-8"?>
<ds:datastoreItem xmlns:ds="http://schemas.openxmlformats.org/officeDocument/2006/customXml" ds:itemID="{3B4F6A44-F049-4499-BB24-3384967B5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12</vt:i4>
      </vt:variant>
    </vt:vector>
  </HeadingPairs>
  <TitlesOfParts>
    <vt:vector size="32" baseType="lpstr">
      <vt:lpstr>2018 GRC-TRF Sales &amp; Rev Adj</vt:lpstr>
      <vt:lpstr>UE-180282 TRF Power Costs</vt:lpstr>
      <vt:lpstr>UE-180282 TRF Exhibit A-1</vt:lpstr>
      <vt:lpstr>UE-180282 TRF Prop Rev</vt:lpstr>
      <vt:lpstr>2017 Sales &amp; Revenue Adj</vt:lpstr>
      <vt:lpstr>UE-170033 2017 GRC COS Pow Cost</vt:lpstr>
      <vt:lpstr>UE-170033 2017 GRC Exh A-1</vt:lpstr>
      <vt:lpstr>UE-170033 2017 GRC Prop Rev</vt:lpstr>
      <vt:lpstr>2016 PCA Sales &amp; Revenue Adj.</vt:lpstr>
      <vt:lpstr>Summary 2016 PCORC Rev Req</vt:lpstr>
      <vt:lpstr>2016 PCORC Exh A-1</vt:lpstr>
      <vt:lpstr>2016 PCORC Rate Spread</vt:lpstr>
      <vt:lpstr>2014 PCA Sales &amp; Revenue Adj.</vt:lpstr>
      <vt:lpstr>Summary 2014 PCORC Rev Req</vt:lpstr>
      <vt:lpstr>2014 PCORC Exh A-1</vt:lpstr>
      <vt:lpstr>2014 PCORC Rate Spread (JAP-3)</vt:lpstr>
      <vt:lpstr>Summary 2013 PCORC Rev Req</vt:lpstr>
      <vt:lpstr>p14 2011 GRC ERF - COS</vt:lpstr>
      <vt:lpstr>2013 PCORC Att A p 2 (ExA1)</vt:lpstr>
      <vt:lpstr>2013 PCORC Rate Spread (JAP-3)</vt:lpstr>
      <vt:lpstr>'2013 PCORC Att A p 2 (ExA1)'!Print_Area</vt:lpstr>
      <vt:lpstr>'2013 PCORC Rate Spread (JAP-3)'!Print_Area</vt:lpstr>
      <vt:lpstr>'2016 PCA Sales &amp; Revenue Adj.'!Print_Area</vt:lpstr>
      <vt:lpstr>'2016 PCORC Exh A-1'!Print_Area</vt:lpstr>
      <vt:lpstr>'2016 PCORC Rate Spread'!Print_Area</vt:lpstr>
      <vt:lpstr>'2017 Sales &amp; Revenue Adj'!Print_Area</vt:lpstr>
      <vt:lpstr>'2018 GRC-TRF Sales &amp; Rev Adj'!Print_Area</vt:lpstr>
      <vt:lpstr>'p14 2011 GRC ERF - COS'!Print_Area</vt:lpstr>
      <vt:lpstr>'Summary 2016 PCORC Rev Req'!Print_Area</vt:lpstr>
      <vt:lpstr>'UE-170033 2017 GRC COS Pow Cost'!Print_Area</vt:lpstr>
      <vt:lpstr>'UE-180282 TRF Exhibit A-1'!Print_Area</vt:lpstr>
      <vt:lpstr>'UE-180282 TRF Prop Rev'!Print_Area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NC</cp:lastModifiedBy>
  <cp:lastPrinted>2018-10-12T16:23:28Z</cp:lastPrinted>
  <dcterms:created xsi:type="dcterms:W3CDTF">2015-01-12T23:30:10Z</dcterms:created>
  <dcterms:modified xsi:type="dcterms:W3CDTF">2018-11-05T19:14:48Z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