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65521" windowWidth="2985" windowHeight="6600" tabRatio="682" activeTab="3"/>
  </bookViews>
  <sheets>
    <sheet name="Writeoff" sheetId="1" r:id="rId1"/>
    <sheet name="Recovery" sheetId="2" r:id="rId2"/>
    <sheet name="Recovery Allocation" sheetId="3" r:id="rId3"/>
    <sheet name="Revenues" sheetId="4" r:id="rId4"/>
  </sheets>
  <definedNames>
    <definedName name="_xlnm.Print_Area" localSheetId="3">'Revenues'!$A$1:$P$124</definedName>
    <definedName name="_xlnm.Print_Titles" localSheetId="1">'Recovery'!$2:$2</definedName>
    <definedName name="_xlnm.Print_Titles" localSheetId="3">'Revenues'!$2:$3</definedName>
    <definedName name="_xlnm.Print_Titles" localSheetId="0">'Writeoff'!$2:$3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CK's WRITE OFFS je</t>
        </r>
      </text>
    </comment>
  </commentList>
</comments>
</file>

<file path=xl/sharedStrings.xml><?xml version="1.0" encoding="utf-8"?>
<sst xmlns="http://schemas.openxmlformats.org/spreadsheetml/2006/main" count="112" uniqueCount="51">
  <si>
    <t>Recoveries</t>
  </si>
  <si>
    <t>Residential</t>
  </si>
  <si>
    <t>Commercial</t>
  </si>
  <si>
    <t>Total</t>
  </si>
  <si>
    <t>WA</t>
  </si>
  <si>
    <t>OR</t>
  </si>
  <si>
    <t xml:space="preserve">Residential </t>
  </si>
  <si>
    <t>Control</t>
  </si>
  <si>
    <t>WA.</t>
  </si>
  <si>
    <t>OR.</t>
  </si>
  <si>
    <t>Washington</t>
  </si>
  <si>
    <t>Oregon</t>
  </si>
  <si>
    <t>s/b</t>
  </si>
  <si>
    <t>Variance</t>
  </si>
  <si>
    <t>Sources:</t>
  </si>
  <si>
    <t>Monthly Writeoff Report</t>
  </si>
  <si>
    <t xml:space="preserve">12 Months Ending </t>
  </si>
  <si>
    <t xml:space="preserve">Sources: </t>
  </si>
  <si>
    <t>Monthly Recovery Report</t>
  </si>
  <si>
    <t>Month</t>
  </si>
  <si>
    <t>12 months Ending Recovery Report</t>
  </si>
  <si>
    <t>PY 12 months Ending:</t>
  </si>
  <si>
    <t>CY 12 months Ending:</t>
  </si>
  <si>
    <t>Write Offs</t>
  </si>
  <si>
    <t>Washington Monthly Net Write Offs &amp; Recoveries</t>
  </si>
  <si>
    <t>Oregon Monthly Net Write Offs &amp; Recoveries</t>
  </si>
  <si>
    <t>Washington 12 Months Net Write Offs &amp; Recoveries</t>
  </si>
  <si>
    <t>Oregon 12 Months Net Write Offs &amp; Recoveries</t>
  </si>
  <si>
    <t xml:space="preserve">Sources:  </t>
  </si>
  <si>
    <t>1.  Update Recovery and Writeoff tabs</t>
  </si>
  <si>
    <t>Enter amount for the intended month by state</t>
  </si>
  <si>
    <t>Copy the formula down to the new month under 12 months ending section</t>
  </si>
  <si>
    <t>Ensure formula consists of 12 consecutive months</t>
  </si>
  <si>
    <t>Copy formula down to the next month and ensure that formula consists of 12 consecutive months</t>
  </si>
  <si>
    <t>CY Monthly Billed &amp; Unbilled Revenue</t>
  </si>
  <si>
    <t>PY Monthly Billed &amp; Unbilled Revenue</t>
  </si>
  <si>
    <t>2.  Copy the formula to the next row in the above tables for the month</t>
  </si>
  <si>
    <r>
      <t xml:space="preserve">Currently use the </t>
    </r>
    <r>
      <rPr>
        <b/>
        <sz val="10"/>
        <rFont val="Arial"/>
        <family val="2"/>
      </rPr>
      <t>Bill Frequency Analysis - RTS0461</t>
    </r>
    <r>
      <rPr>
        <sz val="10"/>
        <rFont val="Arial"/>
        <family val="0"/>
      </rPr>
      <t xml:space="preserve"> Report </t>
    </r>
  </si>
  <si>
    <t>and Unbilled Revenue Worksheet</t>
  </si>
  <si>
    <t xml:space="preserve">1. Enter revenue amounts from the Control Page of the Bill Frequency Analysis Report </t>
  </si>
  <si>
    <t xml:space="preserve">    for each category in the above CY Billed &amp; Unbilled Revenue table</t>
  </si>
  <si>
    <t xml:space="preserve">2.  Add Net Unbilled Revenue from the Unbilled Revenue Worksheet to the billed amount by </t>
  </si>
  <si>
    <t xml:space="preserve">     customer class</t>
  </si>
  <si>
    <t>3. Copy formulas from the CY 12 months Ending table for the intended month.  Make sure</t>
  </si>
  <si>
    <t xml:space="preserve">     formulas consists of 12 consecutive months</t>
  </si>
  <si>
    <t>PLAN:</t>
  </si>
  <si>
    <t>To write a corvu report for Revenue by customer class</t>
  </si>
  <si>
    <t>Run Corvu report for 14402701-UAS003/UAS060 or MSO964 and total up Credits</t>
  </si>
  <si>
    <t>Insert new line for next month</t>
  </si>
  <si>
    <t>Wait for Carla to finish posting the cash book</t>
  </si>
  <si>
    <t>Writeoff amounts are from a mainframe report: BDC0520 - AR Transferred to Bad Debts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</si>
</sst>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%"/>
    <numFmt numFmtId="172" formatCode="0.0000%"/>
    <numFmt numFmtId="173" formatCode="0.0000"/>
    <numFmt numFmtId="174" formatCode="0.000"/>
    <numFmt numFmtId="175" formatCode="_(* #,##0.00000_);_(* \(#,##0.00000\);_(* &quot;-&quot;??_);_(@_)"/>
    <numFmt numFmtId="176" formatCode="_(* #,##0.000000_);_(* \(#,##0.000000\);_(* &quot;-&quot;??_);_(@_)"/>
    <numFmt numFmtId="177" formatCode="00000"/>
    <numFmt numFmtId="178" formatCode="0.0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0" applyNumberFormat="1" applyFont="1" applyAlignment="1">
      <alignment/>
    </xf>
    <xf numFmtId="43" fontId="3" fillId="0" borderId="2" xfId="15" applyNumberFormat="1" applyFont="1" applyBorder="1" applyAlignment="1">
      <alignment horizontal="center"/>
    </xf>
    <xf numFmtId="43" fontId="3" fillId="0" borderId="6" xfId="15" applyNumberFormat="1" applyFont="1" applyBorder="1" applyAlignment="1">
      <alignment horizontal="center"/>
    </xf>
    <xf numFmtId="43" fontId="3" fillId="0" borderId="3" xfId="15" applyNumberFormat="1" applyFont="1" applyBorder="1" applyAlignment="1">
      <alignment horizontal="center"/>
    </xf>
    <xf numFmtId="1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43" fontId="3" fillId="0" borderId="4" xfId="15" applyNumberFormat="1" applyFont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5" xfId="15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0" fillId="0" borderId="7" xfId="0" applyBorder="1" applyAlignment="1">
      <alignment horizontal="center"/>
    </xf>
    <xf numFmtId="43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/>
    </xf>
    <xf numFmtId="43" fontId="3" fillId="0" borderId="5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17" fontId="3" fillId="0" borderId="10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17" fontId="3" fillId="0" borderId="8" xfId="0" applyNumberFormat="1" applyFont="1" applyBorder="1" applyAlignment="1">
      <alignment/>
    </xf>
    <xf numFmtId="43" fontId="3" fillId="0" borderId="7" xfId="0" applyNumberFormat="1" applyFont="1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43" fontId="0" fillId="0" borderId="11" xfId="15" applyNumberFormat="1" applyBorder="1" applyAlignment="1">
      <alignment/>
    </xf>
    <xf numFmtId="17" fontId="0" fillId="0" borderId="4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3" fontId="5" fillId="0" borderId="0" xfId="15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4" fillId="0" borderId="5" xfId="0" applyNumberFormat="1" applyFont="1" applyBorder="1" applyAlignment="1">
      <alignment/>
    </xf>
    <xf numFmtId="17" fontId="0" fillId="0" borderId="10" xfId="0" applyNumberFormat="1" applyFont="1" applyBorder="1" applyAlignment="1">
      <alignment/>
    </xf>
    <xf numFmtId="43" fontId="0" fillId="0" borderId="1" xfId="0" applyNumberFormat="1" applyFont="1" applyFill="1" applyBorder="1" applyAlignment="1">
      <alignment/>
    </xf>
    <xf numFmtId="43" fontId="0" fillId="0" borderId="1" xfId="15" applyFont="1" applyBorder="1" applyAlignment="1">
      <alignment/>
    </xf>
    <xf numFmtId="43" fontId="5" fillId="0" borderId="1" xfId="15" applyFont="1" applyBorder="1" applyAlignment="1">
      <alignment/>
    </xf>
    <xf numFmtId="0" fontId="3" fillId="0" borderId="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/>
    </xf>
    <xf numFmtId="17" fontId="0" fillId="0" borderId="4" xfId="0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5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0" xfId="15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7" fontId="0" fillId="0" borderId="10" xfId="0" applyNumberFormat="1" applyBorder="1" applyAlignment="1">
      <alignment/>
    </xf>
    <xf numFmtId="43" fontId="0" fillId="0" borderId="4" xfId="0" applyNumberFormat="1" applyBorder="1" applyAlignment="1">
      <alignment/>
    </xf>
    <xf numFmtId="17" fontId="3" fillId="0" borderId="0" xfId="0" applyNumberFormat="1" applyFont="1" applyBorder="1" applyAlignment="1">
      <alignment/>
    </xf>
    <xf numFmtId="43" fontId="3" fillId="0" borderId="5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17" fontId="0" fillId="0" borderId="6" xfId="0" applyNumberFormat="1" applyFont="1" applyBorder="1" applyAlignment="1">
      <alignment/>
    </xf>
    <xf numFmtId="0" fontId="0" fillId="0" borderId="9" xfId="0" applyFill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5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0" fontId="1" fillId="0" borderId="4" xfId="0" applyFont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3" fillId="0" borderId="10" xfId="15" applyNumberFormat="1" applyFont="1" applyBorder="1" applyAlignment="1">
      <alignment horizontal="center"/>
    </xf>
    <xf numFmtId="43" fontId="3" fillId="0" borderId="1" xfId="15" applyNumberFormat="1" applyFont="1" applyBorder="1" applyAlignment="1">
      <alignment horizontal="center"/>
    </xf>
    <xf numFmtId="43" fontId="3" fillId="0" borderId="11" xfId="15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6" xfId="0" applyFont="1" applyBorder="1" applyAlignment="1">
      <alignment/>
    </xf>
    <xf numFmtId="17" fontId="1" fillId="0" borderId="4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3" fontId="3" fillId="2" borderId="0" xfId="15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3" fontId="0" fillId="2" borderId="0" xfId="15" applyFont="1" applyFill="1" applyAlignment="1">
      <alignment/>
    </xf>
    <xf numFmtId="43" fontId="0" fillId="2" borderId="0" xfId="15" applyFill="1" applyAlignment="1">
      <alignment/>
    </xf>
    <xf numFmtId="43" fontId="0" fillId="2" borderId="0" xfId="0" applyNumberFormat="1" applyFont="1" applyFill="1" applyAlignment="1">
      <alignment/>
    </xf>
    <xf numFmtId="43" fontId="0" fillId="2" borderId="0" xfId="15" applyFont="1" applyFill="1" applyAlignment="1">
      <alignment/>
    </xf>
    <xf numFmtId="43" fontId="5" fillId="2" borderId="0" xfId="15" applyFont="1" applyFill="1" applyAlignment="1">
      <alignment/>
    </xf>
    <xf numFmtId="0" fontId="3" fillId="2" borderId="0" xfId="0" applyFont="1" applyFill="1" applyAlignment="1">
      <alignment/>
    </xf>
    <xf numFmtId="43" fontId="3" fillId="2" borderId="4" xfId="15" applyNumberFormat="1" applyFont="1" applyFill="1" applyBorder="1" applyAlignment="1">
      <alignment horizontal="center"/>
    </xf>
    <xf numFmtId="43" fontId="3" fillId="2" borderId="0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9" fontId="0" fillId="0" borderId="0" xfId="21" applyAlignment="1">
      <alignment/>
    </xf>
    <xf numFmtId="4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17" fontId="1" fillId="0" borderId="1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/>
    </xf>
    <xf numFmtId="9" fontId="0" fillId="3" borderId="0" xfId="21" applyFill="1" applyAlignment="1">
      <alignment/>
    </xf>
    <xf numFmtId="17" fontId="0" fillId="0" borderId="1" xfId="0" applyNumberFormat="1" applyBorder="1" applyAlignment="1">
      <alignment/>
    </xf>
    <xf numFmtId="17" fontId="0" fillId="0" borderId="0" xfId="0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3" fillId="0" borderId="1" xfId="0" applyNumberFormat="1" applyFont="1" applyBorder="1" applyAlignment="1">
      <alignment/>
    </xf>
    <xf numFmtId="43" fontId="0" fillId="0" borderId="0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15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Alignment="1">
      <alignment/>
    </xf>
    <xf numFmtId="43" fontId="3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3" fontId="3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3" fillId="0" borderId="7" xfId="0" applyNumberFormat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18"/>
  <sheetViews>
    <sheetView zoomScale="85" zoomScaleNormal="85" workbookViewId="0" topLeftCell="A1">
      <pane xSplit="1" ySplit="3" topLeftCell="B4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J114" sqref="J104:K114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1.57421875" style="0" bestFit="1" customWidth="1"/>
    <col min="4" max="4" width="11.421875" style="0" customWidth="1"/>
    <col min="5" max="5" width="13.140625" style="0" customWidth="1"/>
    <col min="6" max="6" width="4.140625" style="0" customWidth="1"/>
    <col min="7" max="7" width="11.28125" style="0" hidden="1" customWidth="1"/>
    <col min="8" max="9" width="11.57421875" style="0" hidden="1" customWidth="1"/>
    <col min="10" max="10" width="12.00390625" style="0" customWidth="1"/>
    <col min="11" max="11" width="10.28125" style="0" customWidth="1"/>
    <col min="12" max="12" width="11.28125" style="0" customWidth="1"/>
    <col min="13" max="13" width="11.421875" style="0" customWidth="1"/>
    <col min="14" max="14" width="11.00390625" style="0" customWidth="1"/>
  </cols>
  <sheetData>
    <row r="1" spans="1:13" ht="12.75">
      <c r="A1" s="62"/>
      <c r="B1" s="149" t="s">
        <v>15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1:13" ht="21" customHeight="1">
      <c r="A2" s="9"/>
      <c r="B2" s="151" t="s">
        <v>6</v>
      </c>
      <c r="C2" s="151"/>
      <c r="D2" s="151"/>
      <c r="E2" s="10" t="s">
        <v>7</v>
      </c>
      <c r="F2" s="13"/>
      <c r="G2" s="151" t="s">
        <v>4</v>
      </c>
      <c r="H2" s="151"/>
      <c r="I2" s="151"/>
      <c r="J2" s="151" t="s">
        <v>2</v>
      </c>
      <c r="K2" s="151"/>
      <c r="L2" s="151"/>
      <c r="M2" s="65" t="s">
        <v>7</v>
      </c>
    </row>
    <row r="3" spans="1:13" ht="18.75" customHeight="1">
      <c r="A3" s="62"/>
      <c r="B3" s="29" t="s">
        <v>8</v>
      </c>
      <c r="C3" s="29" t="s">
        <v>9</v>
      </c>
      <c r="D3" s="29" t="s">
        <v>3</v>
      </c>
      <c r="E3" s="29" t="s">
        <v>3</v>
      </c>
      <c r="F3" s="33"/>
      <c r="G3" s="62"/>
      <c r="H3" s="29" t="s">
        <v>12</v>
      </c>
      <c r="I3" s="63" t="s">
        <v>13</v>
      </c>
      <c r="J3" s="29" t="s">
        <v>8</v>
      </c>
      <c r="K3" s="29" t="s">
        <v>9</v>
      </c>
      <c r="L3" s="64" t="s">
        <v>3</v>
      </c>
      <c r="M3" s="37" t="s">
        <v>3</v>
      </c>
    </row>
    <row r="4" spans="1:14" s="12" customFormat="1" ht="12.75">
      <c r="A4" s="49">
        <v>37165</v>
      </c>
      <c r="B4" s="50">
        <f>105.99+151.45+112.31+147.68+889.07+447.76+2943.4+34.13+543.8+5.67+179.57+0.04+3.36+1066.44+29.12+149.38+56.85+1017.4+38.96+51.52+220.94+45.85+385.24+65.26-27.66+498.36</f>
        <v>9161.890000000001</v>
      </c>
      <c r="C4" s="50">
        <f>77.55+293.95+2347.64+331.17-205.05+179.18+36.88+513.59</f>
        <v>3574.91</v>
      </c>
      <c r="D4" s="51">
        <f aca="true" t="shared" si="0" ref="D4:D9">B4+C4</f>
        <v>12736.800000000001</v>
      </c>
      <c r="E4" s="52">
        <f>1026.05+11710.75</f>
        <v>12736.8</v>
      </c>
      <c r="F4" s="32"/>
      <c r="G4" s="25"/>
      <c r="H4" s="26"/>
      <c r="I4" s="27"/>
      <c r="J4" s="53">
        <f>12.35+183.87+286.54+15.83+219.6+1737.77+155.79+481.04+62.51+0.08</f>
        <v>3155.38</v>
      </c>
      <c r="K4" s="50">
        <f>7.49+1.8+4.24</f>
        <v>13.530000000000001</v>
      </c>
      <c r="L4" s="51">
        <f aca="true" t="shared" si="1" ref="L4:L9">+J4+K4</f>
        <v>3168.9100000000003</v>
      </c>
      <c r="M4" s="54">
        <f>12.35+3156.56</f>
        <v>3168.91</v>
      </c>
      <c r="N4" s="16"/>
    </row>
    <row r="5" spans="1:14" s="12" customFormat="1" ht="12.75">
      <c r="A5" s="49">
        <v>37196</v>
      </c>
      <c r="B5" s="50">
        <f>17.15+3.95+31.64+559.35+165.34+627.42+209.5+2295.8+7.15+275.5+45.64+81.55+59.2+1063.2+345.78+167.03+87.35+664.57+34.53+8.99+203.43+28.33+257.47+396.5+192.49+892.43</f>
        <v>8721.289999999999</v>
      </c>
      <c r="C5" s="50">
        <f>75.78+291.64+10.19+3309.42+65.87+5.79+362.74+22.92+305.18</f>
        <v>4449.530000000001</v>
      </c>
      <c r="D5" s="51">
        <f t="shared" si="0"/>
        <v>13170.82</v>
      </c>
      <c r="E5" s="52">
        <f>947.36+12223.46</f>
        <v>13170.82</v>
      </c>
      <c r="F5" s="32"/>
      <c r="G5" s="17"/>
      <c r="H5" s="18"/>
      <c r="I5" s="19"/>
      <c r="J5" s="53">
        <f>10.75+309.19+10.41+357.7+389.33+42.28+1.48+595.57+597.73+0.09+84.03</f>
        <v>2398.5600000000004</v>
      </c>
      <c r="K5" s="50">
        <f>83+115.2+53.59</f>
        <v>251.79</v>
      </c>
      <c r="L5" s="51">
        <f t="shared" si="1"/>
        <v>2650.3500000000004</v>
      </c>
      <c r="M5" s="54">
        <f>93.41+2556.94</f>
        <v>2650.35</v>
      </c>
      <c r="N5" s="16"/>
    </row>
    <row r="6" spans="1:14" s="12" customFormat="1" ht="12.75">
      <c r="A6" s="49">
        <v>37226</v>
      </c>
      <c r="B6" s="50">
        <f>209.58+264.96+110.59+531.74+494.53+1428.58+612.76+3524.48+173.1+764.02+77.66+63.91+41.67+14.28+2787.82+18.14+384.12+106.7+1281.85+247.51+348.81+258.25+1053.23+160.8+311.41+67.76+463.16+1929.79</f>
        <v>17731.21</v>
      </c>
      <c r="C6" s="50">
        <f>278.63+412.87+513.45+6185.55+396.35+580.81+886.56+711.85+1090.65</f>
        <v>11056.72</v>
      </c>
      <c r="D6" s="51">
        <f t="shared" si="0"/>
        <v>28787.93</v>
      </c>
      <c r="E6" s="52">
        <f>5018.05+23769.88</f>
        <v>28787.93</v>
      </c>
      <c r="F6" s="32"/>
      <c r="G6" s="17"/>
      <c r="H6" s="18"/>
      <c r="I6" s="19"/>
      <c r="J6" s="53">
        <f>21.47+687.4+510.17+69.36+650.46+46.85+32.21+7.4+193.17+201.75-1</f>
        <v>2419.24</v>
      </c>
      <c r="K6" s="50">
        <f>27.53+225.28+112.93</f>
        <v>365.74</v>
      </c>
      <c r="L6" s="51">
        <f t="shared" si="1"/>
        <v>2784.9799999999996</v>
      </c>
      <c r="M6" s="54">
        <f>241.36+2543.62</f>
        <v>2784.98</v>
      </c>
      <c r="N6" s="16"/>
    </row>
    <row r="7" spans="1:14" s="12" customFormat="1" ht="12.75">
      <c r="A7" s="49">
        <v>37257</v>
      </c>
      <c r="B7" s="50">
        <f>862.77+105.76+1108.02+929.67+2619.51+1055.85+8094.03+622.7+285.31+77.58+1533.42+155.91+686.75+2541.54+18.28+746.23+72.56+110.36+622.15+2659.95+77.27-0.01+918.81+1302.48+780.01+958.29+207.3+1617.28+3627.89</f>
        <v>34397.670000000006</v>
      </c>
      <c r="C7" s="50">
        <f>470.39+1157.35+719.71+8467.32+44.92+1823.76+327.91+2017.9+140.68+4650.92</f>
        <v>19820.86</v>
      </c>
      <c r="D7" s="51">
        <f t="shared" si="0"/>
        <v>54218.530000000006</v>
      </c>
      <c r="E7" s="52">
        <f>10045.29+44173.24</f>
        <v>54218.53</v>
      </c>
      <c r="F7" s="32"/>
      <c r="G7" s="17"/>
      <c r="H7" s="18"/>
      <c r="I7" s="19"/>
      <c r="J7" s="53">
        <f>126.08+111.65+149.43+266.24+104.2+2.1+2247.63+414.59+545.1+43.79+0.2+1035.9+187.19+684.53+0.47+37.81+345.61</f>
        <v>6302.5199999999995</v>
      </c>
      <c r="K7" s="50">
        <f>267.66+2801.99+336.77+1235.45+0.61</f>
        <v>4642.48</v>
      </c>
      <c r="L7" s="51">
        <f t="shared" si="1"/>
        <v>10945</v>
      </c>
      <c r="M7" s="54">
        <f>1626.01+9318.99</f>
        <v>10945</v>
      </c>
      <c r="N7" s="16"/>
    </row>
    <row r="8" spans="1:14" s="12" customFormat="1" ht="12.75">
      <c r="A8" s="49">
        <v>37288</v>
      </c>
      <c r="B8" s="50">
        <f>1076.29+114.94+194.61+1109.75+2886.67+3625.15+2057.06+10022.97+4088.68+1545.56+237.01+1418.33+213.36+448.63+1228.08+6552.24+1824.97+272.32+278.62+68.28+2504.83+296.95+677.72+1524.42+1412.42+1734.27+1004.43+225.09+324.72+6348.85+6197.27</f>
        <v>61514.48999999999</v>
      </c>
      <c r="C8" s="50">
        <f>123.67+2275.01+901.79+10282.44+417.5+3862.55+463.47+3595.28+636.23+4044.89</f>
        <v>26602.829999999998</v>
      </c>
      <c r="D8" s="51">
        <f t="shared" si="0"/>
        <v>88117.31999999999</v>
      </c>
      <c r="E8" s="52">
        <f>24994.3+63123.02</f>
        <v>88117.31999999999</v>
      </c>
      <c r="F8" s="32"/>
      <c r="G8" s="17"/>
      <c r="H8" s="18"/>
      <c r="I8" s="19"/>
      <c r="J8" s="53">
        <f>725.66+491.33+543.29+684.74+686.63+475.98+343.43+216.78+229.76+130.97+1010.59+583.06+193.29+662.73+71.82+2.47+518.11+1798.93</f>
        <v>9369.570000000002</v>
      </c>
      <c r="K8" s="50">
        <f>1131.04+5759.5+14931.71+279.84+938.67</f>
        <v>23040.76</v>
      </c>
      <c r="L8" s="51">
        <f t="shared" si="1"/>
        <v>32410.33</v>
      </c>
      <c r="M8" s="54">
        <f>10825.26+21585.07</f>
        <v>32410.33</v>
      </c>
      <c r="N8" s="16"/>
    </row>
    <row r="9" spans="1:14" s="12" customFormat="1" ht="12.75">
      <c r="A9" s="49">
        <v>37316</v>
      </c>
      <c r="B9" s="50">
        <f>716.61+695.29+260.56+1284.66+2681.17+4174.82+1630.33+11268.9+2084.82+2437.03+1042.21+1657.94+1106.69+6441.21+48.75+886.63+476.17+69.51+1230.89+3950.21+1034.2+364.82+1958.47+2484.64+2905.53+1086.4+93.72+4.71+6902.42+8547.94</f>
        <v>69527.24999999999</v>
      </c>
      <c r="C9" s="50">
        <f>580.33+2180.88+251.31+12482.53+73.13+2816.73+673.63+2818.8+808.82+4769.03</f>
        <v>27455.19</v>
      </c>
      <c r="D9" s="51">
        <f t="shared" si="0"/>
        <v>96982.43999999999</v>
      </c>
      <c r="E9" s="52">
        <f>26559.76+70422.68</f>
        <v>96982.43999999999</v>
      </c>
      <c r="F9" s="32"/>
      <c r="G9" s="17"/>
      <c r="H9" s="18"/>
      <c r="I9" s="19"/>
      <c r="J9" s="53">
        <f>232.84-0.43+365.98+1453.94+830.36+368.35+2.98+48.8+552.03+249.31+760.44+1495.27-2.83</f>
        <v>6357.040000000001</v>
      </c>
      <c r="K9" s="50">
        <f>626.87+1534.45+29.89+42.59+37.04</f>
        <v>2270.84</v>
      </c>
      <c r="L9" s="51">
        <f t="shared" si="1"/>
        <v>8627.880000000001</v>
      </c>
      <c r="M9" s="54">
        <f>4173.96+4453.92</f>
        <v>8627.880000000001</v>
      </c>
      <c r="N9" s="16"/>
    </row>
    <row r="10" spans="1:14" s="12" customFormat="1" ht="12.75">
      <c r="A10" s="49">
        <v>37347</v>
      </c>
      <c r="B10" s="50">
        <f>134438.64-33545.61</f>
        <v>100893.03000000001</v>
      </c>
      <c r="C10" s="50">
        <f>1767.66+1751.5+531.76+18022.66+2001.23+1277.31+2422.89+1815.31+3955.29</f>
        <v>33545.61</v>
      </c>
      <c r="D10" s="51">
        <f aca="true" t="shared" si="2" ref="D10:D17">B10+C10</f>
        <v>134438.64</v>
      </c>
      <c r="E10" s="52">
        <f>47470.78+86967.86</f>
        <v>134438.64</v>
      </c>
      <c r="F10" s="32"/>
      <c r="G10" s="17"/>
      <c r="H10" s="18"/>
      <c r="I10" s="19"/>
      <c r="J10" s="53">
        <f>30260.41-4433.47</f>
        <v>25826.94</v>
      </c>
      <c r="K10" s="50">
        <f>2650.02+5.73+30.21+1259.5+175.7+193.37+118.94</f>
        <v>4433.469999999999</v>
      </c>
      <c r="L10" s="51">
        <f>+J10+K10</f>
        <v>30260.409999999996</v>
      </c>
      <c r="M10" s="54">
        <f>14012.58+16247.83</f>
        <v>30260.41</v>
      </c>
      <c r="N10" s="16"/>
    </row>
    <row r="11" spans="1:14" s="12" customFormat="1" ht="12.75">
      <c r="A11" s="49">
        <v>37377</v>
      </c>
      <c r="B11" s="50">
        <v>83388.7</v>
      </c>
      <c r="C11" s="50">
        <v>39014.85</v>
      </c>
      <c r="D11" s="51">
        <f t="shared" si="2"/>
        <v>122403.54999999999</v>
      </c>
      <c r="E11" s="52">
        <f>36060.05+86343.5</f>
        <v>122403.55</v>
      </c>
      <c r="F11" s="32"/>
      <c r="G11" s="17"/>
      <c r="H11" s="18"/>
      <c r="I11" s="19"/>
      <c r="J11" s="53">
        <v>7007.14</v>
      </c>
      <c r="K11" s="50">
        <v>2010.99</v>
      </c>
      <c r="L11" s="51">
        <f>+J11+K11</f>
        <v>9018.130000000001</v>
      </c>
      <c r="M11" s="54">
        <f>4516.03+4502.1</f>
        <v>9018.130000000001</v>
      </c>
      <c r="N11" s="16"/>
    </row>
    <row r="12" spans="1:14" s="12" customFormat="1" ht="12.75">
      <c r="A12" s="49">
        <v>37408</v>
      </c>
      <c r="B12" s="50">
        <v>47831.7</v>
      </c>
      <c r="C12" s="50">
        <v>23812.51</v>
      </c>
      <c r="D12" s="51">
        <f t="shared" si="2"/>
        <v>71644.20999999999</v>
      </c>
      <c r="E12" s="52">
        <f>15619.16+56025.05</f>
        <v>71644.21</v>
      </c>
      <c r="F12" s="32"/>
      <c r="G12" s="17"/>
      <c r="H12" s="18"/>
      <c r="I12" s="19"/>
      <c r="J12" s="53">
        <v>3316.55</v>
      </c>
      <c r="K12" s="50">
        <v>2789.04</v>
      </c>
      <c r="L12" s="51">
        <f>+J12+K12</f>
        <v>6105.59</v>
      </c>
      <c r="M12" s="54">
        <f>923.9+5181.69</f>
        <v>6105.589999999999</v>
      </c>
      <c r="N12" s="16"/>
    </row>
    <row r="13" spans="1:14" s="12" customFormat="1" ht="12.75">
      <c r="A13" s="49">
        <v>37438</v>
      </c>
      <c r="B13" s="50">
        <v>46780.01</v>
      </c>
      <c r="C13" s="50">
        <v>7109.75</v>
      </c>
      <c r="D13" s="51">
        <f t="shared" si="2"/>
        <v>53889.76</v>
      </c>
      <c r="E13" s="52">
        <f>9912.91+43976.85</f>
        <v>53889.759999999995</v>
      </c>
      <c r="F13" s="32"/>
      <c r="G13" s="17"/>
      <c r="H13" s="18"/>
      <c r="I13" s="19"/>
      <c r="J13" s="53">
        <f>6818.97</f>
        <v>6818.97</v>
      </c>
      <c r="K13" s="50">
        <v>2500.41</v>
      </c>
      <c r="L13" s="51">
        <f>+J13+K13</f>
        <v>9319.380000000001</v>
      </c>
      <c r="M13" s="54">
        <f>2618.25+6701.13</f>
        <v>9319.380000000001</v>
      </c>
      <c r="N13" s="16"/>
    </row>
    <row r="14" spans="1:14" s="12" customFormat="1" ht="12.75">
      <c r="A14" s="49">
        <v>37469</v>
      </c>
      <c r="B14" s="53">
        <v>23787.86</v>
      </c>
      <c r="C14" s="53">
        <v>11374.24</v>
      </c>
      <c r="D14" s="51">
        <f t="shared" si="2"/>
        <v>35162.1</v>
      </c>
      <c r="E14" s="52">
        <f>4193.25+30968.85</f>
        <v>35162.1</v>
      </c>
      <c r="F14" s="32"/>
      <c r="G14" s="17"/>
      <c r="H14" s="18"/>
      <c r="I14" s="19"/>
      <c r="J14" s="53">
        <v>7742.04</v>
      </c>
      <c r="K14" s="50">
        <v>2200.21</v>
      </c>
      <c r="L14" s="51">
        <f>+J14+K14</f>
        <v>9942.25</v>
      </c>
      <c r="M14" s="54">
        <f>678.78+9263.47</f>
        <v>9942.25</v>
      </c>
      <c r="N14" s="16"/>
    </row>
    <row r="15" spans="1:14" s="12" customFormat="1" ht="12.75">
      <c r="A15" s="49">
        <v>37500</v>
      </c>
      <c r="B15" s="53">
        <v>12045.51</v>
      </c>
      <c r="C15" s="53">
        <v>6489.05</v>
      </c>
      <c r="D15" s="51">
        <f t="shared" si="2"/>
        <v>18534.56</v>
      </c>
      <c r="E15" s="52">
        <f>2528.36+16006.2</f>
        <v>18534.56</v>
      </c>
      <c r="F15" s="32"/>
      <c r="G15" s="17"/>
      <c r="H15" s="18"/>
      <c r="I15" s="19"/>
      <c r="J15" s="53">
        <v>2039.93</v>
      </c>
      <c r="K15" s="53">
        <v>72.23</v>
      </c>
      <c r="L15" s="51">
        <f aca="true" t="shared" si="3" ref="L15:L21">K15+J15</f>
        <v>2112.16</v>
      </c>
      <c r="M15" s="54">
        <f>736.16+1376</f>
        <v>2112.16</v>
      </c>
      <c r="N15" s="16"/>
    </row>
    <row r="16" spans="1:14" s="12" customFormat="1" ht="12.75">
      <c r="A16" s="49">
        <v>37530</v>
      </c>
      <c r="B16" s="53">
        <v>11837.37</v>
      </c>
      <c r="C16" s="53">
        <v>6509.15</v>
      </c>
      <c r="D16" s="51">
        <f t="shared" si="2"/>
        <v>18346.52</v>
      </c>
      <c r="E16" s="52">
        <f>2103.55+16242.97</f>
        <v>18346.52</v>
      </c>
      <c r="F16" s="32"/>
      <c r="G16" s="17"/>
      <c r="H16" s="18"/>
      <c r="I16" s="19"/>
      <c r="J16" s="53">
        <v>9588.49</v>
      </c>
      <c r="K16" s="53">
        <v>202.9</v>
      </c>
      <c r="L16" s="51">
        <f t="shared" si="3"/>
        <v>9791.39</v>
      </c>
      <c r="M16" s="54">
        <f>177.25+9614.14</f>
        <v>9791.39</v>
      </c>
      <c r="N16" s="16"/>
    </row>
    <row r="17" spans="1:14" s="12" customFormat="1" ht="12.75">
      <c r="A17" s="49">
        <v>37561</v>
      </c>
      <c r="B17" s="53">
        <v>9532.75</v>
      </c>
      <c r="C17" s="53">
        <v>6998.46</v>
      </c>
      <c r="D17" s="51">
        <f t="shared" si="2"/>
        <v>16531.21</v>
      </c>
      <c r="E17" s="52">
        <v>16531.21</v>
      </c>
      <c r="F17" s="32"/>
      <c r="G17" s="17"/>
      <c r="H17" s="18"/>
      <c r="I17" s="19"/>
      <c r="J17" s="53">
        <v>1243.76</v>
      </c>
      <c r="K17" s="53">
        <v>1777.58</v>
      </c>
      <c r="L17" s="51">
        <f t="shared" si="3"/>
        <v>3021.34</v>
      </c>
      <c r="M17" s="54">
        <f>177.25+9614.14</f>
        <v>9791.39</v>
      </c>
      <c r="N17" s="16"/>
    </row>
    <row r="18" spans="1:14" s="12" customFormat="1" ht="12.75">
      <c r="A18" s="49">
        <v>37591</v>
      </c>
      <c r="B18" s="53">
        <v>20397.16</v>
      </c>
      <c r="C18" s="53">
        <v>10847.4</v>
      </c>
      <c r="D18" s="51">
        <f aca="true" t="shared" si="4" ref="D18:D30">B18+C18</f>
        <v>31244.559999999998</v>
      </c>
      <c r="E18" s="52">
        <v>31244.56</v>
      </c>
      <c r="F18" s="32"/>
      <c r="G18" s="26"/>
      <c r="H18" s="26"/>
      <c r="I18" s="26"/>
      <c r="J18" s="53">
        <v>4494.59</v>
      </c>
      <c r="K18" s="53">
        <v>2498.89</v>
      </c>
      <c r="L18" s="51">
        <f t="shared" si="3"/>
        <v>6993.48</v>
      </c>
      <c r="M18" s="54">
        <v>6993.48</v>
      </c>
      <c r="N18" s="16"/>
    </row>
    <row r="19" spans="1:14" s="12" customFormat="1" ht="12.75">
      <c r="A19" s="49">
        <v>37622</v>
      </c>
      <c r="B19" s="53">
        <v>51629.2</v>
      </c>
      <c r="C19" s="53">
        <v>20823.48</v>
      </c>
      <c r="D19" s="51">
        <f t="shared" si="4"/>
        <v>72452.68</v>
      </c>
      <c r="E19" s="52">
        <v>72452.68</v>
      </c>
      <c r="F19" s="32"/>
      <c r="G19" s="26"/>
      <c r="H19" s="26"/>
      <c r="I19" s="26"/>
      <c r="J19" s="53">
        <v>13960.19</v>
      </c>
      <c r="K19" s="53">
        <v>3989.7</v>
      </c>
      <c r="L19" s="51">
        <f t="shared" si="3"/>
        <v>17949.89</v>
      </c>
      <c r="M19" s="54">
        <v>17949.89</v>
      </c>
      <c r="N19" s="16"/>
    </row>
    <row r="20" spans="1:14" s="12" customFormat="1" ht="12.75">
      <c r="A20" s="49">
        <v>37653</v>
      </c>
      <c r="B20" s="53">
        <v>68366.09</v>
      </c>
      <c r="C20" s="53">
        <v>25363.84</v>
      </c>
      <c r="D20" s="51">
        <f t="shared" si="4"/>
        <v>93729.93</v>
      </c>
      <c r="E20" s="52">
        <v>93729.93</v>
      </c>
      <c r="F20" s="32"/>
      <c r="G20" s="26"/>
      <c r="H20" s="26"/>
      <c r="I20" s="26"/>
      <c r="J20" s="53">
        <v>11991.22</v>
      </c>
      <c r="K20" s="53">
        <v>7989.32</v>
      </c>
      <c r="L20" s="51">
        <f t="shared" si="3"/>
        <v>19980.54</v>
      </c>
      <c r="M20" s="54">
        <v>19980.54</v>
      </c>
      <c r="N20" s="16"/>
    </row>
    <row r="21" spans="1:14" s="12" customFormat="1" ht="12.75">
      <c r="A21" s="49">
        <v>37681</v>
      </c>
      <c r="B21" s="53">
        <v>72834.53</v>
      </c>
      <c r="C21" s="53">
        <v>32870.03</v>
      </c>
      <c r="D21" s="51">
        <f t="shared" si="4"/>
        <v>105704.56</v>
      </c>
      <c r="E21" s="52">
        <v>105704.56</v>
      </c>
      <c r="F21" s="32"/>
      <c r="G21" s="26"/>
      <c r="H21" s="26"/>
      <c r="I21" s="26"/>
      <c r="J21" s="53">
        <v>18731.75</v>
      </c>
      <c r="K21" s="53">
        <v>3189.65</v>
      </c>
      <c r="L21" s="51">
        <f t="shared" si="3"/>
        <v>21921.4</v>
      </c>
      <c r="M21" s="54">
        <v>21921.4</v>
      </c>
      <c r="N21" s="16"/>
    </row>
    <row r="22" spans="1:14" s="12" customFormat="1" ht="12.75">
      <c r="A22" s="49">
        <v>37714</v>
      </c>
      <c r="B22" s="53">
        <v>84337.84</v>
      </c>
      <c r="C22" s="53">
        <v>42217.46</v>
      </c>
      <c r="D22" s="51">
        <f t="shared" si="4"/>
        <v>126555.29999999999</v>
      </c>
      <c r="E22" s="52">
        <v>105704.56</v>
      </c>
      <c r="F22" s="32"/>
      <c r="G22" s="26"/>
      <c r="H22" s="26"/>
      <c r="I22" s="26"/>
      <c r="J22" s="53">
        <v>23251.09</v>
      </c>
      <c r="K22" s="53">
        <v>8600.85</v>
      </c>
      <c r="L22" s="51">
        <f aca="true" t="shared" si="5" ref="L22:L30">K22+J22</f>
        <v>31851.940000000002</v>
      </c>
      <c r="M22" s="54">
        <v>21921.4</v>
      </c>
      <c r="N22" s="16"/>
    </row>
    <row r="23" spans="1:14" s="12" customFormat="1" ht="12.75">
      <c r="A23" s="49">
        <v>37744</v>
      </c>
      <c r="B23" s="53">
        <v>84047.4</v>
      </c>
      <c r="C23" s="53">
        <v>41209.81</v>
      </c>
      <c r="D23" s="51">
        <f t="shared" si="4"/>
        <v>125257.20999999999</v>
      </c>
      <c r="E23" s="52">
        <v>105704.56</v>
      </c>
      <c r="F23" s="32"/>
      <c r="G23" s="26"/>
      <c r="H23" s="26"/>
      <c r="I23" s="26"/>
      <c r="J23" s="53">
        <v>7881.33</v>
      </c>
      <c r="K23" s="53">
        <v>1893.19</v>
      </c>
      <c r="L23" s="51">
        <f t="shared" si="5"/>
        <v>9774.52</v>
      </c>
      <c r="M23" s="54">
        <v>9774.52</v>
      </c>
      <c r="N23" s="16"/>
    </row>
    <row r="24" spans="1:14" s="12" customFormat="1" ht="12.75">
      <c r="A24" s="49">
        <v>37775</v>
      </c>
      <c r="B24" s="53">
        <v>51292.39</v>
      </c>
      <c r="C24" s="53">
        <v>24780.04</v>
      </c>
      <c r="D24" s="51">
        <f t="shared" si="4"/>
        <v>76072.43</v>
      </c>
      <c r="E24" s="52">
        <v>76072.43</v>
      </c>
      <c r="F24" s="32"/>
      <c r="G24" s="26"/>
      <c r="H24" s="26"/>
      <c r="I24" s="26"/>
      <c r="J24" s="53">
        <v>5850.79</v>
      </c>
      <c r="K24" s="53">
        <v>879.32</v>
      </c>
      <c r="L24" s="51">
        <f t="shared" si="5"/>
        <v>6730.11</v>
      </c>
      <c r="M24" s="54">
        <v>6730.11</v>
      </c>
      <c r="N24" s="16"/>
    </row>
    <row r="25" spans="1:14" s="12" customFormat="1" ht="12.75">
      <c r="A25" s="49">
        <v>37805</v>
      </c>
      <c r="B25" s="53">
        <v>30750</v>
      </c>
      <c r="C25" s="53">
        <v>14537.62</v>
      </c>
      <c r="D25" s="51">
        <f t="shared" si="4"/>
        <v>45287.62</v>
      </c>
      <c r="E25" s="52">
        <v>45287.62</v>
      </c>
      <c r="F25" s="32"/>
      <c r="G25" s="26"/>
      <c r="H25" s="26"/>
      <c r="I25" s="26"/>
      <c r="J25" s="53">
        <v>5916.59</v>
      </c>
      <c r="K25" s="53">
        <v>792.37</v>
      </c>
      <c r="L25" s="51">
        <f t="shared" si="5"/>
        <v>6708.96</v>
      </c>
      <c r="M25" s="54">
        <v>6708.96</v>
      </c>
      <c r="N25" s="16"/>
    </row>
    <row r="26" spans="1:14" s="12" customFormat="1" ht="12.75">
      <c r="A26" s="49">
        <v>37836</v>
      </c>
      <c r="B26" s="53">
        <v>16524.84</v>
      </c>
      <c r="C26" s="53">
        <v>12101.31</v>
      </c>
      <c r="D26" s="51">
        <f t="shared" si="4"/>
        <v>28626.15</v>
      </c>
      <c r="E26" s="52">
        <v>28626.15</v>
      </c>
      <c r="F26" s="32"/>
      <c r="G26" s="26"/>
      <c r="H26" s="26"/>
      <c r="I26" s="26"/>
      <c r="J26" s="53">
        <v>6481.61</v>
      </c>
      <c r="K26" s="53">
        <v>1375.99</v>
      </c>
      <c r="L26" s="51">
        <f t="shared" si="5"/>
        <v>7857.599999999999</v>
      </c>
      <c r="M26" s="54">
        <v>7857.6</v>
      </c>
      <c r="N26" s="16"/>
    </row>
    <row r="27" spans="1:14" s="12" customFormat="1" ht="12.75">
      <c r="A27" s="49">
        <v>37867</v>
      </c>
      <c r="B27" s="53">
        <v>10643.57</v>
      </c>
      <c r="C27" s="53">
        <v>4778.58</v>
      </c>
      <c r="D27" s="51">
        <f t="shared" si="4"/>
        <v>15422.15</v>
      </c>
      <c r="E27" s="52">
        <v>15422.15</v>
      </c>
      <c r="F27" s="32"/>
      <c r="G27" s="26"/>
      <c r="H27" s="26"/>
      <c r="I27" s="26"/>
      <c r="J27" s="53">
        <v>1912.01</v>
      </c>
      <c r="K27" s="53">
        <v>495.58</v>
      </c>
      <c r="L27" s="51">
        <f t="shared" si="5"/>
        <v>2407.59</v>
      </c>
      <c r="M27" s="54">
        <v>2407.59</v>
      </c>
      <c r="N27" s="16"/>
    </row>
    <row r="28" spans="1:14" s="12" customFormat="1" ht="12.75">
      <c r="A28" s="49">
        <v>37897</v>
      </c>
      <c r="B28" s="53">
        <v>8279.97</v>
      </c>
      <c r="C28" s="53">
        <v>14979.49</v>
      </c>
      <c r="D28" s="51">
        <f t="shared" si="4"/>
        <v>23259.46</v>
      </c>
      <c r="E28" s="52">
        <v>23259.46</v>
      </c>
      <c r="F28" s="32"/>
      <c r="G28" s="26"/>
      <c r="H28" s="26"/>
      <c r="I28" s="26"/>
      <c r="J28" s="53">
        <v>5718.89</v>
      </c>
      <c r="K28" s="53">
        <v>321.33</v>
      </c>
      <c r="L28" s="51">
        <f t="shared" si="5"/>
        <v>6040.22</v>
      </c>
      <c r="M28" s="54">
        <v>6040.22</v>
      </c>
      <c r="N28" s="16"/>
    </row>
    <row r="29" spans="1:14" s="12" customFormat="1" ht="12.75">
      <c r="A29" s="49">
        <v>37928</v>
      </c>
      <c r="B29" s="53">
        <v>12139.21</v>
      </c>
      <c r="C29" s="53">
        <v>6805.24</v>
      </c>
      <c r="D29" s="51">
        <f t="shared" si="4"/>
        <v>18944.449999999997</v>
      </c>
      <c r="E29" s="52">
        <v>18944.45</v>
      </c>
      <c r="F29" s="32"/>
      <c r="G29" s="26"/>
      <c r="H29" s="26"/>
      <c r="I29" s="26"/>
      <c r="J29" s="53">
        <v>2700.67</v>
      </c>
      <c r="K29" s="53">
        <v>610.98</v>
      </c>
      <c r="L29" s="51">
        <f t="shared" si="5"/>
        <v>3311.65</v>
      </c>
      <c r="M29" s="54">
        <v>3311.65</v>
      </c>
      <c r="N29" s="16"/>
    </row>
    <row r="30" spans="1:14" s="12" customFormat="1" ht="12.75">
      <c r="A30" s="49">
        <v>37958</v>
      </c>
      <c r="B30" s="53">
        <f>23397.26+4618.66</f>
        <v>28015.92</v>
      </c>
      <c r="C30" s="53">
        <v>13951.36</v>
      </c>
      <c r="D30" s="51">
        <f t="shared" si="4"/>
        <v>41967.28</v>
      </c>
      <c r="E30" s="52">
        <v>41967.28</v>
      </c>
      <c r="F30" s="32"/>
      <c r="G30" s="26"/>
      <c r="H30" s="26"/>
      <c r="I30" s="26"/>
      <c r="J30" s="53">
        <v>5341.91</v>
      </c>
      <c r="K30" s="53">
        <v>646.64</v>
      </c>
      <c r="L30" s="51">
        <f t="shared" si="5"/>
        <v>5988.55</v>
      </c>
      <c r="M30" s="54">
        <v>5988.55</v>
      </c>
      <c r="N30" s="16"/>
    </row>
    <row r="31" spans="1:14" s="12" customFormat="1" ht="12.75">
      <c r="A31" s="49">
        <v>37989</v>
      </c>
      <c r="B31" s="53">
        <v>35955.61</v>
      </c>
      <c r="C31" s="53">
        <v>13869.88</v>
      </c>
      <c r="D31" s="51">
        <f aca="true" t="shared" si="6" ref="D31:D37">B31+C31</f>
        <v>49825.49</v>
      </c>
      <c r="E31" s="52">
        <v>49825.49</v>
      </c>
      <c r="F31" s="32"/>
      <c r="G31" s="26"/>
      <c r="H31" s="26"/>
      <c r="I31" s="26"/>
      <c r="J31" s="53">
        <v>6769.25</v>
      </c>
      <c r="K31" s="53">
        <v>1545.83</v>
      </c>
      <c r="L31" s="51">
        <f aca="true" t="shared" si="7" ref="L31:L39">K31+J31</f>
        <v>8315.08</v>
      </c>
      <c r="M31" s="54">
        <v>8315.08</v>
      </c>
      <c r="N31" s="16"/>
    </row>
    <row r="32" spans="1:14" s="12" customFormat="1" ht="12.75">
      <c r="A32" s="49">
        <v>38020</v>
      </c>
      <c r="B32" s="53">
        <v>56533.45</v>
      </c>
      <c r="C32" s="53">
        <v>23462.87</v>
      </c>
      <c r="D32" s="138">
        <f t="shared" si="6"/>
        <v>79996.31999999999</v>
      </c>
      <c r="E32" s="139">
        <v>79996.32</v>
      </c>
      <c r="F32" s="140"/>
      <c r="G32" s="141"/>
      <c r="H32" s="141"/>
      <c r="I32" s="141"/>
      <c r="J32" s="53">
        <v>10167.66</v>
      </c>
      <c r="K32" s="53">
        <v>6344.4</v>
      </c>
      <c r="L32" s="138">
        <f t="shared" si="7"/>
        <v>16512.059999999998</v>
      </c>
      <c r="M32" s="142">
        <v>16512.06</v>
      </c>
      <c r="N32" s="16"/>
    </row>
    <row r="33" spans="1:14" s="12" customFormat="1" ht="12.75">
      <c r="A33" s="49">
        <v>38049</v>
      </c>
      <c r="B33" s="53">
        <v>76479.81</v>
      </c>
      <c r="C33" s="53">
        <v>39512.69</v>
      </c>
      <c r="D33" s="138">
        <f t="shared" si="6"/>
        <v>115992.5</v>
      </c>
      <c r="E33" s="139">
        <f>D33</f>
        <v>115992.5</v>
      </c>
      <c r="F33" s="140"/>
      <c r="G33" s="141"/>
      <c r="H33" s="141"/>
      <c r="I33" s="141"/>
      <c r="J33" s="53">
        <f>20557.03+38.16</f>
        <v>20595.19</v>
      </c>
      <c r="K33" s="53">
        <v>9929.63</v>
      </c>
      <c r="L33" s="138">
        <f t="shared" si="7"/>
        <v>30524.82</v>
      </c>
      <c r="M33" s="142">
        <f>L33</f>
        <v>30524.82</v>
      </c>
      <c r="N33" s="16"/>
    </row>
    <row r="34" spans="1:14" s="12" customFormat="1" ht="12.75">
      <c r="A34" s="49">
        <v>38080</v>
      </c>
      <c r="B34" s="53">
        <v>64195.6</v>
      </c>
      <c r="C34" s="53">
        <v>26884.32</v>
      </c>
      <c r="D34" s="138">
        <f t="shared" si="6"/>
        <v>91079.92</v>
      </c>
      <c r="E34" s="139">
        <v>91079.92</v>
      </c>
      <c r="F34" s="140"/>
      <c r="G34" s="141"/>
      <c r="H34" s="141"/>
      <c r="I34" s="141"/>
      <c r="J34" s="53">
        <v>9752.12</v>
      </c>
      <c r="K34" s="53">
        <v>4322.66</v>
      </c>
      <c r="L34" s="138">
        <f t="shared" si="7"/>
        <v>14074.78</v>
      </c>
      <c r="M34" s="142">
        <v>14074.78</v>
      </c>
      <c r="N34" s="16"/>
    </row>
    <row r="35" spans="1:14" s="12" customFormat="1" ht="12.75">
      <c r="A35" s="49">
        <v>38110</v>
      </c>
      <c r="B35" s="53">
        <v>52167.38</v>
      </c>
      <c r="C35" s="53">
        <v>26968.55</v>
      </c>
      <c r="D35" s="138">
        <f t="shared" si="6"/>
        <v>79135.93</v>
      </c>
      <c r="E35" s="139">
        <v>79135.93</v>
      </c>
      <c r="F35" s="140"/>
      <c r="G35" s="141"/>
      <c r="H35" s="141"/>
      <c r="I35" s="141"/>
      <c r="J35" s="53">
        <f>7209.15+34952.93</f>
        <v>42162.08</v>
      </c>
      <c r="K35" s="53">
        <f>2130.88+86.6</f>
        <v>2217.48</v>
      </c>
      <c r="L35" s="138">
        <f t="shared" si="7"/>
        <v>44379.560000000005</v>
      </c>
      <c r="M35" s="142">
        <v>44379.56</v>
      </c>
      <c r="N35" s="16"/>
    </row>
    <row r="36" spans="1:14" s="12" customFormat="1" ht="12.75">
      <c r="A36" s="49">
        <v>38141</v>
      </c>
      <c r="B36" s="53">
        <v>36022.94</v>
      </c>
      <c r="C36" s="53">
        <v>23351.26</v>
      </c>
      <c r="D36" s="138">
        <f t="shared" si="6"/>
        <v>59374.2</v>
      </c>
      <c r="E36" s="139">
        <v>59374.2</v>
      </c>
      <c r="F36" s="140"/>
      <c r="G36" s="141"/>
      <c r="H36" s="141"/>
      <c r="I36" s="141"/>
      <c r="J36" s="53">
        <v>4664.88</v>
      </c>
      <c r="K36" s="53">
        <v>4708.68</v>
      </c>
      <c r="L36" s="138">
        <f t="shared" si="7"/>
        <v>9373.560000000001</v>
      </c>
      <c r="M36" s="142">
        <v>9373.56</v>
      </c>
      <c r="N36" s="16"/>
    </row>
    <row r="37" spans="1:14" s="12" customFormat="1" ht="12.75">
      <c r="A37" s="49">
        <v>38171</v>
      </c>
      <c r="B37" s="53">
        <v>21983.19</v>
      </c>
      <c r="C37" s="53">
        <v>16907.13</v>
      </c>
      <c r="D37" s="138">
        <f t="shared" si="6"/>
        <v>38890.32</v>
      </c>
      <c r="E37" s="139">
        <v>38890.32</v>
      </c>
      <c r="F37" s="140"/>
      <c r="G37" s="141"/>
      <c r="H37" s="141"/>
      <c r="I37" s="141"/>
      <c r="J37" s="135">
        <v>8350.8</v>
      </c>
      <c r="K37" s="53">
        <v>8349.1</v>
      </c>
      <c r="L37" s="138">
        <f t="shared" si="7"/>
        <v>16699.9</v>
      </c>
      <c r="M37" s="142">
        <v>16699.9</v>
      </c>
      <c r="N37" s="16"/>
    </row>
    <row r="38" spans="1:14" s="12" customFormat="1" ht="12.75">
      <c r="A38" s="49">
        <v>38202</v>
      </c>
      <c r="B38" s="53">
        <v>16780.72</v>
      </c>
      <c r="C38" s="53">
        <v>13896.87</v>
      </c>
      <c r="D38" s="138">
        <f aca="true" t="shared" si="8" ref="D38:D43">B38+C38</f>
        <v>30677.590000000004</v>
      </c>
      <c r="E38" s="139">
        <v>30677.59</v>
      </c>
      <c r="F38" s="140"/>
      <c r="G38" s="141"/>
      <c r="H38" s="141"/>
      <c r="I38" s="141"/>
      <c r="J38" s="135">
        <v>3399.4</v>
      </c>
      <c r="K38" s="53">
        <v>70.01</v>
      </c>
      <c r="L38" s="138">
        <f t="shared" si="7"/>
        <v>3469.4100000000003</v>
      </c>
      <c r="M38" s="142">
        <v>3469.41</v>
      </c>
      <c r="N38" s="16"/>
    </row>
    <row r="39" spans="1:14" s="12" customFormat="1" ht="12.75">
      <c r="A39" s="49">
        <v>38233</v>
      </c>
      <c r="B39" s="53">
        <v>15585.89</v>
      </c>
      <c r="C39" s="53">
        <v>5215.22</v>
      </c>
      <c r="D39" s="138">
        <f t="shared" si="8"/>
        <v>20801.11</v>
      </c>
      <c r="E39" s="139">
        <v>20801.11</v>
      </c>
      <c r="F39" s="140"/>
      <c r="G39" s="141"/>
      <c r="H39" s="141"/>
      <c r="I39" s="141"/>
      <c r="J39" s="135">
        <v>3594.57</v>
      </c>
      <c r="K39" s="53">
        <v>1194.83</v>
      </c>
      <c r="L39" s="138">
        <f t="shared" si="7"/>
        <v>4789.4</v>
      </c>
      <c r="M39" s="142">
        <v>4789.4</v>
      </c>
      <c r="N39" s="16"/>
    </row>
    <row r="40" spans="1:14" s="12" customFormat="1" ht="12.75">
      <c r="A40" s="49">
        <v>38263</v>
      </c>
      <c r="B40" s="53">
        <v>7625.36</v>
      </c>
      <c r="C40" s="53">
        <v>3316.16</v>
      </c>
      <c r="D40" s="138">
        <f t="shared" si="8"/>
        <v>10941.52</v>
      </c>
      <c r="E40" s="139">
        <v>10941.52</v>
      </c>
      <c r="F40" s="140"/>
      <c r="G40" s="141"/>
      <c r="H40" s="141"/>
      <c r="I40" s="141"/>
      <c r="J40" s="135">
        <v>7168.32</v>
      </c>
      <c r="K40" s="53">
        <v>868.85</v>
      </c>
      <c r="L40" s="138">
        <f aca="true" t="shared" si="9" ref="L40:L45">K40+J40</f>
        <v>8037.17</v>
      </c>
      <c r="M40" s="142">
        <v>8037.17</v>
      </c>
      <c r="N40" s="16"/>
    </row>
    <row r="41" spans="1:14" s="12" customFormat="1" ht="12.75">
      <c r="A41" s="49">
        <v>38294</v>
      </c>
      <c r="B41" s="53">
        <v>7878.61</v>
      </c>
      <c r="C41" s="53">
        <v>4113.78</v>
      </c>
      <c r="D41" s="138">
        <f t="shared" si="8"/>
        <v>11992.39</v>
      </c>
      <c r="E41" s="139">
        <v>11992.39</v>
      </c>
      <c r="F41" s="140"/>
      <c r="G41" s="141"/>
      <c r="H41" s="141"/>
      <c r="I41" s="141"/>
      <c r="J41" s="135">
        <f>2168.4+517.61</f>
        <v>2686.01</v>
      </c>
      <c r="K41" s="53">
        <v>27.75</v>
      </c>
      <c r="L41" s="138">
        <f t="shared" si="9"/>
        <v>2713.76</v>
      </c>
      <c r="M41" s="142">
        <v>2713.76</v>
      </c>
      <c r="N41" s="16"/>
    </row>
    <row r="42" spans="1:14" s="12" customFormat="1" ht="12.75">
      <c r="A42" s="49">
        <v>38324</v>
      </c>
      <c r="B42" s="53">
        <v>25421.63</v>
      </c>
      <c r="C42" s="53">
        <v>12148.98</v>
      </c>
      <c r="D42" s="138">
        <f t="shared" si="8"/>
        <v>37570.61</v>
      </c>
      <c r="E42" s="139">
        <v>37570.61</v>
      </c>
      <c r="F42" s="140"/>
      <c r="G42" s="141"/>
      <c r="H42" s="141"/>
      <c r="I42" s="141"/>
      <c r="J42" s="135">
        <v>11695</v>
      </c>
      <c r="K42" s="53">
        <v>1511.83</v>
      </c>
      <c r="L42" s="138">
        <f t="shared" si="9"/>
        <v>13206.83</v>
      </c>
      <c r="M42" s="142">
        <v>13206.83</v>
      </c>
      <c r="N42" s="16"/>
    </row>
    <row r="43" spans="1:14" s="12" customFormat="1" ht="12.75">
      <c r="A43" s="49">
        <v>38355</v>
      </c>
      <c r="B43" s="53">
        <v>37050.73</v>
      </c>
      <c r="C43" s="53">
        <v>21515.61</v>
      </c>
      <c r="D43" s="138">
        <f t="shared" si="8"/>
        <v>58566.340000000004</v>
      </c>
      <c r="E43" s="139">
        <v>58566.34</v>
      </c>
      <c r="F43" s="140"/>
      <c r="G43" s="141"/>
      <c r="H43" s="141"/>
      <c r="I43" s="141"/>
      <c r="J43" s="135">
        <v>101616.81</v>
      </c>
      <c r="K43" s="53">
        <v>7694.56</v>
      </c>
      <c r="L43" s="138">
        <f t="shared" si="9"/>
        <v>109311.37</v>
      </c>
      <c r="M43" s="142">
        <v>109311.37</v>
      </c>
      <c r="N43" s="16"/>
    </row>
    <row r="44" spans="1:14" s="12" customFormat="1" ht="12.75">
      <c r="A44" s="49">
        <v>38386</v>
      </c>
      <c r="B44" s="53">
        <v>70744.86</v>
      </c>
      <c r="C44" s="53">
        <v>29930.6</v>
      </c>
      <c r="D44" s="138">
        <f aca="true" t="shared" si="10" ref="D44:D49">B44+C44</f>
        <v>100675.45999999999</v>
      </c>
      <c r="E44" s="139">
        <v>100675.46</v>
      </c>
      <c r="F44" s="140"/>
      <c r="G44" s="141"/>
      <c r="H44" s="141"/>
      <c r="I44" s="141"/>
      <c r="J44" s="135">
        <v>24913.42</v>
      </c>
      <c r="K44" s="53">
        <v>3452.37</v>
      </c>
      <c r="L44" s="138">
        <f t="shared" si="9"/>
        <v>28365.789999999997</v>
      </c>
      <c r="M44" s="142">
        <v>28365.79</v>
      </c>
      <c r="N44" s="16"/>
    </row>
    <row r="45" spans="1:14" s="12" customFormat="1" ht="12.75">
      <c r="A45" s="49">
        <v>38414</v>
      </c>
      <c r="B45" s="53">
        <v>114441.47</v>
      </c>
      <c r="C45" s="53">
        <v>35085.88</v>
      </c>
      <c r="D45" s="138">
        <f t="shared" si="10"/>
        <v>149527.35</v>
      </c>
      <c r="E45" s="139">
        <v>149527.35</v>
      </c>
      <c r="F45" s="140"/>
      <c r="G45" s="141"/>
      <c r="H45" s="141"/>
      <c r="I45" s="141"/>
      <c r="J45" s="135">
        <v>31363.54</v>
      </c>
      <c r="K45" s="53">
        <v>7290.12</v>
      </c>
      <c r="L45" s="138">
        <f t="shared" si="9"/>
        <v>38653.66</v>
      </c>
      <c r="M45" s="142">
        <v>38653.66</v>
      </c>
      <c r="N45" s="16"/>
    </row>
    <row r="46" spans="1:14" s="12" customFormat="1" ht="12.75">
      <c r="A46" s="49">
        <v>38445</v>
      </c>
      <c r="B46" s="53">
        <v>94908.9</v>
      </c>
      <c r="C46" s="53">
        <v>37130.55</v>
      </c>
      <c r="D46" s="138">
        <f t="shared" si="10"/>
        <v>132039.45</v>
      </c>
      <c r="E46" s="139">
        <v>132039.45</v>
      </c>
      <c r="F46" s="140"/>
      <c r="G46" s="141"/>
      <c r="H46" s="141"/>
      <c r="I46" s="141"/>
      <c r="J46" s="135">
        <v>17598.37</v>
      </c>
      <c r="K46" s="53">
        <v>5750.03</v>
      </c>
      <c r="L46" s="138">
        <f aca="true" t="shared" si="11" ref="L46:L53">K46+J46</f>
        <v>23348.399999999998</v>
      </c>
      <c r="M46" s="142">
        <v>23348.4</v>
      </c>
      <c r="N46" s="16"/>
    </row>
    <row r="47" spans="1:14" s="12" customFormat="1" ht="12.75">
      <c r="A47" s="49">
        <v>38475</v>
      </c>
      <c r="B47" s="53">
        <v>80252.93</v>
      </c>
      <c r="C47" s="53">
        <v>27525.13</v>
      </c>
      <c r="D47" s="138">
        <f t="shared" si="10"/>
        <v>107778.06</v>
      </c>
      <c r="E47" s="139">
        <v>107778.06</v>
      </c>
      <c r="F47" s="140"/>
      <c r="G47" s="141"/>
      <c r="H47" s="141"/>
      <c r="I47" s="141"/>
      <c r="J47" s="135">
        <v>13118.7</v>
      </c>
      <c r="K47" s="53">
        <v>609.21</v>
      </c>
      <c r="L47" s="138">
        <f t="shared" si="11"/>
        <v>13727.91</v>
      </c>
      <c r="M47" s="142">
        <v>13727.91</v>
      </c>
      <c r="N47" s="16"/>
    </row>
    <row r="48" spans="1:14" s="12" customFormat="1" ht="12.75">
      <c r="A48" s="49">
        <v>38506</v>
      </c>
      <c r="B48" s="53">
        <v>41192.82</v>
      </c>
      <c r="C48" s="53">
        <v>28894.97</v>
      </c>
      <c r="D48" s="138">
        <f t="shared" si="10"/>
        <v>70087.79000000001</v>
      </c>
      <c r="E48" s="139">
        <v>70087.79</v>
      </c>
      <c r="F48" s="140"/>
      <c r="G48" s="141"/>
      <c r="H48" s="141"/>
      <c r="I48" s="141"/>
      <c r="J48" s="135">
        <v>4811.51</v>
      </c>
      <c r="K48" s="53">
        <v>3817.68</v>
      </c>
      <c r="L48" s="138">
        <f t="shared" si="11"/>
        <v>8629.19</v>
      </c>
      <c r="M48" s="142">
        <v>8629.19</v>
      </c>
      <c r="N48" s="16"/>
    </row>
    <row r="49" spans="1:14" s="12" customFormat="1" ht="12.75">
      <c r="A49" s="49">
        <v>38536</v>
      </c>
      <c r="B49" s="53">
        <v>27993.86</v>
      </c>
      <c r="C49" s="53">
        <v>14240.85</v>
      </c>
      <c r="D49" s="138">
        <f t="shared" si="10"/>
        <v>42234.71</v>
      </c>
      <c r="E49" s="139">
        <v>42234.71</v>
      </c>
      <c r="F49" s="140"/>
      <c r="G49" s="141"/>
      <c r="H49" s="141"/>
      <c r="I49" s="141"/>
      <c r="J49" s="135">
        <v>1338.55</v>
      </c>
      <c r="K49" s="53">
        <v>609.89</v>
      </c>
      <c r="L49" s="138">
        <f t="shared" si="11"/>
        <v>1948.44</v>
      </c>
      <c r="M49" s="142">
        <v>1948.44</v>
      </c>
      <c r="N49" s="16"/>
    </row>
    <row r="50" spans="1:14" s="12" customFormat="1" ht="12.75">
      <c r="A50" s="49">
        <v>38567</v>
      </c>
      <c r="B50" s="53">
        <v>20428.96</v>
      </c>
      <c r="C50" s="53">
        <v>13595.02</v>
      </c>
      <c r="D50" s="138">
        <f aca="true" t="shared" si="12" ref="D50:D60">B50+C50</f>
        <v>34023.979999999996</v>
      </c>
      <c r="E50" s="139">
        <v>34023.98</v>
      </c>
      <c r="F50" s="140"/>
      <c r="G50" s="141"/>
      <c r="H50" s="141"/>
      <c r="I50" s="141"/>
      <c r="J50" s="135">
        <v>1787.02</v>
      </c>
      <c r="K50" s="53">
        <v>314.33</v>
      </c>
      <c r="L50" s="138">
        <f t="shared" si="11"/>
        <v>2101.35</v>
      </c>
      <c r="M50" s="142">
        <v>2101.35</v>
      </c>
      <c r="N50" s="16"/>
    </row>
    <row r="51" spans="1:14" s="12" customFormat="1" ht="12.75">
      <c r="A51" s="49">
        <v>38598</v>
      </c>
      <c r="B51" s="53">
        <v>9381.6</v>
      </c>
      <c r="C51" s="53">
        <v>8289</v>
      </c>
      <c r="D51" s="138">
        <f t="shared" si="12"/>
        <v>17670.6</v>
      </c>
      <c r="E51" s="139">
        <v>17670.6</v>
      </c>
      <c r="F51" s="140"/>
      <c r="G51" s="141"/>
      <c r="H51" s="141"/>
      <c r="I51" s="141"/>
      <c r="J51" s="135">
        <v>1146.02</v>
      </c>
      <c r="K51" s="53">
        <v>155.77</v>
      </c>
      <c r="L51" s="138">
        <f t="shared" si="11"/>
        <v>1301.79</v>
      </c>
      <c r="M51" s="142">
        <v>1301.79</v>
      </c>
      <c r="N51" s="16"/>
    </row>
    <row r="52" spans="1:14" s="12" customFormat="1" ht="12.75">
      <c r="A52" s="49">
        <v>38628</v>
      </c>
      <c r="B52" s="53">
        <v>10244.82</v>
      </c>
      <c r="C52" s="53">
        <v>5762.83</v>
      </c>
      <c r="D52" s="138">
        <f t="shared" si="12"/>
        <v>16007.65</v>
      </c>
      <c r="E52" s="139">
        <v>16007.65</v>
      </c>
      <c r="F52" s="140"/>
      <c r="G52" s="141"/>
      <c r="H52" s="141"/>
      <c r="I52" s="141"/>
      <c r="J52" s="135">
        <v>3144.47</v>
      </c>
      <c r="K52" s="147">
        <v>301.37</v>
      </c>
      <c r="L52" s="138">
        <f t="shared" si="11"/>
        <v>3445.8399999999997</v>
      </c>
      <c r="M52" s="142">
        <v>3445.84</v>
      </c>
      <c r="N52" s="16"/>
    </row>
    <row r="53" spans="1:14" s="12" customFormat="1" ht="12.75">
      <c r="A53" s="49">
        <v>38659</v>
      </c>
      <c r="B53" s="53">
        <v>14515.34</v>
      </c>
      <c r="C53" s="53">
        <v>8076.43</v>
      </c>
      <c r="D53" s="138">
        <f t="shared" si="12"/>
        <v>22591.77</v>
      </c>
      <c r="E53" s="139">
        <v>22591.77</v>
      </c>
      <c r="F53" s="140"/>
      <c r="G53" s="141"/>
      <c r="H53" s="141"/>
      <c r="I53" s="141"/>
      <c r="J53" s="135">
        <v>5191.64</v>
      </c>
      <c r="K53" s="147">
        <v>1627.32</v>
      </c>
      <c r="L53" s="138">
        <f t="shared" si="11"/>
        <v>6818.96</v>
      </c>
      <c r="M53" s="142">
        <v>6818.96</v>
      </c>
      <c r="N53" s="16"/>
    </row>
    <row r="54" spans="1:14" s="12" customFormat="1" ht="12.75">
      <c r="A54" s="49">
        <v>38689</v>
      </c>
      <c r="B54" s="53">
        <v>25505.83</v>
      </c>
      <c r="C54" s="53">
        <v>11399.67</v>
      </c>
      <c r="D54" s="138">
        <f t="shared" si="12"/>
        <v>36905.5</v>
      </c>
      <c r="E54" s="139">
        <v>36905.5</v>
      </c>
      <c r="F54" s="140"/>
      <c r="G54" s="141"/>
      <c r="H54" s="141"/>
      <c r="I54" s="141"/>
      <c r="J54" s="135">
        <v>12690.35</v>
      </c>
      <c r="K54" s="147">
        <v>1664.31</v>
      </c>
      <c r="L54" s="138">
        <f aca="true" t="shared" si="13" ref="L54:L60">K54+J54</f>
        <v>14354.66</v>
      </c>
      <c r="M54" s="142">
        <v>14354.66</v>
      </c>
      <c r="N54" s="16"/>
    </row>
    <row r="55" spans="1:14" s="12" customFormat="1" ht="12.75">
      <c r="A55" s="49">
        <v>38720</v>
      </c>
      <c r="B55" s="53">
        <v>36249.37</v>
      </c>
      <c r="C55" s="53">
        <v>21014.63</v>
      </c>
      <c r="D55" s="138">
        <f t="shared" si="12"/>
        <v>57264</v>
      </c>
      <c r="E55" s="139">
        <v>57264</v>
      </c>
      <c r="F55" s="140"/>
      <c r="G55" s="141"/>
      <c r="H55" s="141"/>
      <c r="I55" s="141"/>
      <c r="J55" s="135">
        <f>3346.99+5253.54</f>
        <v>8600.529999999999</v>
      </c>
      <c r="K55" s="147">
        <v>4752.4</v>
      </c>
      <c r="L55" s="138">
        <f t="shared" si="13"/>
        <v>13352.929999999998</v>
      </c>
      <c r="M55" s="142">
        <f>8099.39+5253.54</f>
        <v>13352.93</v>
      </c>
      <c r="N55" s="16"/>
    </row>
    <row r="56" spans="1:14" s="12" customFormat="1" ht="12.75">
      <c r="A56" s="49">
        <v>38751</v>
      </c>
      <c r="B56" s="53">
        <v>82903.05</v>
      </c>
      <c r="C56" s="53">
        <v>31429.17</v>
      </c>
      <c r="D56" s="138">
        <f t="shared" si="12"/>
        <v>114332.22</v>
      </c>
      <c r="E56" s="139">
        <v>114332.22</v>
      </c>
      <c r="F56" s="140"/>
      <c r="G56" s="141"/>
      <c r="H56" s="141"/>
      <c r="I56" s="141"/>
      <c r="J56" s="135">
        <v>9060.57</v>
      </c>
      <c r="K56" s="147">
        <v>3102.06</v>
      </c>
      <c r="L56" s="138">
        <f t="shared" si="13"/>
        <v>12162.63</v>
      </c>
      <c r="M56" s="142">
        <v>12162.63</v>
      </c>
      <c r="N56" s="16"/>
    </row>
    <row r="57" spans="1:14" s="12" customFormat="1" ht="12.75">
      <c r="A57" s="49">
        <v>38779</v>
      </c>
      <c r="B57" s="53">
        <v>70609.58</v>
      </c>
      <c r="C57" s="53">
        <v>33948.46</v>
      </c>
      <c r="D57" s="138">
        <f t="shared" si="12"/>
        <v>104558.04000000001</v>
      </c>
      <c r="E57" s="139">
        <v>104558.04</v>
      </c>
      <c r="F57" s="140"/>
      <c r="G57" s="141"/>
      <c r="H57" s="141"/>
      <c r="I57" s="141"/>
      <c r="J57" s="135">
        <v>7845.67</v>
      </c>
      <c r="K57" s="147">
        <v>5748.76</v>
      </c>
      <c r="L57" s="138">
        <f t="shared" si="13"/>
        <v>13594.43</v>
      </c>
      <c r="M57" s="142">
        <v>13594.43</v>
      </c>
      <c r="N57" s="16"/>
    </row>
    <row r="58" spans="1:14" s="12" customFormat="1" ht="12.75">
      <c r="A58" s="49">
        <v>38810</v>
      </c>
      <c r="B58" s="53">
        <v>91576.04</v>
      </c>
      <c r="C58" s="53">
        <v>27603.65</v>
      </c>
      <c r="D58" s="138">
        <f t="shared" si="12"/>
        <v>119179.69</v>
      </c>
      <c r="E58" s="139">
        <v>119179.69</v>
      </c>
      <c r="F58" s="140"/>
      <c r="G58" s="141"/>
      <c r="H58" s="141"/>
      <c r="I58" s="141"/>
      <c r="J58" s="135">
        <v>17908.1</v>
      </c>
      <c r="K58" s="147">
        <v>3139.04</v>
      </c>
      <c r="L58" s="138">
        <f t="shared" si="13"/>
        <v>21047.14</v>
      </c>
      <c r="M58" s="142">
        <v>21047.14</v>
      </c>
      <c r="N58" s="16"/>
    </row>
    <row r="59" spans="1:14" s="12" customFormat="1" ht="12.75">
      <c r="A59" s="49">
        <v>38840</v>
      </c>
      <c r="B59" s="53">
        <v>100196.84</v>
      </c>
      <c r="C59" s="53">
        <v>50389.26</v>
      </c>
      <c r="D59" s="138">
        <f t="shared" si="12"/>
        <v>150586.1</v>
      </c>
      <c r="E59" s="139">
        <v>150586.1</v>
      </c>
      <c r="F59" s="140"/>
      <c r="G59" s="141"/>
      <c r="H59" s="141"/>
      <c r="I59" s="141"/>
      <c r="J59" s="135">
        <v>11925.03</v>
      </c>
      <c r="K59" s="147">
        <v>2677.22</v>
      </c>
      <c r="L59" s="138">
        <f t="shared" si="13"/>
        <v>14602.25</v>
      </c>
      <c r="M59" s="142">
        <v>14602.25</v>
      </c>
      <c r="N59" s="16"/>
    </row>
    <row r="60" spans="1:14" s="12" customFormat="1" ht="12.75">
      <c r="A60" s="49">
        <v>38871</v>
      </c>
      <c r="B60" s="53">
        <v>121618.28</v>
      </c>
      <c r="C60" s="53">
        <v>50680.51</v>
      </c>
      <c r="D60" s="138">
        <f t="shared" si="12"/>
        <v>172298.79</v>
      </c>
      <c r="E60" s="139">
        <v>172298.79</v>
      </c>
      <c r="F60" s="140"/>
      <c r="G60" s="141"/>
      <c r="H60" s="141"/>
      <c r="I60" s="141"/>
      <c r="J60" s="135">
        <v>7063.86</v>
      </c>
      <c r="K60" s="147">
        <v>2166.12</v>
      </c>
      <c r="L60" s="138">
        <f t="shared" si="13"/>
        <v>9229.98</v>
      </c>
      <c r="M60" s="142">
        <v>9229.98</v>
      </c>
      <c r="N60" s="16"/>
    </row>
    <row r="61" spans="1:14" s="12" customFormat="1" ht="12.75">
      <c r="A61" s="49"/>
      <c r="B61" s="53"/>
      <c r="C61" s="53"/>
      <c r="D61" s="138"/>
      <c r="E61" s="139"/>
      <c r="F61" s="140"/>
      <c r="G61" s="141"/>
      <c r="H61" s="141"/>
      <c r="I61" s="141"/>
      <c r="J61" s="135"/>
      <c r="K61" s="147"/>
      <c r="L61" s="138"/>
      <c r="M61" s="142"/>
      <c r="N61" s="16"/>
    </row>
    <row r="62" spans="1:14" s="12" customFormat="1" ht="12.75">
      <c r="A62" s="55"/>
      <c r="B62" s="56"/>
      <c r="C62" s="56"/>
      <c r="D62" s="57"/>
      <c r="E62" s="58"/>
      <c r="F62" s="59"/>
      <c r="G62" s="95"/>
      <c r="H62" s="96"/>
      <c r="I62" s="97"/>
      <c r="J62" s="56"/>
      <c r="K62" s="56"/>
      <c r="L62" s="57"/>
      <c r="M62" s="60"/>
      <c r="N62" s="16"/>
    </row>
    <row r="63" spans="1:14" s="12" customFormat="1" ht="12.75">
      <c r="A63" s="131"/>
      <c r="B63" s="53"/>
      <c r="C63" s="53"/>
      <c r="D63" s="51"/>
      <c r="E63" s="52"/>
      <c r="F63" s="32"/>
      <c r="G63" s="25"/>
      <c r="H63" s="26"/>
      <c r="I63" s="27"/>
      <c r="J63" s="53"/>
      <c r="K63" s="53"/>
      <c r="L63" s="51"/>
      <c r="M63" s="125"/>
      <c r="N63" s="16"/>
    </row>
    <row r="64" spans="1:14" s="12" customFormat="1" ht="12.75">
      <c r="A64" s="20" t="s">
        <v>17</v>
      </c>
      <c r="B64" s="110" t="s">
        <v>50</v>
      </c>
      <c r="C64" s="110"/>
      <c r="D64" s="111"/>
      <c r="E64" s="112"/>
      <c r="F64" s="113"/>
      <c r="G64" s="114"/>
      <c r="H64" s="115"/>
      <c r="I64" s="116"/>
      <c r="J64" s="110"/>
      <c r="K64" s="110"/>
      <c r="L64" s="111"/>
      <c r="M64" s="28"/>
      <c r="N64" s="16"/>
    </row>
    <row r="65" spans="1:14" s="12" customFormat="1" ht="12.75">
      <c r="A65" s="20"/>
      <c r="B65" s="110" t="s">
        <v>48</v>
      </c>
      <c r="C65" s="110"/>
      <c r="D65" s="111"/>
      <c r="E65" s="112"/>
      <c r="F65" s="113"/>
      <c r="G65" s="115"/>
      <c r="H65" s="115"/>
      <c r="I65" s="115"/>
      <c r="J65" s="110"/>
      <c r="K65" s="110"/>
      <c r="L65" s="111"/>
      <c r="M65" s="28"/>
      <c r="N65" s="16"/>
    </row>
    <row r="66" spans="1:14" s="12" customFormat="1" ht="12.75">
      <c r="A66" s="14"/>
      <c r="B66" s="28"/>
      <c r="C66" s="16"/>
      <c r="D66" s="22"/>
      <c r="E66" s="21"/>
      <c r="G66" s="26"/>
      <c r="H66" s="26"/>
      <c r="I66" s="26"/>
      <c r="J66" s="16"/>
      <c r="K66" s="16"/>
      <c r="L66" s="22"/>
      <c r="M66" s="21"/>
      <c r="N66" s="16"/>
    </row>
    <row r="67" spans="1:14" s="12" customFormat="1" ht="12.75">
      <c r="A67" s="45"/>
      <c r="B67" s="148" t="s">
        <v>16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52"/>
      <c r="N67" s="16"/>
    </row>
    <row r="68" spans="1:14" s="12" customFormat="1" ht="12.75">
      <c r="A68" s="45"/>
      <c r="B68" s="148" t="s">
        <v>1</v>
      </c>
      <c r="C68" s="148"/>
      <c r="D68" s="46"/>
      <c r="E68" s="46"/>
      <c r="F68" s="46"/>
      <c r="G68" s="46"/>
      <c r="H68" s="46"/>
      <c r="I68" s="46"/>
      <c r="J68" s="148" t="s">
        <v>2</v>
      </c>
      <c r="K68" s="148"/>
      <c r="L68" s="46"/>
      <c r="M68" s="47"/>
      <c r="N68" s="16"/>
    </row>
    <row r="69" spans="1:14" s="12" customFormat="1" ht="12.75">
      <c r="A69" s="39"/>
      <c r="B69" s="38" t="s">
        <v>4</v>
      </c>
      <c r="C69" s="38" t="s">
        <v>5</v>
      </c>
      <c r="D69" s="38"/>
      <c r="E69" s="38"/>
      <c r="F69" s="38"/>
      <c r="G69" s="38"/>
      <c r="H69" s="38"/>
      <c r="I69" s="38"/>
      <c r="J69" s="38" t="s">
        <v>4</v>
      </c>
      <c r="K69" s="38" t="s">
        <v>5</v>
      </c>
      <c r="L69" s="38"/>
      <c r="M69" s="40"/>
      <c r="N69" s="16"/>
    </row>
    <row r="70" spans="1:13" ht="12.75">
      <c r="A70" s="39">
        <v>37530</v>
      </c>
      <c r="B70" s="41">
        <f aca="true" t="shared" si="14" ref="B70:C72">SUM(B5:B16)</f>
        <v>518456.09</v>
      </c>
      <c r="C70" s="41">
        <f t="shared" si="14"/>
        <v>217240.28999999998</v>
      </c>
      <c r="D70" s="13"/>
      <c r="E70" s="13"/>
      <c r="F70" s="13"/>
      <c r="G70" s="13"/>
      <c r="H70" s="13"/>
      <c r="I70" s="13"/>
      <c r="J70" s="41">
        <f aca="true" t="shared" si="15" ref="J70:K72">SUM(J5:J16)</f>
        <v>89186.98999999999</v>
      </c>
      <c r="K70" s="41">
        <f t="shared" si="15"/>
        <v>44780.85999999999</v>
      </c>
      <c r="L70" s="13"/>
      <c r="M70" s="11"/>
    </row>
    <row r="71" spans="1:13" ht="12.75">
      <c r="A71" s="39">
        <v>37561</v>
      </c>
      <c r="B71" s="41">
        <f t="shared" si="14"/>
        <v>519267.55000000005</v>
      </c>
      <c r="C71" s="41">
        <f t="shared" si="14"/>
        <v>219789.21999999997</v>
      </c>
      <c r="D71" s="13"/>
      <c r="E71" s="13"/>
      <c r="F71" s="13"/>
      <c r="G71" s="13"/>
      <c r="H71" s="13"/>
      <c r="I71" s="13"/>
      <c r="J71" s="41">
        <f t="shared" si="15"/>
        <v>88032.18999999999</v>
      </c>
      <c r="K71" s="41">
        <f t="shared" si="15"/>
        <v>46306.65</v>
      </c>
      <c r="L71" s="13"/>
      <c r="M71" s="11"/>
    </row>
    <row r="72" spans="1:13" ht="12.75">
      <c r="A72" s="39">
        <v>37591</v>
      </c>
      <c r="B72" s="41">
        <f t="shared" si="14"/>
        <v>521933.5</v>
      </c>
      <c r="C72" s="41">
        <f t="shared" si="14"/>
        <v>219579.89999999997</v>
      </c>
      <c r="D72" s="13"/>
      <c r="E72" s="13"/>
      <c r="F72" s="13"/>
      <c r="G72" s="13"/>
      <c r="H72" s="13"/>
      <c r="I72" s="13"/>
      <c r="J72" s="41">
        <f t="shared" si="15"/>
        <v>90107.54</v>
      </c>
      <c r="K72" s="41">
        <f t="shared" si="15"/>
        <v>48439.799999999996</v>
      </c>
      <c r="L72" s="13"/>
      <c r="M72" s="11"/>
    </row>
    <row r="73" spans="1:13" ht="12.75">
      <c r="A73" s="39">
        <v>37622</v>
      </c>
      <c r="B73" s="41">
        <f aca="true" t="shared" si="16" ref="B73:C99">SUM(B8:B19)</f>
        <v>539165.0299999999</v>
      </c>
      <c r="C73" s="41">
        <f t="shared" si="16"/>
        <v>220582.52</v>
      </c>
      <c r="D73" s="13"/>
      <c r="E73" s="13"/>
      <c r="F73" s="13"/>
      <c r="G73" s="13"/>
      <c r="H73" s="13"/>
      <c r="I73" s="13"/>
      <c r="J73" s="41">
        <f aca="true" t="shared" si="17" ref="J73:J81">SUM(J8:J19)</f>
        <v>97765.20999999999</v>
      </c>
      <c r="K73" s="41">
        <f aca="true" t="shared" si="18" ref="K73:K99">SUM(K8:K19)</f>
        <v>47787.02</v>
      </c>
      <c r="L73" s="13"/>
      <c r="M73" s="11"/>
    </row>
    <row r="74" spans="1:13" ht="12.75">
      <c r="A74" s="39">
        <v>37653</v>
      </c>
      <c r="B74" s="41">
        <f t="shared" si="16"/>
        <v>546016.63</v>
      </c>
      <c r="C74" s="41">
        <f t="shared" si="16"/>
        <v>219343.52999999997</v>
      </c>
      <c r="D74" s="13"/>
      <c r="E74" s="13"/>
      <c r="F74" s="13"/>
      <c r="G74" s="13"/>
      <c r="H74" s="13"/>
      <c r="I74" s="13"/>
      <c r="J74" s="41">
        <f t="shared" si="17"/>
        <v>100386.86</v>
      </c>
      <c r="K74" s="41">
        <f t="shared" si="18"/>
        <v>32735.579999999998</v>
      </c>
      <c r="L74" s="13"/>
      <c r="M74" s="11"/>
    </row>
    <row r="75" spans="1:13" ht="12.75">
      <c r="A75" s="39">
        <v>37681</v>
      </c>
      <c r="B75" s="41">
        <f t="shared" si="16"/>
        <v>549323.91</v>
      </c>
      <c r="C75" s="41">
        <f t="shared" si="16"/>
        <v>224758.37</v>
      </c>
      <c r="D75" s="13"/>
      <c r="E75" s="13"/>
      <c r="F75" s="13"/>
      <c r="G75" s="13"/>
      <c r="H75" s="13"/>
      <c r="I75" s="13"/>
      <c r="J75" s="41">
        <f t="shared" si="17"/>
        <v>112761.57</v>
      </c>
      <c r="K75" s="41">
        <f t="shared" si="18"/>
        <v>33654.39</v>
      </c>
      <c r="L75" s="13"/>
      <c r="M75" s="11"/>
    </row>
    <row r="76" spans="1:13" ht="12.75">
      <c r="A76" s="39">
        <v>37712</v>
      </c>
      <c r="B76" s="41">
        <f t="shared" si="16"/>
        <v>532768.72</v>
      </c>
      <c r="C76" s="41">
        <f t="shared" si="16"/>
        <v>233430.22</v>
      </c>
      <c r="D76" s="13"/>
      <c r="E76" s="13"/>
      <c r="F76" s="13"/>
      <c r="G76" s="13"/>
      <c r="H76" s="13"/>
      <c r="I76" s="13"/>
      <c r="J76" s="41">
        <f t="shared" si="17"/>
        <v>110185.72</v>
      </c>
      <c r="K76" s="41">
        <f t="shared" si="18"/>
        <v>37821.77</v>
      </c>
      <c r="L76" s="13"/>
      <c r="M76" s="11"/>
    </row>
    <row r="77" spans="1:13" ht="12.75">
      <c r="A77" s="39">
        <v>37742</v>
      </c>
      <c r="B77" s="41">
        <f t="shared" si="16"/>
        <v>533427.42</v>
      </c>
      <c r="C77" s="41">
        <f t="shared" si="16"/>
        <v>235625.17999999996</v>
      </c>
      <c r="D77" s="13"/>
      <c r="E77" s="13"/>
      <c r="F77" s="13"/>
      <c r="G77" s="13"/>
      <c r="H77" s="13"/>
      <c r="I77" s="13"/>
      <c r="J77" s="41">
        <f t="shared" si="17"/>
        <v>111059.91</v>
      </c>
      <c r="K77" s="41">
        <f t="shared" si="18"/>
        <v>37703.97</v>
      </c>
      <c r="L77" s="13"/>
      <c r="M77" s="11"/>
    </row>
    <row r="78" spans="1:13" ht="12.75">
      <c r="A78" s="39">
        <v>37773</v>
      </c>
      <c r="B78" s="41">
        <f t="shared" si="16"/>
        <v>536888.11</v>
      </c>
      <c r="C78" s="41">
        <f t="shared" si="16"/>
        <v>236592.71</v>
      </c>
      <c r="D78" s="13"/>
      <c r="E78" s="13"/>
      <c r="F78" s="13"/>
      <c r="G78" s="13"/>
      <c r="H78" s="13"/>
      <c r="I78" s="13"/>
      <c r="J78" s="41">
        <f t="shared" si="17"/>
        <v>113594.15</v>
      </c>
      <c r="K78" s="41">
        <f t="shared" si="18"/>
        <v>35794.25</v>
      </c>
      <c r="L78" s="13"/>
      <c r="M78" s="11"/>
    </row>
    <row r="79" spans="1:13" ht="12.75">
      <c r="A79" s="39">
        <v>37803</v>
      </c>
      <c r="B79" s="41">
        <f t="shared" si="16"/>
        <v>520858.1</v>
      </c>
      <c r="C79" s="41">
        <f t="shared" si="16"/>
        <v>244020.58</v>
      </c>
      <c r="D79" s="13"/>
      <c r="E79" s="13"/>
      <c r="F79" s="13"/>
      <c r="G79" s="13"/>
      <c r="H79" s="13"/>
      <c r="I79" s="13"/>
      <c r="J79" s="41">
        <f t="shared" si="17"/>
        <v>112691.76999999999</v>
      </c>
      <c r="K79" s="41">
        <f t="shared" si="18"/>
        <v>34086.21000000001</v>
      </c>
      <c r="L79" s="13"/>
      <c r="M79" s="11"/>
    </row>
    <row r="80" spans="1:13" ht="12.75">
      <c r="A80" s="39">
        <v>37834</v>
      </c>
      <c r="B80" s="41">
        <f t="shared" si="16"/>
        <v>513595.08</v>
      </c>
      <c r="C80" s="41">
        <f t="shared" si="16"/>
        <v>244747.65</v>
      </c>
      <c r="D80" s="13"/>
      <c r="E80" s="13"/>
      <c r="F80" s="13"/>
      <c r="G80" s="13"/>
      <c r="H80" s="13"/>
      <c r="I80" s="13"/>
      <c r="J80" s="41">
        <f t="shared" si="17"/>
        <v>111431.34</v>
      </c>
      <c r="K80" s="41">
        <f t="shared" si="18"/>
        <v>33261.99</v>
      </c>
      <c r="L80" s="13"/>
      <c r="M80" s="11"/>
    </row>
    <row r="81" spans="1:13" ht="12.75">
      <c r="A81" s="39">
        <v>37865</v>
      </c>
      <c r="B81" s="41">
        <f t="shared" si="16"/>
        <v>512193.14</v>
      </c>
      <c r="C81" s="41">
        <f t="shared" si="16"/>
        <v>243037.18</v>
      </c>
      <c r="D81" s="13"/>
      <c r="E81" s="13"/>
      <c r="F81" s="13"/>
      <c r="G81" s="13"/>
      <c r="H81" s="13"/>
      <c r="I81" s="13"/>
      <c r="J81" s="41">
        <f t="shared" si="17"/>
        <v>111303.41999999998</v>
      </c>
      <c r="K81" s="41">
        <f t="shared" si="18"/>
        <v>33685.34</v>
      </c>
      <c r="L81" s="13"/>
      <c r="M81" s="11"/>
    </row>
    <row r="82" spans="1:13" ht="12.75">
      <c r="A82" s="39">
        <v>37895</v>
      </c>
      <c r="B82" s="41">
        <f t="shared" si="16"/>
        <v>508635.74</v>
      </c>
      <c r="C82" s="41">
        <f t="shared" si="16"/>
        <v>251507.51999999996</v>
      </c>
      <c r="D82" s="13"/>
      <c r="E82" s="13"/>
      <c r="F82" s="13"/>
      <c r="G82" s="13"/>
      <c r="H82" s="13"/>
      <c r="I82" s="13"/>
      <c r="J82" s="41">
        <f aca="true" t="shared" si="19" ref="J82:J99">SUM(J17:J28)</f>
        <v>107433.81999999999</v>
      </c>
      <c r="K82" s="41">
        <f t="shared" si="18"/>
        <v>33803.77</v>
      </c>
      <c r="L82" s="13"/>
      <c r="M82" s="11"/>
    </row>
    <row r="83" spans="1:13" ht="12.75">
      <c r="A83" s="39">
        <v>37926</v>
      </c>
      <c r="B83" s="41">
        <f t="shared" si="16"/>
        <v>511242.2</v>
      </c>
      <c r="C83" s="41">
        <f t="shared" si="16"/>
        <v>251314.29999999996</v>
      </c>
      <c r="D83" s="13"/>
      <c r="E83" s="13"/>
      <c r="F83" s="13"/>
      <c r="G83" s="13"/>
      <c r="H83" s="13"/>
      <c r="I83" s="13"/>
      <c r="J83" s="41">
        <f t="shared" si="19"/>
        <v>108890.72999999998</v>
      </c>
      <c r="K83" s="41">
        <f t="shared" si="18"/>
        <v>32637.170000000006</v>
      </c>
      <c r="L83" s="13"/>
      <c r="M83" s="11"/>
    </row>
    <row r="84" spans="1:13" ht="12.75">
      <c r="A84" s="39">
        <v>37956</v>
      </c>
      <c r="B84" s="41">
        <f t="shared" si="16"/>
        <v>518860.9600000001</v>
      </c>
      <c r="C84" s="41">
        <f t="shared" si="16"/>
        <v>254418.25999999995</v>
      </c>
      <c r="D84" s="13"/>
      <c r="E84" s="13"/>
      <c r="F84" s="13"/>
      <c r="G84" s="13"/>
      <c r="H84" s="13"/>
      <c r="I84" s="13"/>
      <c r="J84" s="41">
        <f t="shared" si="19"/>
        <v>109738.04999999999</v>
      </c>
      <c r="K84" s="41">
        <f t="shared" si="18"/>
        <v>30784.920000000002</v>
      </c>
      <c r="L84" s="13"/>
      <c r="M84" s="11"/>
    </row>
    <row r="85" spans="1:13" ht="12.75">
      <c r="A85" s="39">
        <v>37987</v>
      </c>
      <c r="B85" s="41">
        <f t="shared" si="16"/>
        <v>503187.37</v>
      </c>
      <c r="C85" s="41">
        <f t="shared" si="16"/>
        <v>247464.65999999997</v>
      </c>
      <c r="D85" s="13"/>
      <c r="E85" s="13"/>
      <c r="F85" s="13"/>
      <c r="G85" s="13"/>
      <c r="H85" s="13"/>
      <c r="I85" s="13"/>
      <c r="J85" s="41">
        <f t="shared" si="19"/>
        <v>102547.10999999999</v>
      </c>
      <c r="K85" s="41">
        <f t="shared" si="18"/>
        <v>28341.050000000003</v>
      </c>
      <c r="L85" s="13"/>
      <c r="M85" s="11"/>
    </row>
    <row r="86" spans="1:13" ht="12.75">
      <c r="A86" s="39">
        <v>38018</v>
      </c>
      <c r="B86" s="41">
        <f t="shared" si="16"/>
        <v>491354.73</v>
      </c>
      <c r="C86" s="41">
        <f t="shared" si="16"/>
        <v>245563.68999999994</v>
      </c>
      <c r="D86" s="13"/>
      <c r="E86" s="13"/>
      <c r="F86" s="13"/>
      <c r="G86" s="13"/>
      <c r="H86" s="13"/>
      <c r="I86" s="13"/>
      <c r="J86" s="41">
        <f t="shared" si="19"/>
        <v>100723.55</v>
      </c>
      <c r="K86" s="41">
        <f t="shared" si="18"/>
        <v>26696.130000000005</v>
      </c>
      <c r="L86" s="13"/>
      <c r="M86" s="11"/>
    </row>
    <row r="87" spans="1:13" ht="12.75">
      <c r="A87" s="39">
        <v>38047</v>
      </c>
      <c r="B87" s="41">
        <f t="shared" si="16"/>
        <v>495000.01</v>
      </c>
      <c r="C87" s="41">
        <f t="shared" si="16"/>
        <v>252206.34999999998</v>
      </c>
      <c r="D87" s="13"/>
      <c r="E87" s="13"/>
      <c r="F87" s="13"/>
      <c r="G87" s="13"/>
      <c r="H87" s="13"/>
      <c r="I87" s="13"/>
      <c r="J87" s="41">
        <f t="shared" si="19"/>
        <v>102586.99</v>
      </c>
      <c r="K87" s="41">
        <f t="shared" si="18"/>
        <v>33436.11</v>
      </c>
      <c r="L87" s="13"/>
      <c r="M87" s="11"/>
    </row>
    <row r="88" spans="1:13" ht="12.75">
      <c r="A88" s="39">
        <v>38078</v>
      </c>
      <c r="B88" s="41">
        <f t="shared" si="16"/>
        <v>474857.76999999996</v>
      </c>
      <c r="C88" s="41">
        <f t="shared" si="16"/>
        <v>236873.21000000002</v>
      </c>
      <c r="D88" s="13"/>
      <c r="E88" s="13"/>
      <c r="F88" s="13"/>
      <c r="G88" s="13"/>
      <c r="H88" s="13"/>
      <c r="I88" s="13"/>
      <c r="J88" s="41">
        <f t="shared" si="19"/>
        <v>89088.02</v>
      </c>
      <c r="K88" s="41">
        <f t="shared" si="18"/>
        <v>29157.92</v>
      </c>
      <c r="L88" s="13"/>
      <c r="M88" s="11"/>
    </row>
    <row r="89" spans="1:13" ht="12.75">
      <c r="A89" s="39">
        <v>38108</v>
      </c>
      <c r="B89" s="41">
        <f t="shared" si="16"/>
        <v>442977.74999999994</v>
      </c>
      <c r="C89" s="41">
        <f t="shared" si="16"/>
        <v>222631.95</v>
      </c>
      <c r="D89" s="13"/>
      <c r="E89" s="13"/>
      <c r="F89" s="13"/>
      <c r="G89" s="13"/>
      <c r="H89" s="13"/>
      <c r="I89" s="13"/>
      <c r="J89" s="41">
        <f t="shared" si="19"/>
        <v>123368.77</v>
      </c>
      <c r="K89" s="41">
        <f t="shared" si="18"/>
        <v>29482.21</v>
      </c>
      <c r="L89" s="13"/>
      <c r="M89" s="11"/>
    </row>
    <row r="90" spans="1:13" ht="12.75">
      <c r="A90" s="39">
        <v>38139</v>
      </c>
      <c r="B90" s="41">
        <f t="shared" si="16"/>
        <v>427708.3</v>
      </c>
      <c r="C90" s="41">
        <f t="shared" si="16"/>
        <v>221203.17</v>
      </c>
      <c r="D90" s="13"/>
      <c r="E90" s="13"/>
      <c r="F90" s="13"/>
      <c r="G90" s="13"/>
      <c r="H90" s="13"/>
      <c r="I90" s="13"/>
      <c r="J90" s="41">
        <f t="shared" si="19"/>
        <v>122182.86000000002</v>
      </c>
      <c r="K90" s="41">
        <f t="shared" si="18"/>
        <v>33311.57</v>
      </c>
      <c r="L90" s="13"/>
      <c r="M90" s="11"/>
    </row>
    <row r="91" spans="1:13" ht="12.75">
      <c r="A91" s="39">
        <v>38169</v>
      </c>
      <c r="B91" s="41">
        <f t="shared" si="16"/>
        <v>418941.49</v>
      </c>
      <c r="C91" s="41">
        <f t="shared" si="16"/>
        <v>223572.68</v>
      </c>
      <c r="D91" s="13"/>
      <c r="E91" s="13"/>
      <c r="F91" s="13"/>
      <c r="G91" s="13"/>
      <c r="H91" s="13"/>
      <c r="I91" s="13"/>
      <c r="J91" s="41">
        <f t="shared" si="19"/>
        <v>124617.07</v>
      </c>
      <c r="K91" s="41">
        <f t="shared" si="18"/>
        <v>40868.299999999996</v>
      </c>
      <c r="L91" s="13"/>
      <c r="M91" s="11"/>
    </row>
    <row r="92" spans="1:13" ht="12.75">
      <c r="A92" s="39">
        <v>38200</v>
      </c>
      <c r="B92" s="41">
        <f t="shared" si="16"/>
        <v>419197.37</v>
      </c>
      <c r="C92" s="41">
        <f t="shared" si="16"/>
        <v>225368.24</v>
      </c>
      <c r="D92" s="13"/>
      <c r="E92" s="13"/>
      <c r="F92" s="13"/>
      <c r="G92" s="13"/>
      <c r="H92" s="13"/>
      <c r="I92" s="13"/>
      <c r="J92" s="41">
        <f t="shared" si="19"/>
        <v>121534.86</v>
      </c>
      <c r="K92" s="41">
        <f t="shared" si="18"/>
        <v>39562.32</v>
      </c>
      <c r="L92" s="13"/>
      <c r="M92" s="11"/>
    </row>
    <row r="93" spans="1:13" ht="12.75">
      <c r="A93" s="39">
        <v>38231</v>
      </c>
      <c r="B93" s="41">
        <f t="shared" si="16"/>
        <v>424139.68999999994</v>
      </c>
      <c r="C93" s="41">
        <f t="shared" si="16"/>
        <v>225804.88</v>
      </c>
      <c r="D93" s="13"/>
      <c r="E93" s="13"/>
      <c r="F93" s="13"/>
      <c r="G93" s="13"/>
      <c r="H93" s="13"/>
      <c r="I93" s="13"/>
      <c r="J93" s="41">
        <f t="shared" si="19"/>
        <v>123217.42000000001</v>
      </c>
      <c r="K93" s="41">
        <f t="shared" si="18"/>
        <v>40261.57</v>
      </c>
      <c r="L93" s="13"/>
      <c r="M93" s="11"/>
    </row>
    <row r="94" spans="1:13" ht="12.75">
      <c r="A94" s="39">
        <v>38261</v>
      </c>
      <c r="B94" s="41">
        <f t="shared" si="16"/>
        <v>423485.07999999996</v>
      </c>
      <c r="C94" s="41">
        <f t="shared" si="16"/>
        <v>214141.55</v>
      </c>
      <c r="D94" s="13"/>
      <c r="E94" s="13"/>
      <c r="F94" s="13"/>
      <c r="G94" s="13"/>
      <c r="H94" s="13"/>
      <c r="I94" s="13"/>
      <c r="J94" s="41">
        <f t="shared" si="19"/>
        <v>124666.85</v>
      </c>
      <c r="K94" s="41">
        <f t="shared" si="18"/>
        <v>40809.09</v>
      </c>
      <c r="L94" s="13"/>
      <c r="M94" s="11"/>
    </row>
    <row r="95" spans="1:13" ht="12.75">
      <c r="A95" s="39">
        <v>38292</v>
      </c>
      <c r="B95" s="41">
        <f t="shared" si="16"/>
        <v>419224.48</v>
      </c>
      <c r="C95" s="41">
        <f t="shared" si="16"/>
        <v>211450.09</v>
      </c>
      <c r="D95" s="13"/>
      <c r="E95" s="13"/>
      <c r="F95" s="13"/>
      <c r="G95" s="13"/>
      <c r="H95" s="13"/>
      <c r="I95" s="13"/>
      <c r="J95" s="41">
        <f t="shared" si="19"/>
        <v>124652.18999999999</v>
      </c>
      <c r="K95" s="41">
        <f t="shared" si="18"/>
        <v>40225.86</v>
      </c>
      <c r="L95" s="13"/>
      <c r="M95" s="11"/>
    </row>
    <row r="96" spans="1:13" ht="12.75">
      <c r="A96" s="39">
        <v>38322</v>
      </c>
      <c r="B96" s="41">
        <f t="shared" si="16"/>
        <v>416630.18999999994</v>
      </c>
      <c r="C96" s="41">
        <f t="shared" si="16"/>
        <v>209647.71000000002</v>
      </c>
      <c r="D96" s="13"/>
      <c r="E96" s="13"/>
      <c r="F96" s="13"/>
      <c r="G96" s="13"/>
      <c r="H96" s="13"/>
      <c r="I96" s="13"/>
      <c r="J96" s="41">
        <f t="shared" si="19"/>
        <v>131005.28000000001</v>
      </c>
      <c r="K96" s="41">
        <f t="shared" si="18"/>
        <v>41091.05</v>
      </c>
      <c r="L96" s="13"/>
      <c r="M96" s="11"/>
    </row>
    <row r="97" spans="1:13" ht="12.75">
      <c r="A97" s="39">
        <v>38353</v>
      </c>
      <c r="B97" s="41">
        <f t="shared" si="16"/>
        <v>417725.31000000006</v>
      </c>
      <c r="C97" s="41">
        <f t="shared" si="16"/>
        <v>217293.44</v>
      </c>
      <c r="D97" s="13"/>
      <c r="E97" s="13"/>
      <c r="F97" s="13"/>
      <c r="G97" s="13"/>
      <c r="H97" s="13"/>
      <c r="I97" s="13"/>
      <c r="J97" s="41">
        <f t="shared" si="19"/>
        <v>225852.84000000003</v>
      </c>
      <c r="K97" s="41">
        <f t="shared" si="18"/>
        <v>47239.78</v>
      </c>
      <c r="L97" s="13"/>
      <c r="M97" s="11"/>
    </row>
    <row r="98" spans="1:13" ht="12.75">
      <c r="A98" s="39">
        <v>38384</v>
      </c>
      <c r="B98" s="41">
        <f t="shared" si="16"/>
        <v>431936.72</v>
      </c>
      <c r="C98" s="41">
        <f t="shared" si="16"/>
        <v>223761.17</v>
      </c>
      <c r="D98" s="13"/>
      <c r="E98" s="13"/>
      <c r="F98" s="13"/>
      <c r="G98" s="13"/>
      <c r="H98" s="13"/>
      <c r="I98" s="13"/>
      <c r="J98" s="41">
        <f t="shared" si="19"/>
        <v>240598.59999999998</v>
      </c>
      <c r="K98" s="41">
        <f t="shared" si="18"/>
        <v>44347.75</v>
      </c>
      <c r="L98" s="13"/>
      <c r="M98" s="11"/>
    </row>
    <row r="99" spans="1:13" ht="12.75">
      <c r="A99" s="39">
        <v>38412</v>
      </c>
      <c r="B99" s="41">
        <f t="shared" si="16"/>
        <v>469898.3799999999</v>
      </c>
      <c r="C99" s="41">
        <f t="shared" si="16"/>
        <v>219334.36000000002</v>
      </c>
      <c r="D99" s="13"/>
      <c r="E99" s="13"/>
      <c r="F99" s="13"/>
      <c r="G99" s="13"/>
      <c r="H99" s="13"/>
      <c r="I99" s="13"/>
      <c r="J99" s="41">
        <f t="shared" si="19"/>
        <v>251366.94999999998</v>
      </c>
      <c r="K99" s="41">
        <f t="shared" si="18"/>
        <v>41708.24</v>
      </c>
      <c r="L99" s="13"/>
      <c r="M99" s="11"/>
    </row>
    <row r="100" spans="1:13" ht="12.75">
      <c r="A100" s="39">
        <v>38443</v>
      </c>
      <c r="B100" s="41">
        <f aca="true" t="shared" si="20" ref="B100:C114">SUM(B35:B46)</f>
        <v>500611.68000000005</v>
      </c>
      <c r="C100" s="41">
        <f t="shared" si="20"/>
        <v>229580.59000000003</v>
      </c>
      <c r="D100" s="13"/>
      <c r="E100" s="13"/>
      <c r="F100" s="13"/>
      <c r="G100" s="13"/>
      <c r="H100" s="13"/>
      <c r="I100" s="13"/>
      <c r="J100" s="41">
        <f aca="true" t="shared" si="21" ref="J100:K114">SUM(J35:J46)</f>
        <v>259213.19999999998</v>
      </c>
      <c r="K100" s="41">
        <f t="shared" si="21"/>
        <v>43135.61</v>
      </c>
      <c r="L100" s="13"/>
      <c r="M100" s="11"/>
    </row>
    <row r="101" spans="1:13" ht="12.75">
      <c r="A101" s="39">
        <v>38473</v>
      </c>
      <c r="B101" s="41">
        <f t="shared" si="20"/>
        <v>528697.23</v>
      </c>
      <c r="C101" s="41">
        <f t="shared" si="20"/>
        <v>230137.16999999998</v>
      </c>
      <c r="D101" s="13"/>
      <c r="E101" s="13"/>
      <c r="F101" s="13"/>
      <c r="G101" s="13"/>
      <c r="H101" s="13"/>
      <c r="I101" s="13"/>
      <c r="J101" s="41">
        <f t="shared" si="21"/>
        <v>230169.82000000004</v>
      </c>
      <c r="K101" s="41">
        <f t="shared" si="21"/>
        <v>41527.340000000004</v>
      </c>
      <c r="L101" s="13"/>
      <c r="M101" s="11"/>
    </row>
    <row r="102" spans="1:13" ht="12.75">
      <c r="A102" s="39">
        <v>38504</v>
      </c>
      <c r="B102" s="41">
        <f t="shared" si="20"/>
        <v>533867.11</v>
      </c>
      <c r="C102" s="41">
        <f t="shared" si="20"/>
        <v>235680.88000000003</v>
      </c>
      <c r="D102" s="13"/>
      <c r="E102" s="13"/>
      <c r="F102" s="13"/>
      <c r="G102" s="13"/>
      <c r="H102" s="13"/>
      <c r="I102" s="13"/>
      <c r="J102" s="41">
        <f t="shared" si="21"/>
        <v>230316.45000000004</v>
      </c>
      <c r="K102" s="41">
        <f t="shared" si="21"/>
        <v>40636.34</v>
      </c>
      <c r="L102" s="13"/>
      <c r="M102" s="11"/>
    </row>
    <row r="103" spans="1:13" ht="12.75">
      <c r="A103" s="39">
        <v>38534</v>
      </c>
      <c r="B103" s="41">
        <f t="shared" si="20"/>
        <v>539877.78</v>
      </c>
      <c r="C103" s="41">
        <f t="shared" si="20"/>
        <v>233014.60000000003</v>
      </c>
      <c r="D103" s="13"/>
      <c r="E103" s="13"/>
      <c r="F103" s="13"/>
      <c r="G103" s="13"/>
      <c r="H103" s="13"/>
      <c r="I103" s="13"/>
      <c r="J103" s="41">
        <f t="shared" si="21"/>
        <v>223304.2</v>
      </c>
      <c r="K103" s="41">
        <f t="shared" si="21"/>
        <v>32897.13</v>
      </c>
      <c r="L103" s="13"/>
      <c r="M103" s="11"/>
    </row>
    <row r="104" spans="1:13" ht="12.75">
      <c r="A104" s="39">
        <v>38565</v>
      </c>
      <c r="B104" s="41">
        <f t="shared" si="20"/>
        <v>543526.02</v>
      </c>
      <c r="C104" s="41">
        <f t="shared" si="20"/>
        <v>232712.75000000003</v>
      </c>
      <c r="D104" s="13"/>
      <c r="E104" s="13"/>
      <c r="F104" s="13"/>
      <c r="G104" s="13"/>
      <c r="H104" s="13"/>
      <c r="I104" s="13"/>
      <c r="J104" s="41">
        <f t="shared" si="21"/>
        <v>221691.82</v>
      </c>
      <c r="K104" s="41">
        <f t="shared" si="21"/>
        <v>33141.45</v>
      </c>
      <c r="L104" s="13"/>
      <c r="M104" s="11"/>
    </row>
    <row r="105" spans="1:13" ht="12.75">
      <c r="A105" s="39">
        <v>38596</v>
      </c>
      <c r="B105" s="41">
        <f t="shared" si="20"/>
        <v>537321.73</v>
      </c>
      <c r="C105" s="41">
        <f t="shared" si="20"/>
        <v>235786.53</v>
      </c>
      <c r="D105" s="13"/>
      <c r="E105" s="13"/>
      <c r="F105" s="13"/>
      <c r="G105" s="13"/>
      <c r="H105" s="13"/>
      <c r="I105" s="13"/>
      <c r="J105" s="41">
        <f t="shared" si="21"/>
        <v>219243.27</v>
      </c>
      <c r="K105" s="41">
        <f t="shared" si="21"/>
        <v>32102.39</v>
      </c>
      <c r="L105" s="13"/>
      <c r="M105" s="11"/>
    </row>
    <row r="106" spans="1:13" ht="12.75">
      <c r="A106" s="39">
        <v>38626</v>
      </c>
      <c r="B106" s="41">
        <f t="shared" si="20"/>
        <v>539941.19</v>
      </c>
      <c r="C106" s="41">
        <f t="shared" si="20"/>
        <v>238233.2</v>
      </c>
      <c r="D106" s="13"/>
      <c r="E106" s="13"/>
      <c r="F106" s="13"/>
      <c r="G106" s="13"/>
      <c r="H106" s="13"/>
      <c r="I106" s="13"/>
      <c r="J106" s="41">
        <f t="shared" si="21"/>
        <v>215219.41999999998</v>
      </c>
      <c r="K106" s="41">
        <f t="shared" si="21"/>
        <v>31534.909999999996</v>
      </c>
      <c r="L106" s="13"/>
      <c r="M106" s="11"/>
    </row>
    <row r="107" spans="1:13" ht="12.75">
      <c r="A107" s="39">
        <v>38657</v>
      </c>
      <c r="B107" s="41">
        <f t="shared" si="20"/>
        <v>546577.9199999999</v>
      </c>
      <c r="C107" s="41">
        <f t="shared" si="20"/>
        <v>242195.84999999998</v>
      </c>
      <c r="D107" s="13"/>
      <c r="E107" s="13"/>
      <c r="F107" s="13"/>
      <c r="G107" s="13"/>
      <c r="H107" s="13"/>
      <c r="I107" s="13"/>
      <c r="J107" s="41">
        <f t="shared" si="21"/>
        <v>217725.05</v>
      </c>
      <c r="K107" s="41">
        <f t="shared" si="21"/>
        <v>33134.479999999996</v>
      </c>
      <c r="L107" s="13"/>
      <c r="M107" s="11"/>
    </row>
    <row r="108" spans="1:13" ht="12.75">
      <c r="A108" s="39">
        <v>38687</v>
      </c>
      <c r="B108" s="41">
        <f t="shared" si="20"/>
        <v>546662.12</v>
      </c>
      <c r="C108" s="41">
        <f t="shared" si="20"/>
        <v>241446.53999999998</v>
      </c>
      <c r="D108" s="13"/>
      <c r="E108" s="13"/>
      <c r="F108" s="13"/>
      <c r="G108" s="13"/>
      <c r="H108" s="13"/>
      <c r="I108" s="13"/>
      <c r="J108" s="41">
        <f t="shared" si="21"/>
        <v>218720.4</v>
      </c>
      <c r="K108" s="41">
        <f t="shared" si="21"/>
        <v>33286.96</v>
      </c>
      <c r="L108" s="13"/>
      <c r="M108" s="11"/>
    </row>
    <row r="109" spans="1:13" ht="12.75">
      <c r="A109" s="39">
        <v>38718</v>
      </c>
      <c r="B109" s="41">
        <f t="shared" si="20"/>
        <v>545860.76</v>
      </c>
      <c r="C109" s="41">
        <f t="shared" si="20"/>
        <v>240945.56</v>
      </c>
      <c r="D109" s="13"/>
      <c r="E109" s="13"/>
      <c r="F109" s="13"/>
      <c r="G109" s="13"/>
      <c r="H109" s="13"/>
      <c r="I109" s="13"/>
      <c r="J109" s="41">
        <f t="shared" si="21"/>
        <v>125704.12000000001</v>
      </c>
      <c r="K109" s="41">
        <f t="shared" si="21"/>
        <v>30344.800000000003</v>
      </c>
      <c r="L109" s="13"/>
      <c r="M109" s="11"/>
    </row>
    <row r="110" spans="1:13" ht="12.75">
      <c r="A110" s="39">
        <v>38749</v>
      </c>
      <c r="B110" s="41">
        <f t="shared" si="20"/>
        <v>558018.9500000001</v>
      </c>
      <c r="C110" s="41">
        <f t="shared" si="20"/>
        <v>242444.13</v>
      </c>
      <c r="D110" s="13"/>
      <c r="E110" s="13"/>
      <c r="F110" s="13"/>
      <c r="G110" s="13"/>
      <c r="H110" s="13"/>
      <c r="I110" s="13"/>
      <c r="J110" s="41">
        <f t="shared" si="21"/>
        <v>109851.27000000002</v>
      </c>
      <c r="K110" s="41">
        <f t="shared" si="21"/>
        <v>29994.49</v>
      </c>
      <c r="L110" s="13"/>
      <c r="M110" s="11"/>
    </row>
    <row r="111" spans="1:13" ht="12.75">
      <c r="A111" s="39">
        <v>38777</v>
      </c>
      <c r="B111" s="41">
        <f t="shared" si="20"/>
        <v>514187.06000000006</v>
      </c>
      <c r="C111" s="41">
        <f t="shared" si="20"/>
        <v>241306.71</v>
      </c>
      <c r="D111" s="13"/>
      <c r="E111" s="13"/>
      <c r="F111" s="13"/>
      <c r="G111" s="13"/>
      <c r="H111" s="13"/>
      <c r="I111" s="13"/>
      <c r="J111" s="41">
        <f t="shared" si="21"/>
        <v>86333.40000000001</v>
      </c>
      <c r="K111" s="41">
        <f t="shared" si="21"/>
        <v>28453.129999999997</v>
      </c>
      <c r="L111" s="13"/>
      <c r="M111" s="11"/>
    </row>
    <row r="112" spans="1:13" ht="12.75">
      <c r="A112" s="39">
        <v>38808</v>
      </c>
      <c r="B112" s="41">
        <f t="shared" si="20"/>
        <v>510854.19999999995</v>
      </c>
      <c r="C112" s="41">
        <f t="shared" si="20"/>
        <v>231779.81</v>
      </c>
      <c r="D112" s="13"/>
      <c r="E112" s="13"/>
      <c r="F112" s="13"/>
      <c r="G112" s="13"/>
      <c r="H112" s="13"/>
      <c r="I112" s="13"/>
      <c r="J112" s="41">
        <f t="shared" si="21"/>
        <v>86643.13</v>
      </c>
      <c r="K112" s="41">
        <f t="shared" si="21"/>
        <v>25842.14</v>
      </c>
      <c r="L112" s="13"/>
      <c r="M112" s="11"/>
    </row>
    <row r="113" spans="1:13" ht="12.75">
      <c r="A113" s="39">
        <v>38838</v>
      </c>
      <c r="B113" s="41">
        <f t="shared" si="20"/>
        <v>530798.11</v>
      </c>
      <c r="C113" s="41">
        <f t="shared" si="20"/>
        <v>254643.94</v>
      </c>
      <c r="D113" s="13"/>
      <c r="E113" s="13"/>
      <c r="F113" s="13"/>
      <c r="G113" s="13"/>
      <c r="H113" s="13"/>
      <c r="I113" s="13"/>
      <c r="J113" s="41">
        <f t="shared" si="21"/>
        <v>85449.45999999999</v>
      </c>
      <c r="K113" s="41">
        <f t="shared" si="21"/>
        <v>27910.15</v>
      </c>
      <c r="L113" s="13"/>
      <c r="M113" s="11"/>
    </row>
    <row r="114" spans="1:13" ht="12.75">
      <c r="A114" s="39">
        <v>38869</v>
      </c>
      <c r="B114" s="41">
        <f t="shared" si="20"/>
        <v>611223.5700000001</v>
      </c>
      <c r="C114" s="41">
        <f t="shared" si="20"/>
        <v>276429.48</v>
      </c>
      <c r="D114" s="13"/>
      <c r="E114" s="13"/>
      <c r="F114" s="13"/>
      <c r="G114" s="13"/>
      <c r="H114" s="13"/>
      <c r="I114" s="13"/>
      <c r="J114" s="41">
        <f t="shared" si="21"/>
        <v>87701.81</v>
      </c>
      <c r="K114" s="41">
        <f t="shared" si="21"/>
        <v>26258.59</v>
      </c>
      <c r="L114" s="13"/>
      <c r="M114" s="11"/>
    </row>
    <row r="115" spans="1:13" ht="12.75">
      <c r="A115" s="39"/>
      <c r="B115" s="41"/>
      <c r="C115" s="41"/>
      <c r="D115" s="13"/>
      <c r="E115" s="13"/>
      <c r="F115" s="13"/>
      <c r="G115" s="13"/>
      <c r="H115" s="13"/>
      <c r="I115" s="13"/>
      <c r="J115" s="41"/>
      <c r="K115" s="41"/>
      <c r="L115" s="13"/>
      <c r="M115" s="11"/>
    </row>
    <row r="116" spans="1:13" ht="12.75">
      <c r="A116" s="42"/>
      <c r="B116" s="137"/>
      <c r="C116" s="137"/>
      <c r="D116" s="8"/>
      <c r="E116" s="8"/>
      <c r="F116" s="8"/>
      <c r="G116" s="8"/>
      <c r="H116" s="8"/>
      <c r="I116" s="8"/>
      <c r="J116" s="137"/>
      <c r="K116" s="137"/>
      <c r="L116" s="8"/>
      <c r="M116" s="44"/>
    </row>
    <row r="117" spans="2:5" ht="12.75">
      <c r="B117" s="5"/>
      <c r="C117" s="5"/>
      <c r="D117" s="5"/>
      <c r="E117" s="5"/>
    </row>
    <row r="118" spans="1:12" ht="12.75">
      <c r="A118" t="s">
        <v>14</v>
      </c>
      <c r="B118" s="108" t="s">
        <v>33</v>
      </c>
      <c r="C118" s="109"/>
      <c r="D118" s="109"/>
      <c r="E118" s="102"/>
      <c r="F118" s="102"/>
      <c r="G118" s="102"/>
      <c r="H118" s="102"/>
      <c r="I118" s="102"/>
      <c r="J118" s="102"/>
      <c r="K118" s="102"/>
      <c r="L118" s="102"/>
    </row>
  </sheetData>
  <mergeCells count="7">
    <mergeCell ref="B68:C68"/>
    <mergeCell ref="J68:K68"/>
    <mergeCell ref="B1:M1"/>
    <mergeCell ref="B2:D2"/>
    <mergeCell ref="J2:L2"/>
    <mergeCell ref="B67:M67"/>
    <mergeCell ref="G2:I2"/>
  </mergeCells>
  <printOptions horizontalCentered="1"/>
  <pageMargins left="0.75" right="0.75" top="1" bottom="1" header="0.5" footer="0.5"/>
  <pageSetup fitToHeight="1" fitToWidth="1" horizontalDpi="600" verticalDpi="600" orientation="landscape" scale="44" r:id="rId3"/>
  <headerFooter alignWithMargins="0">
    <oddHeader>&amp;LWrite offs - Customer AR (14202401)</oddHeader>
    <oddFooter>&amp;L&amp;"Arial,Italic"&amp;7G:\Accounting\ga\AR Reserve\AR Reserve FY03\GAS AR Reserve FY03\Calculation for Gas AR Reserve FY03.xls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72"/>
  <sheetViews>
    <sheetView zoomScale="85" zoomScaleNormal="85" workbookViewId="0" topLeftCell="A1">
      <pane ySplit="2" topLeftCell="BM42" activePane="bottomLeft" state="frozen"/>
      <selection pane="topLeft" activeCell="A1" sqref="A1"/>
      <selection pane="bottomLeft" activeCell="F47" sqref="F47:H48"/>
    </sheetView>
  </sheetViews>
  <sheetFormatPr defaultColWidth="9.140625" defaultRowHeight="12.75"/>
  <cols>
    <col min="2" max="2" width="12.28125" style="0" customWidth="1"/>
    <col min="3" max="3" width="4.57421875" style="0" customWidth="1"/>
    <col min="4" max="4" width="10.28125" style="0" customWidth="1"/>
    <col min="5" max="5" width="5.140625" style="0" customWidth="1"/>
    <col min="6" max="6" width="11.421875" style="0" customWidth="1"/>
    <col min="7" max="7" width="13.00390625" style="0" customWidth="1"/>
    <col min="8" max="8" width="12.57421875" style="0" customWidth="1"/>
    <col min="10" max="10" width="11.28125" style="0" bestFit="1" customWidth="1"/>
    <col min="11" max="11" width="16.00390625" style="0" customWidth="1"/>
  </cols>
  <sheetData>
    <row r="1" spans="1:8" ht="12.75">
      <c r="A1" s="153" t="s">
        <v>18</v>
      </c>
      <c r="B1" s="154"/>
      <c r="C1" s="154"/>
      <c r="D1" s="155"/>
      <c r="E1" s="6"/>
      <c r="F1" s="79" t="s">
        <v>20</v>
      </c>
      <c r="G1" s="34"/>
      <c r="H1" s="7"/>
    </row>
    <row r="2" spans="1:8" ht="12.75">
      <c r="A2" s="36" t="s">
        <v>19</v>
      </c>
      <c r="B2" s="29" t="s">
        <v>10</v>
      </c>
      <c r="C2" s="29"/>
      <c r="D2" s="37" t="s">
        <v>11</v>
      </c>
      <c r="E2" s="62"/>
      <c r="F2" s="33" t="s">
        <v>19</v>
      </c>
      <c r="G2" s="78" t="s">
        <v>10</v>
      </c>
      <c r="H2" s="80" t="s">
        <v>11</v>
      </c>
    </row>
    <row r="3" spans="1:8" ht="12.75">
      <c r="A3" s="66"/>
      <c r="B3" s="13"/>
      <c r="C3" s="13"/>
      <c r="D3" s="11"/>
      <c r="E3" s="9"/>
      <c r="F3" s="13"/>
      <c r="G3" s="13"/>
      <c r="H3" s="11"/>
    </row>
    <row r="4" spans="1:8" ht="12.75">
      <c r="A4" s="67">
        <v>37165</v>
      </c>
      <c r="B4" s="68">
        <f>2302.93+132.06+3074.55</f>
        <v>5509.54</v>
      </c>
      <c r="C4" s="68"/>
      <c r="D4" s="69">
        <f>2466.73+399.49+510.77</f>
        <v>3376.9900000000002</v>
      </c>
      <c r="E4" s="75"/>
      <c r="F4" s="76">
        <v>37530</v>
      </c>
      <c r="G4" s="41">
        <f aca="true" t="shared" si="0" ref="G4:G9">SUM(B5:B16)</f>
        <v>52802.27</v>
      </c>
      <c r="H4" s="77">
        <f aca="true" t="shared" si="1" ref="H4:H9">SUM(D5:D16)</f>
        <v>45354.64</v>
      </c>
    </row>
    <row r="5" spans="1:8" ht="12.75">
      <c r="A5" s="67">
        <v>37196</v>
      </c>
      <c r="B5" s="68">
        <v>3283.04</v>
      </c>
      <c r="C5" s="68"/>
      <c r="D5" s="69">
        <v>2174.09</v>
      </c>
      <c r="E5" s="75"/>
      <c r="F5" s="76">
        <v>37561</v>
      </c>
      <c r="G5" s="41">
        <f t="shared" si="0"/>
        <v>57385.29</v>
      </c>
      <c r="H5" s="77">
        <f t="shared" si="1"/>
        <v>50088.52</v>
      </c>
    </row>
    <row r="6" spans="1:8" ht="12.75">
      <c r="A6" s="67">
        <v>37226</v>
      </c>
      <c r="B6" s="68">
        <v>3828.43</v>
      </c>
      <c r="C6" s="68"/>
      <c r="D6" s="69">
        <v>2114.95</v>
      </c>
      <c r="E6" s="75"/>
      <c r="F6" s="76">
        <v>37591</v>
      </c>
      <c r="G6" s="41">
        <f t="shared" si="0"/>
        <v>70598.98</v>
      </c>
      <c r="H6" s="77">
        <f t="shared" si="1"/>
        <v>53554.82</v>
      </c>
    </row>
    <row r="7" spans="1:8" ht="12.75">
      <c r="A7" s="67">
        <v>37257</v>
      </c>
      <c r="B7" s="68">
        <v>6535.4</v>
      </c>
      <c r="C7" s="68"/>
      <c r="D7" s="69">
        <v>1445.16</v>
      </c>
      <c r="E7" s="75"/>
      <c r="F7" s="76">
        <v>37622</v>
      </c>
      <c r="G7" s="41">
        <f t="shared" si="0"/>
        <v>71678.75</v>
      </c>
      <c r="H7" s="77">
        <f t="shared" si="1"/>
        <v>56353.23</v>
      </c>
    </row>
    <row r="8" spans="1:8" ht="12.75">
      <c r="A8" s="67">
        <v>37288</v>
      </c>
      <c r="B8" s="68">
        <f>2008.4+1075.12+170.18</f>
        <v>3253.7</v>
      </c>
      <c r="C8" s="68"/>
      <c r="D8" s="69">
        <f>2834.68+1046.6+107.39</f>
        <v>3988.6699999999996</v>
      </c>
      <c r="E8" s="75"/>
      <c r="F8" s="76">
        <v>37653</v>
      </c>
      <c r="G8" s="41">
        <f t="shared" si="0"/>
        <v>79954.46999999999</v>
      </c>
      <c r="H8" s="77">
        <f t="shared" si="1"/>
        <v>55459.189999999995</v>
      </c>
    </row>
    <row r="9" spans="1:8" ht="12.75">
      <c r="A9" s="67">
        <v>37316</v>
      </c>
      <c r="B9" s="68">
        <f>873.21+68.9+2511.28</f>
        <v>3453.3900000000003</v>
      </c>
      <c r="C9" s="68"/>
      <c r="D9" s="69">
        <f>461.08+340.11+1103.38</f>
        <v>1904.5700000000002</v>
      </c>
      <c r="E9" s="75"/>
      <c r="F9" s="76">
        <v>37681</v>
      </c>
      <c r="G9" s="41">
        <f t="shared" si="0"/>
        <v>85996.69</v>
      </c>
      <c r="H9" s="77">
        <f t="shared" si="1"/>
        <v>56933.079999999994</v>
      </c>
    </row>
    <row r="10" spans="1:8" ht="12.75">
      <c r="A10" s="67">
        <v>37347</v>
      </c>
      <c r="B10" s="68">
        <v>3751</v>
      </c>
      <c r="C10" s="68"/>
      <c r="D10" s="69">
        <v>2237</v>
      </c>
      <c r="E10" s="75"/>
      <c r="F10" s="76">
        <v>37712</v>
      </c>
      <c r="G10" s="41">
        <f aca="true" t="shared" si="2" ref="G10:G16">SUM(B11:B22)</f>
        <v>90548.19</v>
      </c>
      <c r="H10" s="77">
        <f aca="true" t="shared" si="3" ref="H10:H16">SUM(D11:D22)</f>
        <v>58944.549999999996</v>
      </c>
    </row>
    <row r="11" spans="1:8" ht="12.75">
      <c r="A11" s="67">
        <v>37377</v>
      </c>
      <c r="B11" s="68">
        <v>3857.02</v>
      </c>
      <c r="C11" s="68"/>
      <c r="D11" s="69">
        <v>1094.23</v>
      </c>
      <c r="E11" s="75"/>
      <c r="F11" s="76">
        <v>37742</v>
      </c>
      <c r="G11" s="41">
        <f t="shared" si="2"/>
        <v>90232.9</v>
      </c>
      <c r="H11" s="77">
        <f t="shared" si="3"/>
        <v>59055.99</v>
      </c>
    </row>
    <row r="12" spans="1:8" ht="12.75">
      <c r="A12" s="67">
        <v>37408</v>
      </c>
      <c r="B12" s="68">
        <v>4046.77</v>
      </c>
      <c r="C12" s="68"/>
      <c r="D12" s="69">
        <v>537.83</v>
      </c>
      <c r="E12" s="75"/>
      <c r="F12" s="76">
        <v>37773</v>
      </c>
      <c r="G12" s="41">
        <f t="shared" si="2"/>
        <v>89823.91999999998</v>
      </c>
      <c r="H12" s="77">
        <f t="shared" si="3"/>
        <v>60757.189999999995</v>
      </c>
    </row>
    <row r="13" spans="1:8" ht="12.75">
      <c r="A13" s="67">
        <v>37438</v>
      </c>
      <c r="B13" s="68">
        <v>3674.31</v>
      </c>
      <c r="C13" s="68"/>
      <c r="D13" s="69">
        <v>11526.96</v>
      </c>
      <c r="E13" s="75"/>
      <c r="F13" s="76">
        <v>37803</v>
      </c>
      <c r="G13" s="41">
        <f t="shared" si="2"/>
        <v>94114.32999999999</v>
      </c>
      <c r="H13" s="77">
        <f t="shared" si="3"/>
        <v>51268.799999999996</v>
      </c>
    </row>
    <row r="14" spans="1:11" ht="12.75">
      <c r="A14" s="67">
        <v>37469</v>
      </c>
      <c r="B14" s="23">
        <v>2553.96</v>
      </c>
      <c r="C14" s="23"/>
      <c r="D14" s="24">
        <v>2544.23</v>
      </c>
      <c r="E14" s="75"/>
      <c r="F14" s="76">
        <v>37834</v>
      </c>
      <c r="G14" s="41">
        <f t="shared" si="2"/>
        <v>97997.10999999999</v>
      </c>
      <c r="H14" s="77">
        <f t="shared" si="3"/>
        <v>50486.24</v>
      </c>
      <c r="J14" s="136"/>
      <c r="K14" s="136"/>
    </row>
    <row r="15" spans="1:11" ht="12.75">
      <c r="A15" s="67">
        <v>37500</v>
      </c>
      <c r="B15" s="71">
        <v>7360.39</v>
      </c>
      <c r="C15" s="71"/>
      <c r="D15" s="72">
        <v>6265.09</v>
      </c>
      <c r="E15" s="75"/>
      <c r="F15" s="76">
        <v>37865</v>
      </c>
      <c r="G15" s="41">
        <f t="shared" si="2"/>
        <v>94147.81999999999</v>
      </c>
      <c r="H15" s="77">
        <f t="shared" si="3"/>
        <v>47731.52999999999</v>
      </c>
      <c r="J15" s="135"/>
      <c r="K15" s="135"/>
    </row>
    <row r="16" spans="1:11" ht="12.75">
      <c r="A16" s="67">
        <v>37530</v>
      </c>
      <c r="B16" s="73">
        <v>7204.86</v>
      </c>
      <c r="C16" s="71"/>
      <c r="D16" s="72">
        <v>9521.86</v>
      </c>
      <c r="E16" s="75"/>
      <c r="F16" s="76">
        <v>37895</v>
      </c>
      <c r="G16" s="41">
        <f t="shared" si="2"/>
        <v>92774.35</v>
      </c>
      <c r="H16" s="77">
        <f t="shared" si="3"/>
        <v>42934.04999999999</v>
      </c>
      <c r="J16" s="135"/>
      <c r="K16" s="135"/>
    </row>
    <row r="17" spans="1:11" ht="12.75">
      <c r="A17" s="67">
        <v>37561</v>
      </c>
      <c r="B17" s="71">
        <v>7866.06</v>
      </c>
      <c r="C17" s="71"/>
      <c r="D17" s="72">
        <v>6907.97</v>
      </c>
      <c r="E17" s="75"/>
      <c r="F17" s="76">
        <v>37926</v>
      </c>
      <c r="G17" s="41">
        <f aca="true" t="shared" si="4" ref="G17:G23">SUM(B18:B29)</f>
        <v>90076.38</v>
      </c>
      <c r="H17" s="77">
        <f aca="true" t="shared" si="5" ref="H17:H22">SUM(D18:D29)</f>
        <v>36691.56999999999</v>
      </c>
      <c r="J17" s="135"/>
      <c r="K17" s="135"/>
    </row>
    <row r="18" spans="1:11" ht="12.75">
      <c r="A18" s="67">
        <v>37591</v>
      </c>
      <c r="B18" s="71">
        <f>7471.61+172.54+2075.07+7322.9</f>
        <v>17042.12</v>
      </c>
      <c r="C18" s="71"/>
      <c r="D18" s="72">
        <f>1464.05+1362.34+2754.86</f>
        <v>5581.25</v>
      </c>
      <c r="E18" s="30"/>
      <c r="F18" s="76">
        <v>37956</v>
      </c>
      <c r="G18" s="41">
        <f t="shared" si="4"/>
        <v>76653.95</v>
      </c>
      <c r="H18" s="77">
        <f t="shared" si="5"/>
        <v>32882.350000000006</v>
      </c>
      <c r="J18" s="135"/>
      <c r="K18" s="135"/>
    </row>
    <row r="19" spans="1:11" ht="12.75">
      <c r="A19" s="67">
        <v>37622</v>
      </c>
      <c r="B19" s="71">
        <f>4870.2+747.72+1900.32+96.93</f>
        <v>7615.17</v>
      </c>
      <c r="C19" s="71"/>
      <c r="D19" s="72">
        <f>2075.54+1918.05+87.12+162.86</f>
        <v>4243.57</v>
      </c>
      <c r="E19" s="30"/>
      <c r="F19" s="76">
        <v>37987</v>
      </c>
      <c r="G19" s="41">
        <f t="shared" si="4"/>
        <v>73180.63</v>
      </c>
      <c r="H19" s="77">
        <f t="shared" si="5"/>
        <v>31230.460000000003</v>
      </c>
      <c r="J19" s="135"/>
      <c r="K19" s="135"/>
    </row>
    <row r="20" spans="1:11" ht="12.75">
      <c r="A20" s="67">
        <v>37653</v>
      </c>
      <c r="B20" s="71">
        <f>4455.53+1271.74+564.69+3014.96+2222.5</f>
        <v>11529.419999999998</v>
      </c>
      <c r="C20" s="71"/>
      <c r="D20" s="72">
        <f>1611.78+1223.96+258.89</f>
        <v>3094.6299999999997</v>
      </c>
      <c r="E20" s="30"/>
      <c r="F20" s="76">
        <v>38018</v>
      </c>
      <c r="G20" s="41">
        <f t="shared" si="4"/>
        <v>67175.26</v>
      </c>
      <c r="H20" s="77">
        <f t="shared" si="5"/>
        <v>31809.24</v>
      </c>
      <c r="J20" s="135"/>
      <c r="K20" s="135"/>
    </row>
    <row r="21" spans="1:11" ht="12.75">
      <c r="A21" s="67">
        <v>37681</v>
      </c>
      <c r="B21" s="71">
        <f>4869.5+3404.76+400.8+560.3+260.25</f>
        <v>9495.609999999999</v>
      </c>
      <c r="C21" s="71"/>
      <c r="D21" s="72">
        <f>1653.65+41.45+80.42+1602.94</f>
        <v>3378.46</v>
      </c>
      <c r="E21" s="30"/>
      <c r="F21" s="76">
        <v>38047</v>
      </c>
      <c r="G21" s="41">
        <f t="shared" si="4"/>
        <v>62199.66</v>
      </c>
      <c r="H21" s="77">
        <f t="shared" si="5"/>
        <v>32756.770000000004</v>
      </c>
      <c r="J21" s="135"/>
      <c r="K21" s="135"/>
    </row>
    <row r="22" spans="1:11" ht="12.75">
      <c r="A22" s="67">
        <v>37712</v>
      </c>
      <c r="B22" s="71">
        <f>3958.87+1489.92+295.47+2558.24</f>
        <v>8302.5</v>
      </c>
      <c r="C22" s="71"/>
      <c r="D22" s="72">
        <f>2088.89+962.79+1196.79</f>
        <v>4248.469999999999</v>
      </c>
      <c r="E22" s="30"/>
      <c r="F22" s="76">
        <v>38078</v>
      </c>
      <c r="G22" s="41">
        <f t="shared" si="4"/>
        <v>58913.350000000006</v>
      </c>
      <c r="H22" s="77">
        <f t="shared" si="5"/>
        <v>29841.06</v>
      </c>
      <c r="J22" s="135"/>
      <c r="K22" s="135"/>
    </row>
    <row r="23" spans="1:11" ht="12.75">
      <c r="A23" s="67">
        <v>37742</v>
      </c>
      <c r="B23" s="71">
        <v>3541.73</v>
      </c>
      <c r="C23" s="71"/>
      <c r="D23" s="72">
        <v>1205.67</v>
      </c>
      <c r="E23" s="30"/>
      <c r="F23" s="76">
        <v>38108</v>
      </c>
      <c r="G23" s="41">
        <f t="shared" si="4"/>
        <v>60371.700000000004</v>
      </c>
      <c r="H23" s="77">
        <f aca="true" t="shared" si="6" ref="H23:H28">SUM(D24:D35)</f>
        <v>29280.58</v>
      </c>
      <c r="J23" s="135"/>
      <c r="K23" s="135"/>
    </row>
    <row r="24" spans="1:11" ht="12.75">
      <c r="A24" s="67">
        <v>37775</v>
      </c>
      <c r="B24" s="71">
        <v>3637.79</v>
      </c>
      <c r="C24" s="71"/>
      <c r="D24" s="72">
        <v>2239.03</v>
      </c>
      <c r="E24" s="30"/>
      <c r="F24" s="76">
        <v>38139</v>
      </c>
      <c r="G24" s="41">
        <f aca="true" t="shared" si="7" ref="G24:G29">SUM(B25:B36)</f>
        <v>63078.16</v>
      </c>
      <c r="H24" s="77">
        <f t="shared" si="6"/>
        <v>28941.229999999996</v>
      </c>
      <c r="J24" s="135"/>
      <c r="K24" s="135"/>
    </row>
    <row r="25" spans="1:11" ht="12.75">
      <c r="A25" s="67">
        <v>37805</v>
      </c>
      <c r="B25" s="71">
        <v>7964.72</v>
      </c>
      <c r="C25" s="71"/>
      <c r="D25" s="72">
        <v>2038.57</v>
      </c>
      <c r="E25" s="30"/>
      <c r="F25" s="76">
        <v>38169</v>
      </c>
      <c r="G25" s="41">
        <f t="shared" si="7"/>
        <v>58930.92000000001</v>
      </c>
      <c r="H25" s="77">
        <f t="shared" si="6"/>
        <v>28678.359999999997</v>
      </c>
      <c r="J25" s="135"/>
      <c r="K25" s="135"/>
    </row>
    <row r="26" spans="1:11" ht="12.75">
      <c r="A26" s="67">
        <v>37836</v>
      </c>
      <c r="B26" s="71">
        <v>6436.74</v>
      </c>
      <c r="C26" s="71"/>
      <c r="D26" s="72">
        <v>1761.67</v>
      </c>
      <c r="E26" s="30"/>
      <c r="F26" s="76">
        <v>38200</v>
      </c>
      <c r="G26" s="41">
        <f t="shared" si="7"/>
        <v>55648.75000000001</v>
      </c>
      <c r="H26" s="77">
        <f t="shared" si="6"/>
        <v>28914.17</v>
      </c>
      <c r="J26" s="135"/>
      <c r="K26" s="135"/>
    </row>
    <row r="27" spans="1:11" ht="12.75">
      <c r="A27" s="67">
        <v>37867</v>
      </c>
      <c r="B27" s="71">
        <v>3511.1</v>
      </c>
      <c r="C27" s="71"/>
      <c r="D27" s="72">
        <v>3510.38</v>
      </c>
      <c r="E27" s="30"/>
      <c r="F27" s="76">
        <v>38231</v>
      </c>
      <c r="G27" s="41">
        <f t="shared" si="7"/>
        <v>59016.93000000001</v>
      </c>
      <c r="H27" s="77">
        <f t="shared" si="6"/>
        <v>27411.479999999996</v>
      </c>
      <c r="J27" s="135"/>
      <c r="K27" s="135"/>
    </row>
    <row r="28" spans="1:11" ht="12.75">
      <c r="A28" s="67">
        <v>37897</v>
      </c>
      <c r="B28" s="71">
        <v>5831.39</v>
      </c>
      <c r="C28" s="71"/>
      <c r="D28" s="72">
        <v>4724.38</v>
      </c>
      <c r="E28" s="30"/>
      <c r="F28" s="76">
        <v>38261</v>
      </c>
      <c r="G28" s="41">
        <f t="shared" si="7"/>
        <v>56774.41</v>
      </c>
      <c r="H28" s="77">
        <f t="shared" si="6"/>
        <v>26470.12</v>
      </c>
      <c r="J28" s="135"/>
      <c r="K28" s="135"/>
    </row>
    <row r="29" spans="1:11" ht="12.75">
      <c r="A29" s="67">
        <v>37928</v>
      </c>
      <c r="B29" s="71">
        <v>5168.09</v>
      </c>
      <c r="C29" s="71"/>
      <c r="D29" s="72">
        <v>665.49</v>
      </c>
      <c r="E29" s="30"/>
      <c r="F29" s="76">
        <v>38292</v>
      </c>
      <c r="G29" s="41">
        <f t="shared" si="7"/>
        <v>53987.35</v>
      </c>
      <c r="H29" s="77">
        <f aca="true" t="shared" si="8" ref="H29:H34">SUM(D30:D41)</f>
        <v>28684.350000000002</v>
      </c>
      <c r="J29" s="135"/>
      <c r="K29" s="135"/>
    </row>
    <row r="30" spans="1:11" ht="12.75">
      <c r="A30" s="67">
        <v>37958</v>
      </c>
      <c r="B30" s="71">
        <v>3619.69</v>
      </c>
      <c r="C30" s="71"/>
      <c r="D30" s="72">
        <v>1772.03</v>
      </c>
      <c r="E30" s="30"/>
      <c r="F30" s="76">
        <v>38322</v>
      </c>
      <c r="G30" s="41">
        <f>SUM(B31:B42)</f>
        <v>53477.12</v>
      </c>
      <c r="H30" s="77">
        <f t="shared" si="8"/>
        <v>29591.870000000003</v>
      </c>
      <c r="J30" s="135"/>
      <c r="K30" s="135"/>
    </row>
    <row r="31" spans="1:11" ht="12.75">
      <c r="A31" s="67">
        <v>37989</v>
      </c>
      <c r="B31" s="71">
        <v>4141.85</v>
      </c>
      <c r="C31" s="71"/>
      <c r="D31" s="72">
        <v>2591.68</v>
      </c>
      <c r="E31" s="30"/>
      <c r="F31" s="76">
        <v>38353</v>
      </c>
      <c r="G31" s="41">
        <f>SUM(B32:B43)</f>
        <v>52719.810000000005</v>
      </c>
      <c r="H31" s="77">
        <f t="shared" si="8"/>
        <v>32701.780000000002</v>
      </c>
      <c r="J31" s="135"/>
      <c r="K31" s="135"/>
    </row>
    <row r="32" spans="1:11" ht="12.75">
      <c r="A32" s="67">
        <v>38020</v>
      </c>
      <c r="B32" s="73">
        <v>5524.05</v>
      </c>
      <c r="C32" s="71"/>
      <c r="D32" s="143">
        <v>3673.41</v>
      </c>
      <c r="E32" s="30"/>
      <c r="F32" s="76">
        <v>38384</v>
      </c>
      <c r="G32" s="41">
        <f>SUM(B33:B44)</f>
        <v>52527.5</v>
      </c>
      <c r="H32" s="77">
        <f t="shared" si="8"/>
        <v>31344.280000000002</v>
      </c>
      <c r="J32" s="135"/>
      <c r="K32" s="135"/>
    </row>
    <row r="33" spans="1:11" ht="12.75">
      <c r="A33" s="67">
        <v>38049</v>
      </c>
      <c r="B33" s="71">
        <v>4520.01</v>
      </c>
      <c r="C33" s="71"/>
      <c r="D33" s="72">
        <v>4325.99</v>
      </c>
      <c r="E33" s="30"/>
      <c r="F33" s="76">
        <v>38412</v>
      </c>
      <c r="G33" s="41">
        <f>SUM(B34:B45)</f>
        <v>53080.229999999996</v>
      </c>
      <c r="H33" s="77">
        <f t="shared" si="8"/>
        <v>29694.920000000002</v>
      </c>
      <c r="J33" s="135"/>
      <c r="K33" s="135"/>
    </row>
    <row r="34" spans="1:11" ht="12.75">
      <c r="A34" s="67">
        <v>38080</v>
      </c>
      <c r="B34" s="71">
        <v>5016.19</v>
      </c>
      <c r="C34" s="71"/>
      <c r="D34" s="72">
        <v>1332.76</v>
      </c>
      <c r="E34" s="30"/>
      <c r="F34" s="76">
        <v>38443</v>
      </c>
      <c r="G34" s="41">
        <f>SUM(B35:B46)</f>
        <v>53404.24999999999</v>
      </c>
      <c r="H34" s="77">
        <f t="shared" si="8"/>
        <v>29390.22</v>
      </c>
      <c r="J34" s="135"/>
      <c r="K34" s="135"/>
    </row>
    <row r="35" spans="1:11" ht="12.75">
      <c r="A35" s="67">
        <v>38110</v>
      </c>
      <c r="B35" s="71">
        <v>5000.08</v>
      </c>
      <c r="C35" s="71"/>
      <c r="D35" s="72">
        <v>645.19</v>
      </c>
      <c r="E35" s="30"/>
      <c r="F35" s="76">
        <v>38473</v>
      </c>
      <c r="G35" s="41">
        <f>SUM(B36:B61)</f>
        <v>130807.28</v>
      </c>
      <c r="H35" s="77">
        <f>SUM(D36:D61)</f>
        <v>54476.76</v>
      </c>
      <c r="J35" s="135"/>
      <c r="K35" s="135"/>
    </row>
    <row r="36" spans="1:11" ht="12.75">
      <c r="A36" s="67">
        <v>38141</v>
      </c>
      <c r="B36" s="71">
        <v>6344.25</v>
      </c>
      <c r="C36" s="71"/>
      <c r="D36" s="72">
        <v>1899.68</v>
      </c>
      <c r="E36" s="30"/>
      <c r="F36" s="76">
        <v>38504</v>
      </c>
      <c r="G36" s="41">
        <f>SUM(B37:B62)</f>
        <v>124463.03</v>
      </c>
      <c r="H36" s="77">
        <f>SUM(D37:D62)</f>
        <v>52577.079999999994</v>
      </c>
      <c r="J36" s="135"/>
      <c r="K36" s="135"/>
    </row>
    <row r="37" spans="1:11" ht="12.75">
      <c r="A37" s="67">
        <v>38171</v>
      </c>
      <c r="B37" s="71">
        <v>3817.48</v>
      </c>
      <c r="C37" s="71"/>
      <c r="D37" s="72">
        <v>1775.7</v>
      </c>
      <c r="E37" s="30"/>
      <c r="F37" s="76">
        <v>38534</v>
      </c>
      <c r="G37" s="41">
        <f aca="true" t="shared" si="9" ref="G37:G43">SUM(B38:B49)</f>
        <v>55174.270000000004</v>
      </c>
      <c r="H37" s="77">
        <f aca="true" t="shared" si="10" ref="H37:H43">SUM(D38:D49)</f>
        <v>29926.410000000003</v>
      </c>
      <c r="J37" s="135"/>
      <c r="K37" s="135"/>
    </row>
    <row r="38" spans="1:11" ht="12.75">
      <c r="A38" s="67">
        <v>38202</v>
      </c>
      <c r="B38" s="71">
        <v>3154.57</v>
      </c>
      <c r="C38" s="71"/>
      <c r="D38" s="72">
        <v>1997.48</v>
      </c>
      <c r="E38" s="30"/>
      <c r="F38" s="76">
        <v>38565</v>
      </c>
      <c r="G38" s="41">
        <f t="shared" si="9"/>
        <v>57709.329999999994</v>
      </c>
      <c r="H38" s="77">
        <f t="shared" si="10"/>
        <v>29769.22</v>
      </c>
      <c r="J38" s="135"/>
      <c r="K38" s="135"/>
    </row>
    <row r="39" spans="1:11" ht="12.75">
      <c r="A39" s="67">
        <v>38233</v>
      </c>
      <c r="B39" s="71">
        <f>6887.38-8.1</f>
        <v>6879.28</v>
      </c>
      <c r="C39" s="71"/>
      <c r="D39" s="72">
        <v>2007.69</v>
      </c>
      <c r="E39" s="30"/>
      <c r="F39" s="76">
        <v>38596</v>
      </c>
      <c r="G39" s="41">
        <f t="shared" si="9"/>
        <v>55825.899999999994</v>
      </c>
      <c r="H39" s="77">
        <f t="shared" si="10"/>
        <v>29341.790000000005</v>
      </c>
      <c r="J39" s="135"/>
      <c r="K39" s="135"/>
    </row>
    <row r="40" spans="1:11" ht="12.75">
      <c r="A40" s="67">
        <v>38263</v>
      </c>
      <c r="B40" s="71">
        <v>3588.87</v>
      </c>
      <c r="C40" s="71"/>
      <c r="D40" s="72">
        <v>3783.02</v>
      </c>
      <c r="E40" s="30"/>
      <c r="F40" s="76">
        <v>38626</v>
      </c>
      <c r="G40" s="41">
        <f t="shared" si="9"/>
        <v>59543.30999999999</v>
      </c>
      <c r="H40" s="77">
        <f t="shared" si="10"/>
        <v>27405.15</v>
      </c>
      <c r="J40" s="135"/>
      <c r="K40" s="135"/>
    </row>
    <row r="41" spans="1:11" ht="12.75">
      <c r="A41" s="67">
        <v>38294</v>
      </c>
      <c r="B41" s="71">
        <v>2381.03</v>
      </c>
      <c r="C41" s="71"/>
      <c r="D41" s="72">
        <v>2879.72</v>
      </c>
      <c r="E41" s="30"/>
      <c r="F41" s="76">
        <v>38657</v>
      </c>
      <c r="G41" s="41">
        <f t="shared" si="9"/>
        <v>63795.26999999999</v>
      </c>
      <c r="H41" s="77">
        <f t="shared" si="10"/>
        <v>26725.67</v>
      </c>
      <c r="J41" s="135"/>
      <c r="K41" s="135"/>
    </row>
    <row r="42" spans="1:11" ht="12.75">
      <c r="A42" s="67">
        <v>38324</v>
      </c>
      <c r="B42" s="71">
        <v>3109.46</v>
      </c>
      <c r="C42" s="71"/>
      <c r="D42" s="72">
        <v>2679.55</v>
      </c>
      <c r="E42" s="30"/>
      <c r="F42" s="76">
        <v>38687</v>
      </c>
      <c r="G42" s="41">
        <f>SUM(B43:B54)</f>
        <v>65696.18</v>
      </c>
      <c r="H42" s="77">
        <f>SUM(D43:D54)</f>
        <v>26269.160000000003</v>
      </c>
      <c r="J42" s="135"/>
      <c r="K42" s="135"/>
    </row>
    <row r="43" spans="1:11" ht="12.75">
      <c r="A43" s="67">
        <v>38355</v>
      </c>
      <c r="B43" s="71">
        <v>3384.54</v>
      </c>
      <c r="C43" s="71"/>
      <c r="D43" s="72">
        <v>5701.59</v>
      </c>
      <c r="E43" s="30"/>
      <c r="F43" s="76">
        <v>38718</v>
      </c>
      <c r="G43" s="41">
        <f t="shared" si="9"/>
        <v>68384.04</v>
      </c>
      <c r="H43" s="77">
        <f t="shared" si="10"/>
        <v>22371.21</v>
      </c>
      <c r="J43" s="135"/>
      <c r="K43" s="135"/>
    </row>
    <row r="44" spans="1:11" ht="12.75">
      <c r="A44" s="67">
        <v>38386</v>
      </c>
      <c r="B44" s="71">
        <v>5331.74</v>
      </c>
      <c r="C44" s="71"/>
      <c r="D44" s="72">
        <v>2315.91</v>
      </c>
      <c r="E44" s="30"/>
      <c r="F44" s="76">
        <v>38749</v>
      </c>
      <c r="G44" s="41">
        <f>SUM(B45:B56)</f>
        <v>67724.73999999999</v>
      </c>
      <c r="H44" s="77">
        <f>SUM(D45:D56)</f>
        <v>21254.35</v>
      </c>
      <c r="J44" s="135"/>
      <c r="K44" s="135"/>
    </row>
    <row r="45" spans="1:11" ht="12.75">
      <c r="A45" s="67">
        <v>38414</v>
      </c>
      <c r="B45" s="71">
        <v>5072.74</v>
      </c>
      <c r="C45" s="71"/>
      <c r="D45" s="72">
        <v>2676.63</v>
      </c>
      <c r="E45" s="30"/>
      <c r="F45" s="76">
        <v>38777</v>
      </c>
      <c r="G45" s="41">
        <f>SUM(B46:B61)</f>
        <v>87743.32</v>
      </c>
      <c r="H45" s="77">
        <f>SUM(D46:D61)</f>
        <v>26759.79</v>
      </c>
      <c r="J45" s="135"/>
      <c r="K45" s="135"/>
    </row>
    <row r="46" spans="1:11" ht="12.75">
      <c r="A46" s="67">
        <v>38445</v>
      </c>
      <c r="B46" s="71">
        <v>5340.21</v>
      </c>
      <c r="C46" s="71"/>
      <c r="D46" s="72">
        <v>1028.06</v>
      </c>
      <c r="E46" s="30"/>
      <c r="F46" s="76">
        <v>38808</v>
      </c>
      <c r="G46" s="41">
        <f>SUM(B47:B58)</f>
        <v>71510.70999999999</v>
      </c>
      <c r="H46" s="77">
        <f>SUM(D47:D58)</f>
        <v>21896.239999999994</v>
      </c>
      <c r="J46" s="135"/>
      <c r="K46" s="135"/>
    </row>
    <row r="47" spans="1:11" ht="12.75">
      <c r="A47" s="67">
        <v>38475</v>
      </c>
      <c r="B47" s="71">
        <v>5024.41</v>
      </c>
      <c r="C47" s="71"/>
      <c r="D47" s="72">
        <v>1455.52</v>
      </c>
      <c r="E47" s="30"/>
      <c r="F47" s="76">
        <v>38838</v>
      </c>
      <c r="G47" s="41">
        <f>SUM(B48:B59)</f>
        <v>72539.27</v>
      </c>
      <c r="H47" s="77">
        <f>SUM(D48:D59)</f>
        <v>23096.87</v>
      </c>
      <c r="J47" s="135"/>
      <c r="K47" s="135"/>
    </row>
    <row r="48" spans="1:11" ht="12.75">
      <c r="A48" s="67">
        <v>38506</v>
      </c>
      <c r="B48" s="71">
        <v>8168.57</v>
      </c>
      <c r="C48" s="71"/>
      <c r="D48" s="72">
        <v>1414.42</v>
      </c>
      <c r="E48" s="30"/>
      <c r="F48" s="76">
        <v>38869</v>
      </c>
      <c r="G48" s="41">
        <f>SUM(B49:B60)</f>
        <v>69210.13</v>
      </c>
      <c r="H48" s="77">
        <f>SUM(D49:D60)</f>
        <v>22861.79</v>
      </c>
      <c r="J48" s="135"/>
      <c r="K48" s="135"/>
    </row>
    <row r="49" spans="1:11" ht="12.75">
      <c r="A49" s="67">
        <v>38536</v>
      </c>
      <c r="B49" s="71">
        <v>3738.85</v>
      </c>
      <c r="C49" s="71"/>
      <c r="D49" s="72">
        <v>1986.82</v>
      </c>
      <c r="E49" s="30"/>
      <c r="F49" s="76"/>
      <c r="G49" s="41"/>
      <c r="H49" s="77"/>
      <c r="J49" s="135"/>
      <c r="K49" s="135"/>
    </row>
    <row r="50" spans="1:11" ht="12.75">
      <c r="A50" s="67">
        <v>38567</v>
      </c>
      <c r="B50" s="71">
        <v>5689.63</v>
      </c>
      <c r="C50" s="71"/>
      <c r="D50" s="72">
        <v>1840.29</v>
      </c>
      <c r="E50" s="30"/>
      <c r="F50" s="76"/>
      <c r="G50" s="41"/>
      <c r="H50" s="77"/>
      <c r="J50" s="135"/>
      <c r="K50" s="135"/>
    </row>
    <row r="51" spans="1:11" ht="12.75">
      <c r="A51" s="67">
        <v>38598</v>
      </c>
      <c r="B51" s="71">
        <v>4995.85</v>
      </c>
      <c r="C51" s="71"/>
      <c r="D51" s="72">
        <v>1580.26</v>
      </c>
      <c r="E51" s="30"/>
      <c r="F51" s="76"/>
      <c r="G51" s="41"/>
      <c r="H51" s="77"/>
      <c r="J51" s="135"/>
      <c r="K51" s="135"/>
    </row>
    <row r="52" spans="1:11" ht="12.75">
      <c r="A52" s="67">
        <v>38628</v>
      </c>
      <c r="B52" s="71">
        <v>7306.28</v>
      </c>
      <c r="C52" s="71"/>
      <c r="D52" s="72">
        <v>1846.38</v>
      </c>
      <c r="E52" s="30"/>
      <c r="F52" s="76"/>
      <c r="G52" s="41"/>
      <c r="H52" s="77"/>
      <c r="J52" s="135"/>
      <c r="K52" s="135"/>
    </row>
    <row r="53" spans="1:11" ht="12.75">
      <c r="A53" s="67">
        <v>38659</v>
      </c>
      <c r="B53" s="71">
        <v>6632.99</v>
      </c>
      <c r="C53" s="71"/>
      <c r="D53" s="72">
        <v>2200.24</v>
      </c>
      <c r="E53" s="30"/>
      <c r="F53" s="76"/>
      <c r="G53" s="41"/>
      <c r="H53" s="77"/>
      <c r="J53" s="135"/>
      <c r="K53" s="135"/>
    </row>
    <row r="54" spans="1:11" ht="12.75">
      <c r="A54" s="67">
        <v>38689</v>
      </c>
      <c r="B54" s="71">
        <v>5010.37</v>
      </c>
      <c r="C54" s="71"/>
      <c r="D54" s="72">
        <v>2223.04</v>
      </c>
      <c r="E54" s="30"/>
      <c r="F54" s="76"/>
      <c r="G54" s="41"/>
      <c r="H54" s="77"/>
      <c r="J54" s="135"/>
      <c r="K54" s="135"/>
    </row>
    <row r="55" spans="1:11" ht="12.75">
      <c r="A55" s="67">
        <v>38720</v>
      </c>
      <c r="B55" s="71">
        <v>6072.4</v>
      </c>
      <c r="C55" s="71"/>
      <c r="D55" s="72">
        <v>1803.64</v>
      </c>
      <c r="E55" s="30"/>
      <c r="F55" s="76"/>
      <c r="G55" s="41"/>
      <c r="H55" s="77"/>
      <c r="J55" s="135"/>
      <c r="K55" s="135"/>
    </row>
    <row r="56" spans="1:11" ht="12.75">
      <c r="A56" s="67">
        <v>38751</v>
      </c>
      <c r="B56" s="71">
        <v>4672.44</v>
      </c>
      <c r="C56" s="71"/>
      <c r="D56" s="72">
        <v>1199.05</v>
      </c>
      <c r="E56" s="30"/>
      <c r="F56" s="76"/>
      <c r="G56" s="41"/>
      <c r="H56" s="77"/>
      <c r="J56" s="135"/>
      <c r="K56" s="135"/>
    </row>
    <row r="57" spans="1:11" ht="12.75">
      <c r="A57" s="67">
        <v>38779</v>
      </c>
      <c r="B57" s="71">
        <v>6148.63</v>
      </c>
      <c r="C57" s="71"/>
      <c r="D57" s="72">
        <v>2108.49</v>
      </c>
      <c r="E57" s="30"/>
      <c r="F57" s="76"/>
      <c r="G57" s="41"/>
      <c r="H57" s="77"/>
      <c r="J57" s="135"/>
      <c r="K57" s="135"/>
    </row>
    <row r="58" spans="1:11" ht="12.75">
      <c r="A58" s="67">
        <v>38810</v>
      </c>
      <c r="B58" s="71">
        <v>8050.29</v>
      </c>
      <c r="C58" s="71"/>
      <c r="D58" s="72">
        <v>2238.09</v>
      </c>
      <c r="E58" s="30"/>
      <c r="F58" s="76"/>
      <c r="G58" s="41"/>
      <c r="H58" s="77"/>
      <c r="J58" s="135"/>
      <c r="K58" s="135"/>
    </row>
    <row r="59" spans="1:11" ht="12.75">
      <c r="A59" s="67">
        <v>38840</v>
      </c>
      <c r="B59" s="71">
        <v>6052.97</v>
      </c>
      <c r="C59" s="71"/>
      <c r="D59" s="72">
        <v>2656.15</v>
      </c>
      <c r="E59" s="30"/>
      <c r="F59" s="76"/>
      <c r="G59" s="41"/>
      <c r="H59" s="77"/>
      <c r="J59" s="135"/>
      <c r="K59" s="135"/>
    </row>
    <row r="60" spans="1:11" ht="12.75">
      <c r="A60" s="67">
        <v>38871</v>
      </c>
      <c r="B60" s="71">
        <v>4839.43</v>
      </c>
      <c r="C60" s="71"/>
      <c r="D60" s="72">
        <v>1179.34</v>
      </c>
      <c r="E60" s="30"/>
      <c r="F60" s="76"/>
      <c r="G60" s="41"/>
      <c r="H60" s="77"/>
      <c r="J60" s="135"/>
      <c r="K60" s="135"/>
    </row>
    <row r="61" spans="1:11" ht="12.75">
      <c r="A61" s="74"/>
      <c r="B61" s="70"/>
      <c r="C61" s="70"/>
      <c r="D61" s="48"/>
      <c r="E61" s="43"/>
      <c r="F61" s="8"/>
      <c r="G61" s="8"/>
      <c r="H61" s="44"/>
      <c r="J61" s="135"/>
      <c r="K61" s="135"/>
    </row>
    <row r="62" spans="1:11" ht="12.75">
      <c r="A62" s="130"/>
      <c r="B62" s="68"/>
      <c r="C62" s="68"/>
      <c r="D62" s="69"/>
      <c r="E62" s="30"/>
      <c r="F62" s="13"/>
      <c r="G62" s="13"/>
      <c r="H62" s="13"/>
      <c r="J62" s="135"/>
      <c r="K62" s="135"/>
    </row>
    <row r="63" spans="1:11" ht="12.75">
      <c r="A63" s="33" t="s">
        <v>14</v>
      </c>
      <c r="B63" s="146" t="s">
        <v>49</v>
      </c>
      <c r="C63" s="68"/>
      <c r="D63" s="69"/>
      <c r="E63" s="30"/>
      <c r="F63" s="13"/>
      <c r="G63" s="13"/>
      <c r="H63" s="13"/>
      <c r="J63" s="135"/>
      <c r="K63" s="135"/>
    </row>
    <row r="64" spans="2:11" ht="12.75">
      <c r="B64" s="105" t="s">
        <v>47</v>
      </c>
      <c r="C64" s="106"/>
      <c r="D64" s="107"/>
      <c r="E64" s="102"/>
      <c r="F64" s="102"/>
      <c r="G64" s="102"/>
      <c r="H64" s="102"/>
      <c r="I64" s="102"/>
      <c r="J64" s="135"/>
      <c r="K64" s="135"/>
    </row>
    <row r="65" spans="1:11" ht="12.75">
      <c r="A65" s="14"/>
      <c r="B65" s="104" t="s">
        <v>30</v>
      </c>
      <c r="C65" s="102"/>
      <c r="D65" s="104"/>
      <c r="E65" s="102"/>
      <c r="F65" s="102"/>
      <c r="G65" s="102"/>
      <c r="H65" s="102"/>
      <c r="I65" s="102"/>
      <c r="J65" s="135"/>
      <c r="K65" s="135"/>
    </row>
    <row r="66" spans="2:9" ht="12.75">
      <c r="B66" s="104" t="s">
        <v>31</v>
      </c>
      <c r="C66" s="102"/>
      <c r="D66" s="104"/>
      <c r="E66" s="102"/>
      <c r="F66" s="102"/>
      <c r="G66" s="102"/>
      <c r="H66" s="102"/>
      <c r="I66" s="102"/>
    </row>
    <row r="67" spans="2:9" ht="12.75">
      <c r="B67" s="104" t="s">
        <v>32</v>
      </c>
      <c r="C67" s="102"/>
      <c r="D67" s="104"/>
      <c r="E67" s="102"/>
      <c r="F67" s="102"/>
      <c r="G67" s="102"/>
      <c r="H67" s="102"/>
      <c r="I67" s="102"/>
    </row>
    <row r="68" spans="2:4" ht="12.75">
      <c r="B68" s="15"/>
      <c r="D68" s="15"/>
    </row>
    <row r="69" spans="1:4" ht="12.75" hidden="1">
      <c r="A69" s="14">
        <v>37622</v>
      </c>
      <c r="B69" s="15"/>
      <c r="D69" s="15"/>
    </row>
    <row r="70" spans="1:2" ht="12.75" hidden="1">
      <c r="A70" s="14">
        <v>37653</v>
      </c>
      <c r="B70" s="15"/>
    </row>
    <row r="71" spans="1:2" ht="12.75" hidden="1">
      <c r="A71" s="14">
        <v>37681</v>
      </c>
      <c r="B71" s="15"/>
    </row>
    <row r="72" spans="1:2" ht="12.75" hidden="1">
      <c r="A72" s="14">
        <v>37712</v>
      </c>
      <c r="B72" s="15"/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&amp;LRecoveries - Customer AR (14202401)</oddHeader>
    <oddFooter>&amp;L&amp;"Arial,Italic"&amp;7G:\accounting\ga\AR Reserve\AR Reserve FY03\Gas AR Reserve FY03\Calculation for Gas AR Reserve FY03.xls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pane ySplit="3" topLeftCell="BM10" activePane="bottomLeft" state="frozen"/>
      <selection pane="topLeft" activeCell="A1" sqref="A1"/>
      <selection pane="bottomLeft" activeCell="F48" sqref="F48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2.421875" style="1" bestFit="1" customWidth="1"/>
    <col min="4" max="4" width="10.57421875" style="1" bestFit="1" customWidth="1"/>
    <col min="5" max="5" width="13.28125" style="1" customWidth="1"/>
    <col min="6" max="6" width="11.7109375" style="1" customWidth="1"/>
    <col min="7" max="7" width="12.140625" style="1" customWidth="1"/>
    <col min="8" max="8" width="11.00390625" style="1" customWidth="1"/>
    <col min="9" max="9" width="11.7109375" style="1" customWidth="1"/>
    <col min="10" max="16384" width="9.140625" style="1" customWidth="1"/>
  </cols>
  <sheetData>
    <row r="1" spans="1:9" ht="12">
      <c r="A1" s="159" t="s">
        <v>24</v>
      </c>
      <c r="B1" s="160"/>
      <c r="C1" s="160"/>
      <c r="D1" s="160"/>
      <c r="E1" s="160"/>
      <c r="F1" s="159" t="s">
        <v>25</v>
      </c>
      <c r="G1" s="160"/>
      <c r="H1" s="160"/>
      <c r="I1" s="161"/>
    </row>
    <row r="2" spans="1:9" ht="12">
      <c r="A2" s="90"/>
      <c r="B2" s="156" t="s">
        <v>23</v>
      </c>
      <c r="C2" s="156"/>
      <c r="D2" s="156" t="s">
        <v>0</v>
      </c>
      <c r="E2" s="156"/>
      <c r="F2" s="157" t="s">
        <v>23</v>
      </c>
      <c r="G2" s="156"/>
      <c r="H2" s="156" t="s">
        <v>0</v>
      </c>
      <c r="I2" s="158"/>
    </row>
    <row r="3" spans="1:9" ht="12">
      <c r="A3" s="121"/>
      <c r="B3" s="122" t="s">
        <v>1</v>
      </c>
      <c r="C3" s="122" t="s">
        <v>2</v>
      </c>
      <c r="D3" s="122" t="s">
        <v>1</v>
      </c>
      <c r="E3" s="122" t="s">
        <v>2</v>
      </c>
      <c r="F3" s="123" t="s">
        <v>1</v>
      </c>
      <c r="G3" s="122" t="s">
        <v>2</v>
      </c>
      <c r="H3" s="122" t="s">
        <v>1</v>
      </c>
      <c r="I3" s="124" t="s">
        <v>2</v>
      </c>
    </row>
    <row r="4" spans="1:9" ht="12">
      <c r="A4" s="101">
        <v>37530</v>
      </c>
      <c r="B4" s="92">
        <f>Writeoff!B16</f>
        <v>11837.37</v>
      </c>
      <c r="C4" s="92">
        <f>Writeoff!J16</f>
        <v>9588.49</v>
      </c>
      <c r="D4" s="92">
        <f>-Recovery!B16*((B4/(B4+C4)))</f>
        <v>-3980.544707106272</v>
      </c>
      <c r="E4" s="92">
        <f>-Recovery!B16*((C4/(B4+C4)))</f>
        <v>-3224.315292893727</v>
      </c>
      <c r="F4" s="118">
        <f>Writeoff!C16</f>
        <v>6509.15</v>
      </c>
      <c r="G4" s="92">
        <f>Writeoff!K16</f>
        <v>202.9</v>
      </c>
      <c r="H4" s="92">
        <f>-Recovery!D16*((F4/(F4+G4)))</f>
        <v>-9234.021650464465</v>
      </c>
      <c r="I4" s="91">
        <f>-Recovery!D16*((G4/(F4+G4)))</f>
        <v>-287.8383495355369</v>
      </c>
    </row>
    <row r="5" spans="1:9" ht="12">
      <c r="A5" s="101">
        <v>37561</v>
      </c>
      <c r="B5" s="92">
        <f>Writeoff!B17</f>
        <v>9532.75</v>
      </c>
      <c r="C5" s="92">
        <f>Writeoff!J17</f>
        <v>1243.76</v>
      </c>
      <c r="D5" s="92">
        <f>-Recovery!B17*((B5/(B5+C5)))</f>
        <v>-6958.206642503</v>
      </c>
      <c r="E5" s="92">
        <f>-Recovery!B17*((C5/(B5+C5)))</f>
        <v>-907.8533574970005</v>
      </c>
      <c r="F5" s="118">
        <f>Writeoff!C17</f>
        <v>6998.46</v>
      </c>
      <c r="G5" s="92">
        <f>Writeoff!K17</f>
        <v>1777.58</v>
      </c>
      <c r="H5" s="92">
        <f>-Recovery!D17*((F5/(F5+G5)))</f>
        <v>-5508.766109338608</v>
      </c>
      <c r="I5" s="91">
        <f>-Recovery!D17*((G5/(F5+G5)))</f>
        <v>-1399.2038906613916</v>
      </c>
    </row>
    <row r="6" spans="1:9" ht="12">
      <c r="A6" s="101">
        <v>37591</v>
      </c>
      <c r="B6" s="92">
        <f>Writeoff!B18</f>
        <v>20397.16</v>
      </c>
      <c r="C6" s="92">
        <f>Writeoff!J18</f>
        <v>4494.59</v>
      </c>
      <c r="D6" s="92">
        <f>-Recovery!B18*((B6/(B6+C6)))</f>
        <v>-13964.901960657648</v>
      </c>
      <c r="E6" s="92">
        <f>-Recovery!B18*((C6/(B6+C6)))</f>
        <v>-3077.2180393423523</v>
      </c>
      <c r="F6" s="118">
        <f>Writeoff!C18</f>
        <v>10847.4</v>
      </c>
      <c r="G6" s="92">
        <f>Writeoff!K18</f>
        <v>2498.89</v>
      </c>
      <c r="H6" s="92">
        <f>-Recovery!D18*((F6/(F6+G6)))</f>
        <v>-4536.245746945406</v>
      </c>
      <c r="I6" s="91">
        <f>-Recovery!D18*((G6/(F6+G6)))</f>
        <v>-1045.004253054594</v>
      </c>
    </row>
    <row r="7" spans="1:9" ht="12">
      <c r="A7" s="101">
        <v>37622</v>
      </c>
      <c r="B7" s="92">
        <f>Writeoff!B19</f>
        <v>51629.2</v>
      </c>
      <c r="C7" s="92">
        <f>Writeoff!J19</f>
        <v>13960.19</v>
      </c>
      <c r="D7" s="92">
        <f>-Recovery!B19*((B7/(B7+C7)))</f>
        <v>-5994.34047128659</v>
      </c>
      <c r="E7" s="92">
        <f>-Recovery!B19*((C7/(B7+C7)))</f>
        <v>-1620.8295287134094</v>
      </c>
      <c r="F7" s="118">
        <f>Writeoff!C19</f>
        <v>20823.48</v>
      </c>
      <c r="G7" s="92">
        <f>Writeoff!K19</f>
        <v>3989.7</v>
      </c>
      <c r="H7" s="92">
        <f>-Recovery!D19*((F7/(F7+G7)))</f>
        <v>-3561.248297219461</v>
      </c>
      <c r="I7" s="91">
        <f>-Recovery!D19*((G7/(F7+G7)))</f>
        <v>-682.3217027805383</v>
      </c>
    </row>
    <row r="8" spans="1:9" ht="12">
      <c r="A8" s="101">
        <v>37653</v>
      </c>
      <c r="B8" s="92">
        <f>Writeoff!B20</f>
        <v>68366.09</v>
      </c>
      <c r="C8" s="92">
        <f>Writeoff!J20</f>
        <v>11991.22</v>
      </c>
      <c r="D8" s="92">
        <f>-Recovery!B20*((B8/(B8+C8)))</f>
        <v>-9808.956588614028</v>
      </c>
      <c r="E8" s="92">
        <f>-Recovery!B20*((C8/(B8+C8)))</f>
        <v>-1720.4634113859706</v>
      </c>
      <c r="F8" s="118">
        <f>Writeoff!C20</f>
        <v>25363.84</v>
      </c>
      <c r="G8" s="92">
        <f>Writeoff!K20</f>
        <v>7989.32</v>
      </c>
      <c r="H8" s="92">
        <f>-Recovery!D20*((F8/(F8+G8)))</f>
        <v>-2353.3512320631685</v>
      </c>
      <c r="I8" s="91">
        <f>-Recovery!D20*((G8/(F8+G8)))</f>
        <v>-741.2787679368311</v>
      </c>
    </row>
    <row r="9" spans="1:9" ht="12">
      <c r="A9" s="101">
        <v>37681</v>
      </c>
      <c r="B9" s="92">
        <f>Writeoff!B21</f>
        <v>72834.53</v>
      </c>
      <c r="C9" s="92">
        <f>Writeoff!J21</f>
        <v>18731.75</v>
      </c>
      <c r="D9" s="92">
        <f>-Recovery!B21*((B9/(B9+C9)))</f>
        <v>-7553.089318614886</v>
      </c>
      <c r="E9" s="92">
        <f>-Recovery!B21*((C9/(B9+C9)))</f>
        <v>-1942.5206813851123</v>
      </c>
      <c r="F9" s="118">
        <f>Writeoff!C21</f>
        <v>32870.03</v>
      </c>
      <c r="G9" s="92">
        <f>Writeoff!K21</f>
        <v>3189.65</v>
      </c>
      <c r="H9" s="92">
        <f>-Recovery!D21*((F9/(F9+G9)))</f>
        <v>-3079.6191633924645</v>
      </c>
      <c r="I9" s="91">
        <f>-Recovery!D21*((G9/(F9+G9)))</f>
        <v>-298.8408366075351</v>
      </c>
    </row>
    <row r="10" spans="1:9" ht="12">
      <c r="A10" s="101">
        <v>37712</v>
      </c>
      <c r="B10" s="92">
        <f>Writeoff!B22</f>
        <v>84337.84</v>
      </c>
      <c r="C10" s="92">
        <f>Writeoff!J22</f>
        <v>23251.09</v>
      </c>
      <c r="D10" s="92">
        <f>-Recovery!B22*((B10/(B10+C10)))</f>
        <v>-6508.243149179009</v>
      </c>
      <c r="E10" s="92">
        <f>-Recovery!B22*((C10/(B10+C10)))</f>
        <v>-1794.2568508209906</v>
      </c>
      <c r="F10" s="118">
        <f>Writeoff!C22</f>
        <v>42217.46</v>
      </c>
      <c r="G10" s="92">
        <f>Writeoff!K22</f>
        <v>8600.85</v>
      </c>
      <c r="H10" s="92">
        <f>-Recovery!D22*((F10/(F10+G10)))</f>
        <v>-3529.4289063567835</v>
      </c>
      <c r="I10" s="91">
        <f>-Recovery!D22*((G10/(F10+G10)))</f>
        <v>-719.0410936432164</v>
      </c>
    </row>
    <row r="11" spans="1:9" ht="12">
      <c r="A11" s="101">
        <v>37742</v>
      </c>
      <c r="B11" s="92">
        <f>Writeoff!B23</f>
        <v>84047.4</v>
      </c>
      <c r="C11" s="92">
        <f>Writeoff!J23</f>
        <v>7881.33</v>
      </c>
      <c r="D11" s="92">
        <f>-Recovery!B23*((B11/(B11+C11)))</f>
        <v>-3238.0867004471834</v>
      </c>
      <c r="E11" s="92">
        <f>-Recovery!B23*((C11/(B11+C11)))</f>
        <v>-303.6432995528166</v>
      </c>
      <c r="F11" s="118">
        <f>Writeoff!C23</f>
        <v>41209.81</v>
      </c>
      <c r="G11" s="92">
        <f>Writeoff!K23</f>
        <v>1893.19</v>
      </c>
      <c r="H11" s="92">
        <f>-Recovery!D23*((F11/(F11+G11)))</f>
        <v>-1152.7140018722594</v>
      </c>
      <c r="I11" s="91">
        <f>-Recovery!D23*((G11/(F11+G11)))</f>
        <v>-52.955998127740536</v>
      </c>
    </row>
    <row r="12" spans="1:9" ht="12">
      <c r="A12" s="101">
        <v>37775</v>
      </c>
      <c r="B12" s="92">
        <f>Writeoff!B24</f>
        <v>51292.39</v>
      </c>
      <c r="C12" s="92">
        <f>Writeoff!J24</f>
        <v>5850.79</v>
      </c>
      <c r="D12" s="92">
        <f>-Recovery!B24*((B12/(B12+C12)))</f>
        <v>-3265.323060741457</v>
      </c>
      <c r="E12" s="92">
        <f>-Recovery!B24*((C12/(B12+C12)))</f>
        <v>-372.46693925854316</v>
      </c>
      <c r="F12" s="118">
        <f>Writeoff!C24</f>
        <v>24780.04</v>
      </c>
      <c r="G12" s="92">
        <f>Writeoff!K24</f>
        <v>879.32</v>
      </c>
      <c r="H12" s="92">
        <f>-Recovery!D24*((F12/(F12+G12)))</f>
        <v>-2162.3007339699825</v>
      </c>
      <c r="I12" s="91">
        <f>-Recovery!D24*((G12/(F12+G12)))</f>
        <v>-76.72926603001791</v>
      </c>
    </row>
    <row r="13" spans="1:9" ht="12">
      <c r="A13" s="101">
        <v>37805</v>
      </c>
      <c r="B13" s="92">
        <f>Writeoff!B25</f>
        <v>30750</v>
      </c>
      <c r="C13" s="92">
        <f>Writeoff!J25</f>
        <v>5916.59</v>
      </c>
      <c r="D13" s="92">
        <f>-Recovery!B25*((B13/(B13+C13)))</f>
        <v>-6679.517784446278</v>
      </c>
      <c r="E13" s="92">
        <f>-Recovery!B25*((C13/(B13+C13)))</f>
        <v>-1285.2022155537236</v>
      </c>
      <c r="F13" s="118">
        <f>Writeoff!C25</f>
        <v>14537.62</v>
      </c>
      <c r="G13" s="92">
        <f>Writeoff!K25</f>
        <v>792.37</v>
      </c>
      <c r="H13" s="92">
        <f>-Recovery!D25*((F13/(F13+G13)))</f>
        <v>-1933.2012612793615</v>
      </c>
      <c r="I13" s="91">
        <f>-Recovery!D25*((G13/(F13+G13)))</f>
        <v>-105.36873872063842</v>
      </c>
    </row>
    <row r="14" spans="1:9" ht="12">
      <c r="A14" s="101">
        <v>37836</v>
      </c>
      <c r="B14" s="92">
        <f>Writeoff!B26</f>
        <v>16524.84</v>
      </c>
      <c r="C14" s="92">
        <f>Writeoff!J26</f>
        <v>6481.61</v>
      </c>
      <c r="D14" s="92">
        <f>-Recovery!B26*((B14/(B14+C14)))</f>
        <v>-4623.316444805696</v>
      </c>
      <c r="E14" s="92">
        <f>-Recovery!B26*((C14/(B14+C14)))</f>
        <v>-1813.423555194304</v>
      </c>
      <c r="F14" s="118">
        <f>Writeoff!C26</f>
        <v>12101.31</v>
      </c>
      <c r="G14" s="92">
        <f>Writeoff!K26</f>
        <v>1375.99</v>
      </c>
      <c r="H14" s="92">
        <f>-Recovery!D26*((F14/(F14+G14)))</f>
        <v>-1581.8090261179912</v>
      </c>
      <c r="I14" s="91">
        <f>-Recovery!D26*((G14/(F14+G14)))</f>
        <v>-179.860973882009</v>
      </c>
    </row>
    <row r="15" spans="1:9" ht="12">
      <c r="A15" s="101">
        <v>37867</v>
      </c>
      <c r="B15" s="92">
        <f>Writeoff!B27</f>
        <v>10643.57</v>
      </c>
      <c r="C15" s="92">
        <f>Writeoff!J27</f>
        <v>1912.01</v>
      </c>
      <c r="D15" s="92">
        <f>-Recovery!B27*((B15/(B15+C15)))</f>
        <v>-2976.4167507196003</v>
      </c>
      <c r="E15" s="92">
        <f>-Recovery!B27*((C15/(B15+C15)))</f>
        <v>-534.6832492803997</v>
      </c>
      <c r="F15" s="118">
        <f>Writeoff!C27</f>
        <v>4778.58</v>
      </c>
      <c r="G15" s="92">
        <f>Writeoff!K27</f>
        <v>495.58</v>
      </c>
      <c r="H15" s="92">
        <f>-Recovery!D27*((F15/(F15+G15)))</f>
        <v>-3180.531432569357</v>
      </c>
      <c r="I15" s="91">
        <f>-Recovery!D27*((G15/(F15+G15)))</f>
        <v>-329.84856743064296</v>
      </c>
    </row>
    <row r="16" spans="1:9" ht="12">
      <c r="A16" s="101">
        <v>37897</v>
      </c>
      <c r="B16" s="92">
        <f>Writeoff!B28</f>
        <v>8279.97</v>
      </c>
      <c r="C16" s="92">
        <f>Writeoff!J28</f>
        <v>5718.89</v>
      </c>
      <c r="D16" s="92">
        <f>-Recovery!B28*((B16/(B16+C16)))</f>
        <v>-3449.119018141477</v>
      </c>
      <c r="E16" s="92">
        <f>-Recovery!B28*((C16/(B16+C16)))</f>
        <v>-2382.270981858523</v>
      </c>
      <c r="F16" s="118">
        <f>Writeoff!C28</f>
        <v>14979.49</v>
      </c>
      <c r="G16" s="92">
        <f>Writeoff!K28</f>
        <v>321.33</v>
      </c>
      <c r="H16" s="92">
        <f>-Recovery!D28*((F16/(F16+G16)))</f>
        <v>-4625.164073964664</v>
      </c>
      <c r="I16" s="91">
        <f>-Recovery!D28*((G16/(F16+G16)))</f>
        <v>-99.21592603533666</v>
      </c>
    </row>
    <row r="17" spans="1:9" ht="12">
      <c r="A17" s="101">
        <v>37928</v>
      </c>
      <c r="B17" s="92">
        <f>Writeoff!B29</f>
        <v>12139.21</v>
      </c>
      <c r="C17" s="92">
        <f>Writeoff!J29</f>
        <v>2700.67</v>
      </c>
      <c r="D17" s="92">
        <f>-Recovery!B29*((B17/(B17+C17)))</f>
        <v>-4227.56314801063</v>
      </c>
      <c r="E17" s="92">
        <f>-Recovery!B29*((C17/(B17+C17)))</f>
        <v>-940.5268519893693</v>
      </c>
      <c r="F17" s="118">
        <f>Writeoff!C29</f>
        <v>6805.24</v>
      </c>
      <c r="G17" s="92">
        <f>Writeoff!K29</f>
        <v>610.98</v>
      </c>
      <c r="H17" s="92">
        <f>-Recovery!D29*((F17/(F17+G17)))</f>
        <v>-610.6640805693467</v>
      </c>
      <c r="I17" s="91">
        <f>-Recovery!D29*((G17/(F17+G17)))</f>
        <v>-54.82591943065336</v>
      </c>
    </row>
    <row r="18" spans="1:9" ht="12">
      <c r="A18" s="101">
        <v>37958</v>
      </c>
      <c r="B18" s="92">
        <f>Writeoff!B30</f>
        <v>28015.92</v>
      </c>
      <c r="C18" s="92">
        <f>Writeoff!J30</f>
        <v>5341.91</v>
      </c>
      <c r="D18" s="92">
        <f>-Recovery!B30*((B18/(B18+C18)))</f>
        <v>-3040.0342427789815</v>
      </c>
      <c r="E18" s="92">
        <f>-Recovery!B30*((C18/(B18+C18)))</f>
        <v>-579.6557572210182</v>
      </c>
      <c r="F18" s="118">
        <f>Writeoff!C30</f>
        <v>13951.36</v>
      </c>
      <c r="G18" s="92">
        <f>Writeoff!K30</f>
        <v>646.64</v>
      </c>
      <c r="H18" s="92">
        <f>-Recovery!D30*((F18/(F18+G18)))</f>
        <v>-1693.5353103712837</v>
      </c>
      <c r="I18" s="91">
        <f>-Recovery!D30*((G18/(F18+G18)))</f>
        <v>-78.49468962871626</v>
      </c>
    </row>
    <row r="19" spans="1:9" ht="12">
      <c r="A19" s="101">
        <v>37989</v>
      </c>
      <c r="B19" s="92">
        <f>Writeoff!B31</f>
        <v>35955.61</v>
      </c>
      <c r="C19" s="92">
        <f>Writeoff!J31</f>
        <v>6769.25</v>
      </c>
      <c r="D19" s="92">
        <f>-Recovery!B31*((B19/(B19+C19)))</f>
        <v>-3485.622732959219</v>
      </c>
      <c r="E19" s="92">
        <f>-Recovery!B31*((C19/(B19+C19)))</f>
        <v>-656.2272670407815</v>
      </c>
      <c r="F19" s="118">
        <f>Writeoff!C31</f>
        <v>13869.88</v>
      </c>
      <c r="G19" s="92">
        <f>Writeoff!K31</f>
        <v>1545.83</v>
      </c>
      <c r="H19" s="92">
        <f>-Recovery!D31*((F19/(F19+G19)))</f>
        <v>-2331.7959794521303</v>
      </c>
      <c r="I19" s="91">
        <f>-Recovery!D31*((G19/(F19+G19)))</f>
        <v>-259.8840205478697</v>
      </c>
    </row>
    <row r="20" spans="1:9" ht="12">
      <c r="A20" s="101">
        <v>38020</v>
      </c>
      <c r="B20" s="92">
        <f>Writeoff!B32</f>
        <v>56533.45</v>
      </c>
      <c r="C20" s="92">
        <f>Writeoff!J32</f>
        <v>10167.66</v>
      </c>
      <c r="D20" s="92">
        <f>-Recovery!B32*((B20/(B20+C20)))</f>
        <v>-4681.985119475523</v>
      </c>
      <c r="E20" s="92">
        <f>-Recovery!B32*((C20/(B20+C20)))</f>
        <v>-842.0648805244771</v>
      </c>
      <c r="F20" s="118">
        <f>Writeoff!C32</f>
        <v>23462.87</v>
      </c>
      <c r="G20" s="92">
        <f>Writeoff!K32</f>
        <v>6344.4</v>
      </c>
      <c r="H20" s="92">
        <f>-Recovery!D32*((F20/(F20+G20)))</f>
        <v>-2891.534222580599</v>
      </c>
      <c r="I20" s="91">
        <f>-Recovery!D32*((G20/(F20+G20)))</f>
        <v>-781.8757774194014</v>
      </c>
    </row>
    <row r="21" spans="1:9" ht="12">
      <c r="A21" s="101">
        <v>38049</v>
      </c>
      <c r="B21" s="92">
        <f>Writeoff!B33</f>
        <v>76479.81</v>
      </c>
      <c r="C21" s="92">
        <f>Writeoff!J33</f>
        <v>20595.19</v>
      </c>
      <c r="D21" s="92">
        <f>-Recovery!B33*((B21/(B21+C21)))</f>
        <v>-3561.055946413598</v>
      </c>
      <c r="E21" s="92">
        <f>-Recovery!B33*((C21/(B21+C21)))</f>
        <v>-958.9540535864023</v>
      </c>
      <c r="F21" s="118">
        <f>Writeoff!C33</f>
        <v>39512.69</v>
      </c>
      <c r="G21" s="92">
        <f>Writeoff!K33</f>
        <v>9929.63</v>
      </c>
      <c r="H21" s="92">
        <f>-Recovery!D33*((F21/(F21+G21)))</f>
        <v>-3457.1901523451975</v>
      </c>
      <c r="I21" s="91">
        <f>-Recovery!D33*((G21/(F21+G21)))</f>
        <v>-868.7998476548025</v>
      </c>
    </row>
    <row r="22" spans="1:9" ht="12">
      <c r="A22" s="101">
        <v>38080</v>
      </c>
      <c r="B22" s="92">
        <f>Writeoff!B34</f>
        <v>64195.6</v>
      </c>
      <c r="C22" s="92">
        <f>Writeoff!J34</f>
        <v>9752.12</v>
      </c>
      <c r="D22" s="92">
        <f>-Recovery!B34*((B22/(B22+C22)))</f>
        <v>-4354.6620066717405</v>
      </c>
      <c r="E22" s="92">
        <f>-Recovery!B34*((C22/(B22+C22)))</f>
        <v>-661.5279933282594</v>
      </c>
      <c r="F22" s="118">
        <f>Writeoff!C34</f>
        <v>26884.32</v>
      </c>
      <c r="G22" s="92">
        <f>Writeoff!K34</f>
        <v>4322.66</v>
      </c>
      <c r="H22" s="92">
        <f>-Recovery!D34*((F22/(F22+G22)))</f>
        <v>-1148.1516738627063</v>
      </c>
      <c r="I22" s="91">
        <f>-Recovery!D34*((G22/(F22+G22)))</f>
        <v>-184.60832613729363</v>
      </c>
    </row>
    <row r="23" spans="1:9" ht="12">
      <c r="A23" s="101">
        <v>38110</v>
      </c>
      <c r="B23" s="92">
        <f>Writeoff!B35</f>
        <v>52167.38</v>
      </c>
      <c r="C23" s="92">
        <f>Writeoff!J35</f>
        <v>42162.08</v>
      </c>
      <c r="D23" s="92">
        <f>-Recovery!B35*((B23/(B23+C23)))</f>
        <v>-2765.2132577712205</v>
      </c>
      <c r="E23" s="92">
        <f>-Recovery!B35*((C23/(B23+C23)))</f>
        <v>-2234.86674222878</v>
      </c>
      <c r="F23" s="118">
        <f>Writeoff!C35</f>
        <v>26968.55</v>
      </c>
      <c r="G23" s="92">
        <f>Writeoff!K35</f>
        <v>2217.48</v>
      </c>
      <c r="H23" s="92">
        <f>-Recovery!D35*((F23/(F23+G23)))</f>
        <v>-596.1701120193463</v>
      </c>
      <c r="I23" s="91">
        <f>-Recovery!D35*((G23/(F23+G23)))</f>
        <v>-49.01988798065377</v>
      </c>
    </row>
    <row r="24" spans="1:9" ht="12">
      <c r="A24" s="101">
        <v>38141</v>
      </c>
      <c r="B24" s="92">
        <f>Writeoff!B36</f>
        <v>36022.94</v>
      </c>
      <c r="C24" s="92">
        <f>Writeoff!J36</f>
        <v>4664.88</v>
      </c>
      <c r="D24" s="92">
        <f>-Recovery!B36*((B24/(B24+C24)))</f>
        <v>-5616.878394934897</v>
      </c>
      <c r="E24" s="92">
        <f>-Recovery!B36*((C24/(B24+C24)))</f>
        <v>-727.371605065103</v>
      </c>
      <c r="F24" s="118">
        <f>Writeoff!C36</f>
        <v>23351.26</v>
      </c>
      <c r="G24" s="92">
        <f>Writeoff!K36</f>
        <v>4708.68</v>
      </c>
      <c r="H24" s="92">
        <f>-Recovery!D36*((F24/(F24+G24)))</f>
        <v>-1580.8986618218</v>
      </c>
      <c r="I24" s="91">
        <f>-Recovery!D36*((G24/(F24+G24)))</f>
        <v>-318.7813381782</v>
      </c>
    </row>
    <row r="25" spans="1:9" ht="12">
      <c r="A25" s="101">
        <v>38171</v>
      </c>
      <c r="B25" s="92">
        <f>Writeoff!B37</f>
        <v>21983.19</v>
      </c>
      <c r="C25" s="92">
        <f>Writeoff!J37</f>
        <v>8350.8</v>
      </c>
      <c r="D25" s="92">
        <f>-Recovery!B37*((B25/(B25+C25)))</f>
        <v>-2766.546311949071</v>
      </c>
      <c r="E25" s="92">
        <f>-Recovery!B37*((C25/(B25+C25)))</f>
        <v>-1050.933688050929</v>
      </c>
      <c r="F25" s="118">
        <f>Writeoff!C37</f>
        <v>16907.13</v>
      </c>
      <c r="G25" s="92">
        <f>Writeoff!K37</f>
        <v>8349.1</v>
      </c>
      <c r="H25" s="92">
        <f>-Recovery!D37*((F25/(F25+G25)))</f>
        <v>-1188.6964420659774</v>
      </c>
      <c r="I25" s="91">
        <f>-Recovery!D37*((G25/(F25+G25)))</f>
        <v>-587.0035579340226</v>
      </c>
    </row>
    <row r="26" spans="1:9" ht="12">
      <c r="A26" s="101">
        <v>38202</v>
      </c>
      <c r="B26" s="92">
        <f>Writeoff!B38</f>
        <v>16780.72</v>
      </c>
      <c r="C26" s="92">
        <f>Writeoff!J38</f>
        <v>3399.4</v>
      </c>
      <c r="D26" s="92">
        <f>-Recovery!B38*((B26/(B26+C26)))</f>
        <v>-2623.173494032741</v>
      </c>
      <c r="E26" s="92">
        <f>-Recovery!B38*((C26/(B26+C26)))</f>
        <v>-531.3965059672588</v>
      </c>
      <c r="F26" s="118">
        <f>Writeoff!C38</f>
        <v>13896.87</v>
      </c>
      <c r="G26" s="92">
        <f>Writeoff!K38</f>
        <v>70.01</v>
      </c>
      <c r="H26" s="92">
        <f>-Recovery!D38*((F26/(F26+G26)))</f>
        <v>-1987.4674864823066</v>
      </c>
      <c r="I26" s="91">
        <f>-Recovery!D38*((G26/(F26+G26)))</f>
        <v>-10.012513517693286</v>
      </c>
    </row>
    <row r="27" spans="1:9" ht="12">
      <c r="A27" s="101">
        <v>38233</v>
      </c>
      <c r="B27" s="92">
        <f>Writeoff!B39</f>
        <v>15585.89</v>
      </c>
      <c r="C27" s="92">
        <f>Writeoff!J39</f>
        <v>3594.57</v>
      </c>
      <c r="D27" s="92">
        <f>-Recovery!B39*((B27/(B27+C27)))</f>
        <v>-5590.048484718302</v>
      </c>
      <c r="E27" s="92">
        <f>-Recovery!B39*((C27/(B27+C27)))</f>
        <v>-1289.2315152816982</v>
      </c>
      <c r="F27" s="118">
        <f>Writeoff!C39</f>
        <v>5215.22</v>
      </c>
      <c r="G27" s="92">
        <f>Writeoff!K39</f>
        <v>1194.83</v>
      </c>
      <c r="H27" s="92">
        <f>-Recovery!D39*((F27/(F27+G27)))</f>
        <v>-1633.4576238562881</v>
      </c>
      <c r="I27" s="91">
        <f>-Recovery!D39*((G27/(F27+G27)))</f>
        <v>-374.2323761437118</v>
      </c>
    </row>
    <row r="28" spans="1:9" ht="12">
      <c r="A28" s="101">
        <v>38263</v>
      </c>
      <c r="B28" s="92">
        <f>Writeoff!B40</f>
        <v>7625.36</v>
      </c>
      <c r="C28" s="92">
        <f>Writeoff!J40</f>
        <v>7168.32</v>
      </c>
      <c r="D28" s="92">
        <f>-Recovery!B40*((B28/(B28+C28)))</f>
        <v>-1849.8727661541955</v>
      </c>
      <c r="E28" s="92">
        <f>-Recovery!B40*((C28/(B28+C28)))</f>
        <v>-1738.9972338458042</v>
      </c>
      <c r="F28" s="118">
        <f>Writeoff!C40</f>
        <v>3316.16</v>
      </c>
      <c r="G28" s="92">
        <f>Writeoff!K40</f>
        <v>868.85</v>
      </c>
      <c r="H28" s="92">
        <f>-Recovery!D40*((F28/(F28+G28)))</f>
        <v>-2997.627150998444</v>
      </c>
      <c r="I28" s="91">
        <f>-Recovery!D40*((G28/(F28+G28)))</f>
        <v>-785.3928490015555</v>
      </c>
    </row>
    <row r="29" spans="1:9" ht="12">
      <c r="A29" s="101">
        <v>38294</v>
      </c>
      <c r="B29" s="92">
        <f>Writeoff!B41</f>
        <v>7878.61</v>
      </c>
      <c r="C29" s="92">
        <f>Writeoff!J41</f>
        <v>2686.01</v>
      </c>
      <c r="D29" s="92">
        <f>-Recovery!B41*((B29/(B29+C29)))</f>
        <v>-1775.6631822346665</v>
      </c>
      <c r="E29" s="92">
        <f>-Recovery!B41*((C29/(B29+C29)))</f>
        <v>-605.366817765334</v>
      </c>
      <c r="F29" s="118">
        <f>Writeoff!C41</f>
        <v>4113.78</v>
      </c>
      <c r="G29" s="92">
        <f>Writeoff!K41</f>
        <v>27.75</v>
      </c>
      <c r="H29" s="92">
        <f>-Recovery!D41*((F29/(F29+G29)))</f>
        <v>-2860.424659872076</v>
      </c>
      <c r="I29" s="91">
        <f>-Recovery!D41*((G29/(F29+G29)))</f>
        <v>-19.295340127923737</v>
      </c>
    </row>
    <row r="30" spans="1:9" ht="12">
      <c r="A30" s="101">
        <v>38324</v>
      </c>
      <c r="B30" s="92">
        <f>Writeoff!B42</f>
        <v>25421.63</v>
      </c>
      <c r="C30" s="92">
        <f>Writeoff!J42</f>
        <v>11695</v>
      </c>
      <c r="D30" s="92">
        <f>-Recovery!B42*((B30/(B30+C30)))</f>
        <v>-2129.7068623902546</v>
      </c>
      <c r="E30" s="92">
        <f>-Recovery!B42*((C30/(B30+C30)))</f>
        <v>-979.7531376097451</v>
      </c>
      <c r="F30" s="118">
        <f>Writeoff!C42</f>
        <v>12148.98</v>
      </c>
      <c r="G30" s="92">
        <f>Writeoff!K42</f>
        <v>1511.83</v>
      </c>
      <c r="H30" s="92">
        <f>-Recovery!D42*((F30/(F30+G30)))</f>
        <v>-2383.0065244301036</v>
      </c>
      <c r="I30" s="91">
        <f>-Recovery!D42*((G30/(F30+G30)))</f>
        <v>-296.5434755698967</v>
      </c>
    </row>
    <row r="31" spans="1:9" ht="12">
      <c r="A31" s="101">
        <v>38355</v>
      </c>
      <c r="B31" s="92">
        <f>Writeoff!B43</f>
        <v>37050.73</v>
      </c>
      <c r="C31" s="92">
        <f>Writeoff!J43</f>
        <v>101616.81</v>
      </c>
      <c r="D31" s="92">
        <f>-Recovery!B43*((B31/(B31+C31)))</f>
        <v>-904.3189034304639</v>
      </c>
      <c r="E31" s="92">
        <f>-Recovery!B43*((C31/(B31+C31)))</f>
        <v>-2480.221096569536</v>
      </c>
      <c r="F31" s="118">
        <f>Writeoff!C43</f>
        <v>21515.61</v>
      </c>
      <c r="G31" s="92">
        <f>Writeoff!K43</f>
        <v>7694.56</v>
      </c>
      <c r="H31" s="92">
        <f>-Recovery!D43*((F31/(F31+G31)))</f>
        <v>-4199.673840306304</v>
      </c>
      <c r="I31" s="91">
        <f>-Recovery!D43*((G31/(F31+G31)))</f>
        <v>-1501.9161596936958</v>
      </c>
    </row>
    <row r="32" spans="1:9" ht="12">
      <c r="A32" s="101">
        <v>38386</v>
      </c>
      <c r="B32" s="92">
        <f>Writeoff!B44</f>
        <v>70744.86</v>
      </c>
      <c r="C32" s="92">
        <f>Writeoff!J44</f>
        <v>24913.42</v>
      </c>
      <c r="D32" s="92">
        <f>-Recovery!B44*((B32/(B32+C32)))</f>
        <v>-3943.1317378526983</v>
      </c>
      <c r="E32" s="92">
        <f>-Recovery!B44*((C32/(B32+C32)))</f>
        <v>-1388.6082621473017</v>
      </c>
      <c r="F32" s="118">
        <f>Writeoff!C44</f>
        <v>29930.6</v>
      </c>
      <c r="G32" s="92">
        <f>Writeoff!K44</f>
        <v>3452.37</v>
      </c>
      <c r="H32" s="92">
        <f>-Recovery!D44*((F32/(F32+G32)))</f>
        <v>-2076.4053002474016</v>
      </c>
      <c r="I32" s="91">
        <f>-Recovery!D44*((G32/(F32+G32)))</f>
        <v>-239.50469975259838</v>
      </c>
    </row>
    <row r="33" spans="1:9" ht="12">
      <c r="A33" s="101">
        <v>38414</v>
      </c>
      <c r="B33" s="92">
        <f>Writeoff!B45</f>
        <v>114441.47</v>
      </c>
      <c r="C33" s="92">
        <f>Writeoff!J45</f>
        <v>31363.54</v>
      </c>
      <c r="D33" s="92">
        <f>-Recovery!B45*((B33/(B33+C33)))</f>
        <v>-3981.562927966604</v>
      </c>
      <c r="E33" s="92">
        <f>-Recovery!B45*((C33/(B33+C33)))</f>
        <v>-1091.1770720333957</v>
      </c>
      <c r="F33" s="118">
        <f>Writeoff!C45</f>
        <v>35085.88</v>
      </c>
      <c r="G33" s="92">
        <f>Writeoff!K45</f>
        <v>7290.12</v>
      </c>
      <c r="H33" s="92">
        <f>-Recovery!D45*((F33/(F33+G33)))</f>
        <v>-2216.158178789881</v>
      </c>
      <c r="I33" s="91">
        <f>-Recovery!D45*((G33/(F33+G33)))</f>
        <v>-460.47182121011895</v>
      </c>
    </row>
    <row r="34" spans="1:9" ht="12">
      <c r="A34" s="101">
        <v>38445</v>
      </c>
      <c r="B34" s="92">
        <f>Writeoff!B46</f>
        <v>94908.9</v>
      </c>
      <c r="C34" s="92">
        <f>Writeoff!J46</f>
        <v>17598.37</v>
      </c>
      <c r="D34" s="92">
        <f>-Recovery!B46*((B34/(B34+C34)))</f>
        <v>-4504.895166943434</v>
      </c>
      <c r="E34" s="92">
        <f>-Recovery!B46*((C34/(B34+C34)))</f>
        <v>-835.314833056566</v>
      </c>
      <c r="F34" s="118">
        <f>Writeoff!C46</f>
        <v>37130.55</v>
      </c>
      <c r="G34" s="92">
        <f>Writeoff!K46</f>
        <v>5750.03</v>
      </c>
      <c r="H34" s="92">
        <f>-Recovery!D46*((F34/(F34+G34)))</f>
        <v>-890.2032862661838</v>
      </c>
      <c r="I34" s="91">
        <f>-Recovery!D46*((G34/(F34+G34)))</f>
        <v>-137.8567137338161</v>
      </c>
    </row>
    <row r="35" spans="1:9" ht="12">
      <c r="A35" s="101">
        <v>38475</v>
      </c>
      <c r="B35" s="92">
        <f>Writeoff!B47</f>
        <v>80252.93</v>
      </c>
      <c r="C35" s="92">
        <f>Writeoff!J47</f>
        <v>13118.7</v>
      </c>
      <c r="D35" s="92">
        <f>-Recovery!B47*((B35/(B35+C35)))</f>
        <v>-4318.4811491595465</v>
      </c>
      <c r="E35" s="92">
        <f>-Recovery!B47*((C35/(B35+C35)))</f>
        <v>-705.9288508404535</v>
      </c>
      <c r="F35" s="118">
        <f>Writeoff!C47</f>
        <v>27525.13</v>
      </c>
      <c r="G35" s="92">
        <f>Writeoff!K47</f>
        <v>609.21</v>
      </c>
      <c r="H35" s="92">
        <f>-Recovery!D47*((F35/(F35+G35)))</f>
        <v>-1424.0027389162142</v>
      </c>
      <c r="I35" s="91">
        <f>-Recovery!D47*((G35/(F35+G35)))</f>
        <v>-31.517261083785865</v>
      </c>
    </row>
    <row r="36" spans="1:9" ht="12">
      <c r="A36" s="101">
        <v>38506</v>
      </c>
      <c r="B36" s="92">
        <f>Writeoff!B48</f>
        <v>41192.82</v>
      </c>
      <c r="C36" s="92">
        <f>Writeoff!J48</f>
        <v>4811.51</v>
      </c>
      <c r="D36" s="92">
        <f>-Recovery!B48*((B36/(B36+C36)))</f>
        <v>-7314.233979005889</v>
      </c>
      <c r="E36" s="92">
        <f>-Recovery!B48*((C36/(B36+C36)))</f>
        <v>-854.3360209941108</v>
      </c>
      <c r="F36" s="118">
        <f>Writeoff!C48</f>
        <v>28894.97</v>
      </c>
      <c r="G36" s="92">
        <f>Writeoff!K48</f>
        <v>3817.68</v>
      </c>
      <c r="H36" s="92">
        <f>-Recovery!D48*((F36/(F36+G36)))</f>
        <v>-1249.3522679269336</v>
      </c>
      <c r="I36" s="91">
        <f>-Recovery!D48*((G36/(F36+G36)))</f>
        <v>-165.0677320730665</v>
      </c>
    </row>
    <row r="37" spans="1:9" ht="12">
      <c r="A37" s="101">
        <v>38536</v>
      </c>
      <c r="B37" s="92">
        <f>Writeoff!B49</f>
        <v>27993.86</v>
      </c>
      <c r="C37" s="92">
        <f>Writeoff!J49</f>
        <v>1338.55</v>
      </c>
      <c r="D37" s="92">
        <f>-Recovery!B49*((B37/(B37+C37)))</f>
        <v>-3568.2319816544223</v>
      </c>
      <c r="E37" s="92">
        <f>-Recovery!B49*((C37/(B37+C37)))</f>
        <v>-170.61801834557744</v>
      </c>
      <c r="F37" s="118">
        <f>Writeoff!C49</f>
        <v>14240.85</v>
      </c>
      <c r="G37" s="92">
        <f>Writeoff!K49</f>
        <v>609.89</v>
      </c>
      <c r="H37" s="92">
        <f>-Recovery!D49*((F37/(F37+G37)))</f>
        <v>-1905.2253017021374</v>
      </c>
      <c r="I37" s="91">
        <f>-Recovery!D49*((G37/(F37+G37)))</f>
        <v>-81.59469829786259</v>
      </c>
    </row>
    <row r="38" spans="1:9" ht="12">
      <c r="A38" s="101">
        <v>38567</v>
      </c>
      <c r="B38" s="92">
        <f>Writeoff!B50</f>
        <v>20428.96</v>
      </c>
      <c r="C38" s="92">
        <f>Writeoff!J50</f>
        <v>1787.02</v>
      </c>
      <c r="D38" s="92">
        <f>-Recovery!B50*((B38/(B38+C38)))</f>
        <v>-5231.964724707171</v>
      </c>
      <c r="E38" s="92">
        <f>-Recovery!B50*((C38/(B38+C38)))</f>
        <v>-457.6652752928298</v>
      </c>
      <c r="F38" s="118">
        <f>Writeoff!C50</f>
        <v>13595.02</v>
      </c>
      <c r="G38" s="92">
        <f>Writeoff!K50</f>
        <v>314.33</v>
      </c>
      <c r="H38" s="92">
        <f>-Recovery!D50*((F38/(F38+G38)))</f>
        <v>-1798.7022654401535</v>
      </c>
      <c r="I38" s="91">
        <f>-Recovery!D50*((G38/(F38+G38)))</f>
        <v>-41.58773455984643</v>
      </c>
    </row>
    <row r="39" spans="1:9" ht="12">
      <c r="A39" s="101">
        <v>38598</v>
      </c>
      <c r="B39" s="92">
        <f>Writeoff!B51</f>
        <v>9381.6</v>
      </c>
      <c r="C39" s="92">
        <f>Writeoff!J51</f>
        <v>1146.02</v>
      </c>
      <c r="D39" s="92">
        <f>-Recovery!B51*((B39/(B39+C39)))</f>
        <v>-4452.009700198146</v>
      </c>
      <c r="E39" s="92">
        <f>-Recovery!B51*((C39/(B39+C39)))</f>
        <v>-543.8402998018545</v>
      </c>
      <c r="F39" s="118">
        <f>Writeoff!C51</f>
        <v>8289</v>
      </c>
      <c r="G39" s="92">
        <f>Writeoff!K51</f>
        <v>155.77</v>
      </c>
      <c r="H39" s="92">
        <f>-Recovery!D51*((F39/(F39+G39)))</f>
        <v>-1551.1109408545171</v>
      </c>
      <c r="I39" s="91">
        <f>-Recovery!D51*((G39/(F39+G39)))</f>
        <v>-29.149059145482944</v>
      </c>
    </row>
    <row r="40" spans="1:9" ht="12">
      <c r="A40" s="101">
        <v>38628</v>
      </c>
      <c r="B40" s="92">
        <f>Writeoff!B52</f>
        <v>10244.82</v>
      </c>
      <c r="C40" s="92">
        <f>Writeoff!J52</f>
        <v>3144.47</v>
      </c>
      <c r="D40" s="92">
        <f>-Recovery!B52*((B40/(B40+C40)))</f>
        <v>-5590.402737531265</v>
      </c>
      <c r="E40" s="92">
        <f>-Recovery!B52*((C40/(B40+C40)))</f>
        <v>-1715.8772624687342</v>
      </c>
      <c r="F40" s="118">
        <f>Writeoff!C52</f>
        <v>5762.83</v>
      </c>
      <c r="G40" s="92">
        <f>Writeoff!K52</f>
        <v>301.37</v>
      </c>
      <c r="H40" s="92">
        <f>-Recovery!D52*((F40/(F40+G40)))</f>
        <v>-1754.62122875235</v>
      </c>
      <c r="I40" s="91">
        <f>-Recovery!D52*((G40/(F40+G40)))</f>
        <v>-91.75877124765015</v>
      </c>
    </row>
    <row r="41" spans="1:9" ht="12">
      <c r="A41" s="101">
        <v>38659</v>
      </c>
      <c r="B41" s="92">
        <f>Writeoff!B53</f>
        <v>14515.34</v>
      </c>
      <c r="C41" s="92">
        <f>Writeoff!J53</f>
        <v>5191.64</v>
      </c>
      <c r="D41" s="92">
        <f>-Recovery!B53*((B41/(B41+C41)))</f>
        <v>-4885.583943688987</v>
      </c>
      <c r="E41" s="92">
        <f>-Recovery!B53*((C41/(B41+C41)))</f>
        <v>-1747.406056311013</v>
      </c>
      <c r="F41" s="118">
        <f>Writeoff!C53</f>
        <v>8076.43</v>
      </c>
      <c r="G41" s="92">
        <f>Writeoff!K53</f>
        <v>1627.32</v>
      </c>
      <c r="H41" s="92">
        <f>-Recovery!D53*((F41/(F41+G41)))</f>
        <v>-1831.2594969161405</v>
      </c>
      <c r="I41" s="91">
        <f>-Recovery!D53*((G41/(F41+G41)))</f>
        <v>-368.9805030838593</v>
      </c>
    </row>
    <row r="42" spans="1:9" ht="12">
      <c r="A42" s="101">
        <v>38689</v>
      </c>
      <c r="B42" s="92">
        <f>Writeoff!B54</f>
        <v>25505.83</v>
      </c>
      <c r="C42" s="92">
        <f>Writeoff!J54</f>
        <v>12690.35</v>
      </c>
      <c r="D42" s="92">
        <f>-Recovery!B54*((B42/(B42+C42)))</f>
        <v>-3345.7179607253925</v>
      </c>
      <c r="E42" s="92">
        <f>-Recovery!B54*((C42/(B42+C42)))</f>
        <v>-1664.6520392746081</v>
      </c>
      <c r="F42" s="118">
        <f>Writeoff!C54</f>
        <v>11399.67</v>
      </c>
      <c r="G42" s="92">
        <f>Writeoff!K54</f>
        <v>1664.31</v>
      </c>
      <c r="H42" s="92">
        <f>-Recovery!D54*((F42/(F42+G42)))</f>
        <v>-1939.8316896382266</v>
      </c>
      <c r="I42" s="91">
        <f>-Recovery!D54*((G42/(F42+G42)))</f>
        <v>-283.20831036177333</v>
      </c>
    </row>
    <row r="43" spans="1:9" ht="12">
      <c r="A43" s="101">
        <v>38720</v>
      </c>
      <c r="B43" s="92">
        <f>Writeoff!B55</f>
        <v>36249.37</v>
      </c>
      <c r="C43" s="92">
        <f>Writeoff!J55</f>
        <v>8600.529999999999</v>
      </c>
      <c r="D43" s="92">
        <f>-Recovery!B55*((B43/(B43+C43)))</f>
        <v>-4907.94125266723</v>
      </c>
      <c r="E43" s="92">
        <f>-Recovery!B55*((C43/(B43+C43)))</f>
        <v>-1164.4587473327697</v>
      </c>
      <c r="F43" s="118">
        <f>Writeoff!C55</f>
        <v>21014.63</v>
      </c>
      <c r="G43" s="92">
        <f>Writeoff!K55</f>
        <v>4752.4</v>
      </c>
      <c r="H43" s="92">
        <f>-Recovery!D55*((F43/(F43+G43)))</f>
        <v>-1470.9816091804141</v>
      </c>
      <c r="I43" s="91">
        <f>-Recovery!D55*((G43/(F43+G43)))</f>
        <v>-332.6583908195861</v>
      </c>
    </row>
    <row r="44" spans="1:9" ht="12">
      <c r="A44" s="101">
        <v>38751</v>
      </c>
      <c r="B44" s="92">
        <f>Writeoff!B56</f>
        <v>82903.05</v>
      </c>
      <c r="C44" s="92">
        <f>Writeoff!J56</f>
        <v>9060.57</v>
      </c>
      <c r="D44" s="92">
        <f>-Recovery!B56*((B44/(B44+C44)))</f>
        <v>-4212.095249643283</v>
      </c>
      <c r="E44" s="92">
        <f>-Recovery!B56*((C44/(B44+C44)))</f>
        <v>-460.34475035671716</v>
      </c>
      <c r="F44" s="118">
        <f>Writeoff!C56</f>
        <v>31429.17</v>
      </c>
      <c r="G44" s="92">
        <f>Writeoff!K56</f>
        <v>3102.06</v>
      </c>
      <c r="H44" s="92">
        <f>-Recovery!D56*((F44/(F44+G44)))</f>
        <v>-1091.3351852366684</v>
      </c>
      <c r="I44" s="91">
        <f>-Recovery!D56*((G44/(F44+G44)))</f>
        <v>-107.71481476333163</v>
      </c>
    </row>
    <row r="45" spans="1:9" ht="12">
      <c r="A45" s="101">
        <v>38779</v>
      </c>
      <c r="B45" s="92">
        <f>Writeoff!B57</f>
        <v>70609.58</v>
      </c>
      <c r="C45" s="92">
        <f>Writeoff!J57</f>
        <v>7845.67</v>
      </c>
      <c r="D45" s="92">
        <f>-Recovery!B57*((B45/(B45+C45)))</f>
        <v>-5533.755636179861</v>
      </c>
      <c r="E45" s="92">
        <f>-Recovery!B57*((C45/(B45+C45)))</f>
        <v>-614.8743638201395</v>
      </c>
      <c r="F45" s="118">
        <f>Writeoff!C57</f>
        <v>33948.46</v>
      </c>
      <c r="G45" s="92">
        <f>Writeoff!K57</f>
        <v>5748.76</v>
      </c>
      <c r="H45" s="92">
        <f>-Recovery!D57*((F45/(F45+G45)))</f>
        <v>-1803.1486442980136</v>
      </c>
      <c r="I45" s="91">
        <f>-Recovery!D57*((G45/(F45+G45)))</f>
        <v>-305.3413557019862</v>
      </c>
    </row>
    <row r="46" spans="1:9" ht="12">
      <c r="A46" s="101">
        <v>38810</v>
      </c>
      <c r="B46" s="92">
        <f>Writeoff!B58</f>
        <v>91576.04</v>
      </c>
      <c r="C46" s="92">
        <f>Writeoff!J58</f>
        <v>17908.1</v>
      </c>
      <c r="D46" s="92">
        <f>-Recovery!B58*((B46/(B46+C46)))</f>
        <v>-6733.520298479762</v>
      </c>
      <c r="E46" s="92">
        <f>-Recovery!B58*((C46/(B46+C46)))</f>
        <v>-1316.7697015202384</v>
      </c>
      <c r="F46" s="118">
        <f>Writeoff!C58</f>
        <v>27603.65</v>
      </c>
      <c r="G46" s="92">
        <f>Writeoff!K58</f>
        <v>3139.04</v>
      </c>
      <c r="H46" s="92">
        <f>-Recovery!D58*((F46/(F46+G46)))</f>
        <v>-2009.5656244947988</v>
      </c>
      <c r="I46" s="91">
        <f>-Recovery!D58*((G46/(F46+G46)))</f>
        <v>-228.5243755052014</v>
      </c>
    </row>
    <row r="47" spans="1:9" ht="12">
      <c r="A47" s="101">
        <v>38840</v>
      </c>
      <c r="B47" s="92">
        <f>Writeoff!B59</f>
        <v>100196.84</v>
      </c>
      <c r="C47" s="92">
        <f>Writeoff!J59</f>
        <v>11925.03</v>
      </c>
      <c r="D47" s="92">
        <f>-Recovery!B59*((B47/(B47+C47)))</f>
        <v>-5409.189720210696</v>
      </c>
      <c r="E47" s="92">
        <f>-Recovery!B59*((C47/(B47+C47)))</f>
        <v>-643.7802797893044</v>
      </c>
      <c r="F47" s="118">
        <f>Writeoff!C59</f>
        <v>50389.26</v>
      </c>
      <c r="G47" s="92">
        <f>Writeoff!K59</f>
        <v>2677.22</v>
      </c>
      <c r="H47" s="92">
        <f>-Recovery!D59*((F47/(F47+G47)))</f>
        <v>-2522.1464274434634</v>
      </c>
      <c r="I47" s="91">
        <f>-Recovery!D59*((G47/(F47+G47)))</f>
        <v>-134.00357255653662</v>
      </c>
    </row>
    <row r="48" spans="1:9" ht="12">
      <c r="A48" s="101">
        <v>38871</v>
      </c>
      <c r="B48" s="92">
        <f>Writeoff!B60</f>
        <v>121618.28</v>
      </c>
      <c r="C48" s="92">
        <f>Writeoff!J60</f>
        <v>7063.86</v>
      </c>
      <c r="D48" s="92">
        <f>-Recovery!B60*((B48/(B48+C48)))</f>
        <v>-4573.7749836954845</v>
      </c>
      <c r="E48" s="92">
        <f>-Recovery!B60*((C48/(B48+C48)))</f>
        <v>-265.6550163045159</v>
      </c>
      <c r="F48" s="118">
        <f>Writeoff!C60</f>
        <v>50680.51</v>
      </c>
      <c r="G48" s="92">
        <f>Writeoff!K60</f>
        <v>2166.12</v>
      </c>
      <c r="H48" s="92">
        <f>-Recovery!D60*((F48/(F48+G48)))</f>
        <v>-1131.0002674418406</v>
      </c>
      <c r="I48" s="91">
        <f>-Recovery!D60*((G48/(F48+G48)))</f>
        <v>-48.33973255815933</v>
      </c>
    </row>
    <row r="49" spans="1:9" ht="12">
      <c r="A49" s="101"/>
      <c r="B49" s="92"/>
      <c r="C49" s="92"/>
      <c r="D49" s="92"/>
      <c r="E49" s="92"/>
      <c r="F49" s="118"/>
      <c r="G49" s="92"/>
      <c r="H49" s="92"/>
      <c r="I49" s="91"/>
    </row>
    <row r="50" spans="1:9" ht="10.5" customHeight="1">
      <c r="A50" s="93"/>
      <c r="B50" s="2"/>
      <c r="C50" s="2"/>
      <c r="D50" s="2"/>
      <c r="E50" s="4"/>
      <c r="F50" s="93"/>
      <c r="G50" s="2"/>
      <c r="H50" s="2"/>
      <c r="I50" s="94"/>
    </row>
    <row r="51" spans="5:9" ht="12">
      <c r="E51" s="100"/>
      <c r="F51" s="100"/>
      <c r="G51" s="100"/>
      <c r="H51" s="100"/>
      <c r="I51" s="100"/>
    </row>
    <row r="52" spans="5:9" ht="12">
      <c r="E52" s="4"/>
      <c r="F52" s="4"/>
      <c r="G52" s="4"/>
      <c r="H52" s="4"/>
      <c r="I52" s="4"/>
    </row>
    <row r="53" spans="1:9" ht="12">
      <c r="A53" s="3"/>
      <c r="E53" s="2"/>
      <c r="F53" s="2"/>
      <c r="G53" s="2"/>
      <c r="H53" s="2"/>
      <c r="I53" s="2"/>
    </row>
    <row r="54" spans="1:9" ht="12">
      <c r="A54" s="159" t="s">
        <v>26</v>
      </c>
      <c r="B54" s="160"/>
      <c r="C54" s="160"/>
      <c r="D54" s="160"/>
      <c r="E54" s="162"/>
      <c r="F54" s="159" t="s">
        <v>27</v>
      </c>
      <c r="G54" s="160"/>
      <c r="H54" s="160"/>
      <c r="I54" s="161"/>
    </row>
    <row r="55" spans="1:9" ht="12">
      <c r="A55" s="90"/>
      <c r="B55" s="156" t="s">
        <v>23</v>
      </c>
      <c r="C55" s="156"/>
      <c r="D55" s="156" t="s">
        <v>0</v>
      </c>
      <c r="E55" s="156"/>
      <c r="F55" s="157" t="s">
        <v>23</v>
      </c>
      <c r="G55" s="156"/>
      <c r="H55" s="156" t="s">
        <v>0</v>
      </c>
      <c r="I55" s="158"/>
    </row>
    <row r="56" spans="1:9" ht="12">
      <c r="A56" s="121"/>
      <c r="B56" s="122" t="s">
        <v>1</v>
      </c>
      <c r="C56" s="122" t="s">
        <v>2</v>
      </c>
      <c r="D56" s="122" t="s">
        <v>1</v>
      </c>
      <c r="E56" s="122" t="s">
        <v>2</v>
      </c>
      <c r="F56" s="123" t="s">
        <v>1</v>
      </c>
      <c r="G56" s="122" t="s">
        <v>2</v>
      </c>
      <c r="H56" s="122" t="s">
        <v>1</v>
      </c>
      <c r="I56" s="124" t="s">
        <v>2</v>
      </c>
    </row>
    <row r="57" spans="1:9" ht="12">
      <c r="A57" s="101">
        <v>37530</v>
      </c>
      <c r="B57" s="92">
        <f>Writeoff!B70</f>
        <v>518456.09</v>
      </c>
      <c r="C57" s="92">
        <f>Writeoff!J70</f>
        <v>89186.98999999999</v>
      </c>
      <c r="D57" s="92">
        <f>-Recovery!G4*((B57/(B57+C57)))</f>
        <v>-45052.20144582951</v>
      </c>
      <c r="E57" s="92">
        <f>-Recovery!G4*((C57/(B57+C57)))</f>
        <v>-7750.068554170482</v>
      </c>
      <c r="F57" s="118">
        <f>Writeoff!C70</f>
        <v>217240.28999999998</v>
      </c>
      <c r="G57" s="92">
        <f>Writeoff!K70</f>
        <v>44780.85999999999</v>
      </c>
      <c r="H57" s="92">
        <f>-Recovery!H4*((F57/(F57+G57)))</f>
        <v>-37603.281820744625</v>
      </c>
      <c r="I57" s="91">
        <f>-Recovery!H4*((G57/(F57+G57)))</f>
        <v>-7751.358179255377</v>
      </c>
    </row>
    <row r="58" spans="1:9" ht="12">
      <c r="A58" s="101">
        <v>37561</v>
      </c>
      <c r="B58" s="92">
        <f>Writeoff!B71</f>
        <v>519267.55000000005</v>
      </c>
      <c r="C58" s="92">
        <f>Writeoff!J71</f>
        <v>88032.18999999999</v>
      </c>
      <c r="D58" s="92">
        <f>-Recovery!G5*((B58/(B58+C58)))</f>
        <v>-49066.90548614347</v>
      </c>
      <c r="E58" s="92">
        <f>-Recovery!G5*((C58/(B58+C58)))</f>
        <v>-8318.384513856534</v>
      </c>
      <c r="F58" s="118">
        <f>Writeoff!C71</f>
        <v>219789.21999999997</v>
      </c>
      <c r="G58" s="92">
        <f>Writeoff!K71</f>
        <v>46306.65</v>
      </c>
      <c r="H58" s="92">
        <f>-Recovery!H5*((F58/(F58+G58)))</f>
        <v>-41371.994017623794</v>
      </c>
      <c r="I58" s="91">
        <f>-Recovery!H5*((G58/(F58+G58)))</f>
        <v>-8716.5259823762</v>
      </c>
    </row>
    <row r="59" spans="1:9" ht="12">
      <c r="A59" s="101">
        <v>37591</v>
      </c>
      <c r="B59" s="92">
        <f>Writeoff!B72</f>
        <v>521933.5</v>
      </c>
      <c r="C59" s="92">
        <f>Writeoff!J72</f>
        <v>90107.54</v>
      </c>
      <c r="D59" s="92">
        <f>-Recovery!G6*((B59/(B59+C59)))</f>
        <v>-60205.068483365096</v>
      </c>
      <c r="E59" s="92">
        <f>-Recovery!G6*((C59/(B59+C59)))</f>
        <v>-10393.911516634897</v>
      </c>
      <c r="F59" s="118">
        <f>Writeoff!C72</f>
        <v>219579.89999999997</v>
      </c>
      <c r="G59" s="92">
        <f>Writeoff!K72</f>
        <v>48439.799999999996</v>
      </c>
      <c r="H59" s="92">
        <f>-Recovery!H6*((F59/(F59+G59)))</f>
        <v>-43875.737567492244</v>
      </c>
      <c r="I59" s="91">
        <f>-Recovery!H6*((G59/(F59+G59)))</f>
        <v>-9679.082432507761</v>
      </c>
    </row>
    <row r="60" spans="1:9" ht="12">
      <c r="A60" s="101">
        <v>37622</v>
      </c>
      <c r="B60" s="92">
        <f>Writeoff!B73</f>
        <v>539165.0299999999</v>
      </c>
      <c r="C60" s="92">
        <f>Writeoff!J73</f>
        <v>97765.20999999999</v>
      </c>
      <c r="D60" s="92">
        <f>-Recovery!G7*((B60/(B60+C60)))</f>
        <v>-60676.46496751749</v>
      </c>
      <c r="E60" s="92">
        <f>-Recovery!G7*((C60/(B60+C60)))</f>
        <v>-11002.285032482521</v>
      </c>
      <c r="F60" s="118">
        <f>Writeoff!C73</f>
        <v>220582.52</v>
      </c>
      <c r="G60" s="92">
        <f>Writeoff!K73</f>
        <v>47787.02</v>
      </c>
      <c r="H60" s="92">
        <f>-Recovery!H7*((F60/(F60+G60)))</f>
        <v>-46318.73454617689</v>
      </c>
      <c r="I60" s="91">
        <f>-Recovery!H7*((G60/(F60+G60)))</f>
        <v>-10034.495453823114</v>
      </c>
    </row>
    <row r="61" spans="1:9" ht="12">
      <c r="A61" s="101">
        <v>37653</v>
      </c>
      <c r="B61" s="92">
        <f>Writeoff!B74</f>
        <v>546016.63</v>
      </c>
      <c r="C61" s="92">
        <f>Writeoff!J74</f>
        <v>100386.86</v>
      </c>
      <c r="D61" s="92">
        <f>-Recovery!G8*((B61/(B61+C61)))</f>
        <v>-67537.4915795026</v>
      </c>
      <c r="E61" s="92">
        <f>-Recovery!G8*((C61/(B61+C61)))</f>
        <v>-12416.978420497388</v>
      </c>
      <c r="F61" s="118">
        <f>Writeoff!C74</f>
        <v>219343.52999999997</v>
      </c>
      <c r="G61" s="92">
        <f>Writeoff!K74</f>
        <v>32735.579999999998</v>
      </c>
      <c r="H61" s="92">
        <f>-Recovery!H8*((F61/(F61+G61)))</f>
        <v>-48257.13049185512</v>
      </c>
      <c r="I61" s="91">
        <f>-Recovery!H8*((G61/(F61+G61)))</f>
        <v>-7202.059508144883</v>
      </c>
    </row>
    <row r="62" spans="1:9" ht="12">
      <c r="A62" s="101">
        <v>37683</v>
      </c>
      <c r="B62" s="92">
        <f>Writeoff!B75</f>
        <v>549323.91</v>
      </c>
      <c r="C62" s="92">
        <f>Writeoff!J75</f>
        <v>112761.57</v>
      </c>
      <c r="D62" s="92">
        <f>-Recovery!G9*((B62/(B62+C62)))</f>
        <v>-71350.36098036451</v>
      </c>
      <c r="E62" s="92">
        <f>-Recovery!G9*((C62/(B62+C62)))</f>
        <v>-14646.329019635501</v>
      </c>
      <c r="F62" s="118">
        <f>Writeoff!C75</f>
        <v>224758.37</v>
      </c>
      <c r="G62" s="92">
        <f>Writeoff!K75</f>
        <v>33654.39</v>
      </c>
      <c r="H62" s="92">
        <f>-Recovery!H9*((F62/(F62+G62)))</f>
        <v>-49518.399400554365</v>
      </c>
      <c r="I62" s="91">
        <f>-Recovery!H9*((G62/(F62+G62)))</f>
        <v>-7414.680599445629</v>
      </c>
    </row>
    <row r="63" spans="1:9" ht="12">
      <c r="A63" s="101">
        <v>37714</v>
      </c>
      <c r="B63" s="92">
        <f>Writeoff!B76</f>
        <v>532768.72</v>
      </c>
      <c r="C63" s="92">
        <f>Writeoff!J76</f>
        <v>110185.72</v>
      </c>
      <c r="D63" s="92">
        <f>-Recovery!G10*((B63/(B63+C63)))</f>
        <v>-75030.57803693961</v>
      </c>
      <c r="E63" s="92">
        <f>-Recovery!G10*((C63/(B63+C63)))</f>
        <v>-15517.611963060403</v>
      </c>
      <c r="F63" s="118">
        <f>Writeoff!C76</f>
        <v>233430.22</v>
      </c>
      <c r="G63" s="92">
        <f>Writeoff!K76</f>
        <v>37821.77</v>
      </c>
      <c r="H63" s="92">
        <f>-Recovery!H10*((F63/(F63+G63)))</f>
        <v>-50725.67126346612</v>
      </c>
      <c r="I63" s="91">
        <f>-Recovery!H10*((G63/(F63+G63)))</f>
        <v>-8218.878736533878</v>
      </c>
    </row>
    <row r="64" spans="1:9" ht="12">
      <c r="A64" s="101">
        <v>37742</v>
      </c>
      <c r="B64" s="92">
        <f>Writeoff!B77</f>
        <v>533427.42</v>
      </c>
      <c r="C64" s="92">
        <f>Writeoff!J77</f>
        <v>111059.91</v>
      </c>
      <c r="D64" s="92">
        <f>-Recovery!G11*((B64/(B64+C64)))</f>
        <v>-74683.70719734396</v>
      </c>
      <c r="E64" s="92">
        <f>-Recovery!G11*((C64/(B64+C64)))</f>
        <v>-15549.192802656025</v>
      </c>
      <c r="F64" s="118">
        <f>Writeoff!C77</f>
        <v>235625.17999999996</v>
      </c>
      <c r="G64" s="92">
        <f>Writeoff!K77</f>
        <v>37703.97</v>
      </c>
      <c r="H64" s="92">
        <f>-Recovery!H11*((F64/(F64+G64)))</f>
        <v>-50909.602118281924</v>
      </c>
      <c r="I64" s="91">
        <f>-Recovery!H11*((G64/(F64+G64)))</f>
        <v>-8146.3878817180685</v>
      </c>
    </row>
    <row r="65" spans="1:9" ht="12">
      <c r="A65" s="101">
        <v>37773</v>
      </c>
      <c r="B65" s="92">
        <f>Writeoff!B78</f>
        <v>536888.11</v>
      </c>
      <c r="C65" s="92">
        <f>Writeoff!J78</f>
        <v>113594.15</v>
      </c>
      <c r="D65" s="92">
        <f>-Recovery!G12*((B65/(B65+C65)))</f>
        <v>-74137.90906702235</v>
      </c>
      <c r="E65" s="92">
        <f>-Recovery!G12*((C65/(B65+C65)))</f>
        <v>-15686.01093297763</v>
      </c>
      <c r="F65" s="118">
        <f>Writeoff!C78</f>
        <v>236592.71</v>
      </c>
      <c r="G65" s="92">
        <f>Writeoff!K78</f>
        <v>35794.25</v>
      </c>
      <c r="H65" s="92">
        <f>-Recovery!H12*((F65/(F65+G65)))</f>
        <v>-52773.114520918694</v>
      </c>
      <c r="I65" s="91">
        <f>-Recovery!H12*((G65/(F65+G65)))</f>
        <v>-7984.075479081305</v>
      </c>
    </row>
    <row r="66" spans="1:9" ht="12">
      <c r="A66" s="101">
        <v>37803</v>
      </c>
      <c r="B66" s="92">
        <f>Writeoff!B79</f>
        <v>520858.1</v>
      </c>
      <c r="C66" s="92">
        <f>Writeoff!J79</f>
        <v>112691.76999999999</v>
      </c>
      <c r="D66" s="92">
        <f>-Recovery!G13*((B66/(B66+C66)))</f>
        <v>-77373.87919687048</v>
      </c>
      <c r="E66" s="92">
        <f>-Recovery!G13*((C66/(B66+C66)))</f>
        <v>-16740.45080312951</v>
      </c>
      <c r="F66" s="118">
        <f>Writeoff!C79</f>
        <v>244020.58</v>
      </c>
      <c r="G66" s="92">
        <f>Writeoff!K79</f>
        <v>34086.21000000001</v>
      </c>
      <c r="H66" s="92">
        <f>-Recovery!H13*((F66/(F66+G66)))</f>
        <v>-44985.030073893555</v>
      </c>
      <c r="I66" s="91">
        <f>-Recovery!H13*((G66/(F66+G66)))</f>
        <v>-6283.769926106444</v>
      </c>
    </row>
    <row r="67" spans="1:9" ht="12">
      <c r="A67" s="101">
        <v>37834</v>
      </c>
      <c r="B67" s="92">
        <f>Writeoff!B80</f>
        <v>513595.08</v>
      </c>
      <c r="C67" s="92">
        <f>Writeoff!J80</f>
        <v>111431.34</v>
      </c>
      <c r="D67" s="92">
        <f>-Recovery!G14*((B67/(B67+C67)))</f>
        <v>-80525.92968825028</v>
      </c>
      <c r="E67" s="92">
        <f>-Recovery!G14*((C67/(B67+C67)))</f>
        <v>-17471.180311749697</v>
      </c>
      <c r="F67" s="118">
        <f>Writeoff!C80</f>
        <v>244747.65</v>
      </c>
      <c r="G67" s="92">
        <f>Writeoff!K80</f>
        <v>33261.99</v>
      </c>
      <c r="H67" s="92">
        <f>-Recovery!H14*((F67/(F67+G67)))</f>
        <v>-44445.89978007956</v>
      </c>
      <c r="I67" s="91">
        <f>-Recovery!H14*((G67/(F67+G67)))</f>
        <v>-6040.340219920431</v>
      </c>
    </row>
    <row r="68" spans="1:9" ht="12">
      <c r="A68" s="101">
        <v>37865</v>
      </c>
      <c r="B68" s="92">
        <f>Writeoff!B81</f>
        <v>512193.14</v>
      </c>
      <c r="C68" s="92">
        <f>Writeoff!J81</f>
        <v>111303.41999999998</v>
      </c>
      <c r="D68" s="92">
        <f>-Recovery!G15*((B68/(B68+C68)))</f>
        <v>-77341.03224235078</v>
      </c>
      <c r="E68" s="92">
        <f>-Recovery!G15*((C68/(B68+C68)))</f>
        <v>-16806.78775764921</v>
      </c>
      <c r="F68" s="118">
        <f>Writeoff!C81</f>
        <v>243037.18</v>
      </c>
      <c r="G68" s="92">
        <f>Writeoff!K81</f>
        <v>33685.34</v>
      </c>
      <c r="H68" s="92">
        <f>-Recovery!H15*((F68/(F68+G68)))</f>
        <v>-41921.18678409476</v>
      </c>
      <c r="I68" s="91">
        <f>-Recovery!H15*((G68/(F68+G68)))</f>
        <v>-5810.34321590523</v>
      </c>
    </row>
    <row r="69" spans="1:9" ht="12">
      <c r="A69" s="101">
        <v>37895</v>
      </c>
      <c r="B69" s="92">
        <f>Writeoff!B82</f>
        <v>508635.74</v>
      </c>
      <c r="C69" s="92">
        <f>Writeoff!J82</f>
        <v>107433.81999999999</v>
      </c>
      <c r="D69" s="92">
        <f>-Recovery!G16*((B69/(B69+C69)))</f>
        <v>-76595.81519539614</v>
      </c>
      <c r="E69" s="92">
        <f>-Recovery!G16*((C69/(B69+C69)))</f>
        <v>-16178.534804603883</v>
      </c>
      <c r="F69" s="118">
        <f>Writeoff!C82</f>
        <v>251507.51999999996</v>
      </c>
      <c r="G69" s="92">
        <f>Writeoff!K82</f>
        <v>33803.77</v>
      </c>
      <c r="H69" s="92">
        <f>-Recovery!H16*((F69/(F69+G69)))</f>
        <v>-37847.21045934073</v>
      </c>
      <c r="I69" s="91">
        <f>-Recovery!H16*((G69/(F69+G69)))</f>
        <v>-5086.839540659255</v>
      </c>
    </row>
    <row r="70" spans="1:9" ht="12">
      <c r="A70" s="101">
        <v>37926</v>
      </c>
      <c r="B70" s="92">
        <f>Writeoff!B83</f>
        <v>511242.2</v>
      </c>
      <c r="C70" s="92">
        <f>Writeoff!J83</f>
        <v>108890.72999999998</v>
      </c>
      <c r="D70" s="92">
        <f>-Recovery!G17*((B70/(B70+C70)))</f>
        <v>-74259.6376541978</v>
      </c>
      <c r="E70" s="92">
        <f>-Recovery!G17*((C70/(B70+C70)))</f>
        <v>-15816.742345802215</v>
      </c>
      <c r="F70" s="118">
        <f>Writeoff!C83</f>
        <v>251314.29999999996</v>
      </c>
      <c r="G70" s="92">
        <f>Writeoff!K83</f>
        <v>32637.170000000006</v>
      </c>
      <c r="H70" s="92">
        <f>-Recovery!H17*((F70/(F70+G70)))</f>
        <v>-32474.268333426826</v>
      </c>
      <c r="I70" s="91">
        <f>-Recovery!H17*((G70/(F70+G70)))</f>
        <v>-4217.301666573165</v>
      </c>
    </row>
    <row r="71" spans="1:9" ht="12">
      <c r="A71" s="101">
        <v>37956</v>
      </c>
      <c r="B71" s="92">
        <f>Writeoff!B84</f>
        <v>518860.9600000001</v>
      </c>
      <c r="C71" s="92">
        <f>Writeoff!J84</f>
        <v>109738.04999999999</v>
      </c>
      <c r="D71" s="92">
        <f>-Recovery!G18*((B71/(B71+C71)))</f>
        <v>-63272.04060469648</v>
      </c>
      <c r="E71" s="92">
        <f>-Recovery!G18*((C71/(B71+C71)))</f>
        <v>-13381.909395303532</v>
      </c>
      <c r="F71" s="118">
        <f>Writeoff!C84</f>
        <v>254418.25999999995</v>
      </c>
      <c r="G71" s="92">
        <f>Writeoff!K84</f>
        <v>30784.920000000002</v>
      </c>
      <c r="H71" s="92">
        <f>-Recovery!H18*((F71/(F71+G71)))</f>
        <v>-29333.018908523394</v>
      </c>
      <c r="I71" s="91">
        <f>-Recovery!H18*((G71/(F71+G71)))</f>
        <v>-3549.331091476611</v>
      </c>
    </row>
    <row r="72" spans="1:9" ht="12">
      <c r="A72" s="101">
        <v>37987</v>
      </c>
      <c r="B72" s="92">
        <f>Writeoff!B85</f>
        <v>503187.37</v>
      </c>
      <c r="C72" s="92">
        <f>Writeoff!J85</f>
        <v>102547.10999999999</v>
      </c>
      <c r="D72" s="92">
        <f>-Recovery!G19*((B72/(B72+C72)))</f>
        <v>-60791.600875425</v>
      </c>
      <c r="E72" s="92">
        <f>-Recovery!G19*((C72/(B72+C72)))</f>
        <v>-12389.029124575012</v>
      </c>
      <c r="F72" s="118">
        <f>Writeoff!C85</f>
        <v>247464.65999999997</v>
      </c>
      <c r="G72" s="92">
        <f>Writeoff!K85</f>
        <v>28341.050000000003</v>
      </c>
      <c r="H72" s="92">
        <f>-Recovery!H19*((F72/(F72+G72)))</f>
        <v>-28021.302262174344</v>
      </c>
      <c r="I72" s="91">
        <f>-Recovery!H19*((G72/(F72+G72)))</f>
        <v>-3209.157737825661</v>
      </c>
    </row>
    <row r="73" spans="1:9" ht="12">
      <c r="A73" s="101">
        <v>38018</v>
      </c>
      <c r="B73" s="92">
        <f>Writeoff!B86</f>
        <v>491354.73</v>
      </c>
      <c r="C73" s="92">
        <f>Writeoff!J86</f>
        <v>100723.55</v>
      </c>
      <c r="D73" s="92">
        <f>-Recovery!G20*((B73/(B73+C73)))</f>
        <v>-55747.49632764741</v>
      </c>
      <c r="E73" s="92">
        <f>-Recovery!G20*((C73/(B73+C73)))</f>
        <v>-11427.763672352581</v>
      </c>
      <c r="F73" s="118">
        <f>Writeoff!C86</f>
        <v>245563.68999999994</v>
      </c>
      <c r="G73" s="92">
        <f>Writeoff!K86</f>
        <v>26696.130000000005</v>
      </c>
      <c r="H73" s="92">
        <f>-Recovery!H20*((F73/(F73+G73)))</f>
        <v>-28690.220798998547</v>
      </c>
      <c r="I73" s="91">
        <f>-Recovery!H20*((G73/(F73+G73)))</f>
        <v>-3119.019201001456</v>
      </c>
    </row>
    <row r="74" spans="1:9" ht="12">
      <c r="A74" s="101">
        <v>38047</v>
      </c>
      <c r="B74" s="92">
        <f>Writeoff!B87</f>
        <v>495000.01</v>
      </c>
      <c r="C74" s="92">
        <f>Writeoff!J87</f>
        <v>102586.99</v>
      </c>
      <c r="D74" s="92">
        <f>-Recovery!G21*((B74/(B74+C74)))</f>
        <v>-51521.9245431989</v>
      </c>
      <c r="E74" s="92">
        <f>-Recovery!G21*((C74/(B74+C74)))</f>
        <v>-10677.735456801103</v>
      </c>
      <c r="F74" s="118">
        <f>Writeoff!C87</f>
        <v>252206.34999999998</v>
      </c>
      <c r="G74" s="92">
        <f>Writeoff!K87</f>
        <v>33436.11</v>
      </c>
      <c r="H74" s="92">
        <f>-Recovery!H21*((F74/(F74+G74)))</f>
        <v>-28922.39970027391</v>
      </c>
      <c r="I74" s="91">
        <f>-Recovery!H21*((G74/(F74+G74)))</f>
        <v>-3834.3702997260993</v>
      </c>
    </row>
    <row r="75" spans="1:9" ht="12">
      <c r="A75" s="101">
        <v>38078</v>
      </c>
      <c r="B75" s="92">
        <f>Writeoff!B88</f>
        <v>474857.76999999996</v>
      </c>
      <c r="C75" s="92">
        <f>Writeoff!J88</f>
        <v>89088.02</v>
      </c>
      <c r="D75" s="92">
        <f>-Recovery!G22*((B75/(B75+C75)))</f>
        <v>-49606.65102975501</v>
      </c>
      <c r="E75" s="92">
        <f>-Recovery!G22*((C75/(B75+C75)))</f>
        <v>-9306.698970244997</v>
      </c>
      <c r="F75" s="118">
        <f>Writeoff!C88</f>
        <v>236873.21000000002</v>
      </c>
      <c r="G75" s="92">
        <f>Writeoff!K88</f>
        <v>29157.92</v>
      </c>
      <c r="H75" s="92">
        <f>-Recovery!H22*((F75/(F75+G75)))</f>
        <v>-26570.377955401687</v>
      </c>
      <c r="I75" s="91">
        <f>-Recovery!H22*((G75/(F75+G75)))</f>
        <v>-3270.6820445983144</v>
      </c>
    </row>
    <row r="76" spans="1:9" ht="12">
      <c r="A76" s="101">
        <v>38108</v>
      </c>
      <c r="B76" s="92">
        <f>Writeoff!B89</f>
        <v>442977.74999999994</v>
      </c>
      <c r="C76" s="92">
        <f>Writeoff!J89</f>
        <v>123368.77</v>
      </c>
      <c r="D76" s="92">
        <f>-Recovery!G23*((B76/(B76+C76)))</f>
        <v>-47220.77188657397</v>
      </c>
      <c r="E76" s="92">
        <f>-Recovery!G23*((C76/(B76+C76)))</f>
        <v>-13150.92811342604</v>
      </c>
      <c r="F76" s="118">
        <f>Writeoff!C89</f>
        <v>222631.95</v>
      </c>
      <c r="G76" s="92">
        <f>Writeoff!K89</f>
        <v>29482.21</v>
      </c>
      <c r="H76" s="92">
        <f>-Recovery!H23*((F76/(F76+G76)))</f>
        <v>-25856.511282551524</v>
      </c>
      <c r="I76" s="91">
        <f>-Recovery!H23*((G76/(F76+G76)))</f>
        <v>-3424.0687174484765</v>
      </c>
    </row>
    <row r="77" spans="1:9" ht="12">
      <c r="A77" s="101">
        <v>38139</v>
      </c>
      <c r="B77" s="92">
        <f>Writeoff!B90</f>
        <v>427708.3</v>
      </c>
      <c r="C77" s="92">
        <f>Writeoff!J90</f>
        <v>122182.86000000002</v>
      </c>
      <c r="D77" s="92">
        <f>-Recovery!G24*((B77/(B77+C77)))</f>
        <v>-49062.53190309151</v>
      </c>
      <c r="E77" s="92">
        <f>-Recovery!G24*((C77/(B77+C77)))</f>
        <v>-14015.62809690849</v>
      </c>
      <c r="F77" s="118">
        <f>Writeoff!C90</f>
        <v>221203.17</v>
      </c>
      <c r="G77" s="92">
        <f>Writeoff!K90</f>
        <v>33311.57</v>
      </c>
      <c r="H77" s="92">
        <f>-Recovery!H24*((F77/(F77+G77)))</f>
        <v>-25153.324399597048</v>
      </c>
      <c r="I77" s="91">
        <f>-Recovery!H24*((G77/(F77+G77)))</f>
        <v>-3787.905600402946</v>
      </c>
    </row>
    <row r="78" spans="1:9" ht="12">
      <c r="A78" s="101">
        <v>38169</v>
      </c>
      <c r="B78" s="92">
        <f>Writeoff!B91</f>
        <v>418941.49</v>
      </c>
      <c r="C78" s="92">
        <f>Writeoff!J91</f>
        <v>124617.07</v>
      </c>
      <c r="D78" s="92">
        <f>-Recovery!G25*((B78/(B78+C78)))</f>
        <v>-45420.326803188975</v>
      </c>
      <c r="E78" s="92">
        <f>-Recovery!G25*((C78/(B78+C78)))</f>
        <v>-13510.593196811033</v>
      </c>
      <c r="F78" s="118">
        <f>Writeoff!C91</f>
        <v>223572.68</v>
      </c>
      <c r="G78" s="92">
        <f>Writeoff!K91</f>
        <v>40868.299999999996</v>
      </c>
      <c r="H78" s="92">
        <f>-Recovery!H25*((F78/(F78+G78)))</f>
        <v>-24246.233708575724</v>
      </c>
      <c r="I78" s="91">
        <f>-Recovery!H25*((G78/(F78+G78)))</f>
        <v>-4432.126291424272</v>
      </c>
    </row>
    <row r="79" spans="1:9" ht="12">
      <c r="A79" s="101">
        <v>38200</v>
      </c>
      <c r="B79" s="92">
        <f>Writeoff!B92</f>
        <v>419197.37</v>
      </c>
      <c r="C79" s="92">
        <f>Writeoff!J92</f>
        <v>121534.86</v>
      </c>
      <c r="D79" s="92">
        <f>-Recovery!G26*((B79/(B79+C79)))</f>
        <v>-43141.148889511365</v>
      </c>
      <c r="E79" s="92">
        <f>-Recovery!G26*((C79/(B79+C79)))</f>
        <v>-12507.601110488644</v>
      </c>
      <c r="F79" s="118">
        <f>Writeoff!C92</f>
        <v>225368.24</v>
      </c>
      <c r="G79" s="92">
        <f>Writeoff!K92</f>
        <v>39562.32</v>
      </c>
      <c r="H79" s="92">
        <f>-Recovery!H26*((F79/(F79+G79)))</f>
        <v>-24596.390857894232</v>
      </c>
      <c r="I79" s="91">
        <f>-Recovery!H26*((G79/(F79+G79)))</f>
        <v>-4317.7791421057655</v>
      </c>
    </row>
    <row r="80" spans="1:9" ht="12">
      <c r="A80" s="101">
        <v>38231</v>
      </c>
      <c r="B80" s="92">
        <f>Writeoff!B93</f>
        <v>424139.68999999994</v>
      </c>
      <c r="C80" s="92">
        <f>Writeoff!J93</f>
        <v>123217.42000000001</v>
      </c>
      <c r="D80" s="92">
        <f>-Recovery!G27*((B80/(B80+C80)))</f>
        <v>-45731.428235127336</v>
      </c>
      <c r="E80" s="92">
        <f>-Recovery!G27*((C80/(B80+C80)))</f>
        <v>-13285.501764872666</v>
      </c>
      <c r="F80" s="118">
        <f>Writeoff!C93</f>
        <v>225804.88</v>
      </c>
      <c r="G80" s="92">
        <f>Writeoff!K93</f>
        <v>40261.57</v>
      </c>
      <c r="H80" s="92">
        <f>-Recovery!H27*((F80/(F80+G80)))</f>
        <v>-23263.5341735961</v>
      </c>
      <c r="I80" s="91">
        <f>-Recovery!H27*((G80/(F80+G80)))</f>
        <v>-4147.945826403891</v>
      </c>
    </row>
    <row r="81" spans="1:9" ht="12">
      <c r="A81" s="101">
        <v>38261</v>
      </c>
      <c r="B81" s="92">
        <f>Writeoff!B94</f>
        <v>423485.07999999996</v>
      </c>
      <c r="C81" s="92">
        <f>Writeoff!J94</f>
        <v>124666.85</v>
      </c>
      <c r="D81" s="92">
        <f>-Recovery!G28*((B81/(B81+C81)))</f>
        <v>-43862.13793099808</v>
      </c>
      <c r="E81" s="92">
        <f>-Recovery!G28*((C81/(B81+C81)))</f>
        <v>-12912.27206900193</v>
      </c>
      <c r="F81" s="118">
        <f>Writeoff!C94</f>
        <v>214141.55</v>
      </c>
      <c r="G81" s="92">
        <f>Writeoff!K94</f>
        <v>40809.09</v>
      </c>
      <c r="H81" s="92">
        <f>-Recovery!H28*((F81/(F81+G81)))</f>
        <v>-22233.137071105215</v>
      </c>
      <c r="I81" s="91">
        <f>-Recovery!H28*((G81/(F81+G81)))</f>
        <v>-4236.982928894785</v>
      </c>
    </row>
    <row r="82" spans="1:9" ht="12">
      <c r="A82" s="101">
        <v>38292</v>
      </c>
      <c r="B82" s="92">
        <f>Writeoff!B95</f>
        <v>419224.48</v>
      </c>
      <c r="C82" s="92">
        <f>Writeoff!J95</f>
        <v>124652.18999999999</v>
      </c>
      <c r="D82" s="92">
        <f>-Recovery!G29*((B82/(B82+C82)))</f>
        <v>-41613.88045993589</v>
      </c>
      <c r="E82" s="92">
        <f>-Recovery!G29*((C82/(B82+C82)))</f>
        <v>-12373.46954006411</v>
      </c>
      <c r="F82" s="118">
        <f>Writeoff!C95</f>
        <v>211450.09</v>
      </c>
      <c r="G82" s="92">
        <f>Writeoff!K95</f>
        <v>40225.86</v>
      </c>
      <c r="H82" s="92">
        <f>-Recovery!H29*((F82/(F82+G82)))</f>
        <v>-24099.674160727318</v>
      </c>
      <c r="I82" s="91">
        <f>-Recovery!H29*((G82/(F82+G82)))</f>
        <v>-4584.675839272683</v>
      </c>
    </row>
    <row r="83" spans="1:9" ht="12">
      <c r="A83" s="101">
        <v>38322</v>
      </c>
      <c r="B83" s="92">
        <f>Writeoff!B96</f>
        <v>416630.18999999994</v>
      </c>
      <c r="C83" s="92">
        <f>Writeoff!J96</f>
        <v>131005.28000000001</v>
      </c>
      <c r="D83" s="92">
        <f>-Recovery!G30*((B83/(B83+C83)))</f>
        <v>-40684.33088574924</v>
      </c>
      <c r="E83" s="92">
        <f>-Recovery!G30*((C83/(B83+C83)))</f>
        <v>-12792.789114250765</v>
      </c>
      <c r="F83" s="118">
        <f>Writeoff!C96</f>
        <v>209647.71000000002</v>
      </c>
      <c r="G83" s="92">
        <f>Writeoff!K96</f>
        <v>41091.05</v>
      </c>
      <c r="H83" s="92">
        <f>-Recovery!H30*((F83/(F83+G83)))</f>
        <v>-24742.35646741533</v>
      </c>
      <c r="I83" s="91">
        <f>-Recovery!H30*((G83/(F83+G83)))</f>
        <v>-4849.513532584672</v>
      </c>
    </row>
    <row r="84" spans="1:9" ht="12">
      <c r="A84" s="101">
        <v>38353</v>
      </c>
      <c r="B84" s="92">
        <f>Writeoff!B97</f>
        <v>417725.31000000006</v>
      </c>
      <c r="C84" s="92">
        <f>Writeoff!J97</f>
        <v>225852.84000000003</v>
      </c>
      <c r="D84" s="92">
        <f>-Recovery!G31*((B84/(B84+C84)))</f>
        <v>-34218.68653463623</v>
      </c>
      <c r="E84" s="92">
        <f>-Recovery!G31*((C84/(B84+C84)))</f>
        <v>-18501.123465363766</v>
      </c>
      <c r="F84" s="118">
        <f>Writeoff!C97</f>
        <v>217293.44</v>
      </c>
      <c r="G84" s="92">
        <f>Writeoff!K97</f>
        <v>47239.78</v>
      </c>
      <c r="H84" s="92">
        <f>-Recovery!H31*((F84/(F84+G84)))</f>
        <v>-26861.96565528973</v>
      </c>
      <c r="I84" s="91">
        <f>-Recovery!H31*((G84/(F84+G84)))</f>
        <v>-5839.81434471028</v>
      </c>
    </row>
    <row r="85" spans="1:9" ht="12">
      <c r="A85" s="101">
        <v>38384</v>
      </c>
      <c r="B85" s="92">
        <f>Writeoff!B98</f>
        <v>431936.72</v>
      </c>
      <c r="C85" s="92">
        <f>Writeoff!J98</f>
        <v>240598.59999999998</v>
      </c>
      <c r="D85" s="92">
        <f>-Recovery!G32*((B85/(B85+C85)))</f>
        <v>-33735.85800638694</v>
      </c>
      <c r="E85" s="92">
        <f>-Recovery!G32*((C85/(B85+C85)))</f>
        <v>-18791.641993613062</v>
      </c>
      <c r="F85" s="118">
        <f>Writeoff!C98</f>
        <v>223761.17</v>
      </c>
      <c r="G85" s="92">
        <f>Writeoff!K98</f>
        <v>44347.75</v>
      </c>
      <c r="H85" s="92">
        <f>-Recovery!H32*((F85/(F85+G85)))</f>
        <v>-26159.63976732889</v>
      </c>
      <c r="I85" s="91">
        <f>-Recovery!H32*((G85/(F85+G85)))</f>
        <v>-5184.6402326711095</v>
      </c>
    </row>
    <row r="86" spans="1:9" ht="12">
      <c r="A86" s="101">
        <v>38412</v>
      </c>
      <c r="B86" s="92">
        <f>Writeoff!B99</f>
        <v>469898.3799999999</v>
      </c>
      <c r="C86" s="92">
        <f>Writeoff!J99</f>
        <v>251366.94999999998</v>
      </c>
      <c r="D86" s="92">
        <f>-Recovery!G33*((B86/(B86+C86)))</f>
        <v>-34581.329573996576</v>
      </c>
      <c r="E86" s="92">
        <f>-Recovery!G33*((C86/(B86+C86)))</f>
        <v>-18498.900426003427</v>
      </c>
      <c r="F86" s="118">
        <f>Writeoff!C99</f>
        <v>219334.36000000002</v>
      </c>
      <c r="G86" s="92">
        <f>Writeoff!K99</f>
        <v>41708.24</v>
      </c>
      <c r="H86" s="92">
        <f>-Recovery!H33*((F86/(F86+G86)))</f>
        <v>-24950.396117151762</v>
      </c>
      <c r="I86" s="91">
        <f>-Recovery!H33*((G86/(F86+G86)))</f>
        <v>-4744.52388284824</v>
      </c>
    </row>
    <row r="87" spans="1:9" ht="12">
      <c r="A87" s="101">
        <v>38443</v>
      </c>
      <c r="B87" s="92">
        <f>Writeoff!B100</f>
        <v>500611.68000000005</v>
      </c>
      <c r="C87" s="92">
        <f>Writeoff!J100</f>
        <v>259213.19999999998</v>
      </c>
      <c r="D87" s="92">
        <f>-Recovery!G34*((B87/(B87+C87)))</f>
        <v>-35185.464460758376</v>
      </c>
      <c r="E87" s="92">
        <f>-Recovery!G34*((C87/(B87+C87)))</f>
        <v>-18218.785539241617</v>
      </c>
      <c r="F87" s="118">
        <f>Writeoff!C100</f>
        <v>229580.59000000003</v>
      </c>
      <c r="G87" s="92">
        <f>Writeoff!K100</f>
        <v>43135.61</v>
      </c>
      <c r="H87" s="92">
        <f>-Recovery!H34*((F87/(F87+G87)))</f>
        <v>-24741.55934935219</v>
      </c>
      <c r="I87" s="91">
        <f>-Recovery!H34*((G87/(F87+G87)))</f>
        <v>-4648.6606506478165</v>
      </c>
    </row>
    <row r="88" spans="1:9" ht="12">
      <c r="A88" s="101">
        <v>38473</v>
      </c>
      <c r="B88" s="92">
        <f>Writeoff!B101</f>
        <v>528697.23</v>
      </c>
      <c r="C88" s="92">
        <f>Writeoff!J101</f>
        <v>230169.82000000004</v>
      </c>
      <c r="D88" s="92">
        <f>-Recovery!G35*((B88/(B88+C88)))</f>
        <v>-91132.4936295948</v>
      </c>
      <c r="E88" s="92">
        <f>-Recovery!G35*((C88/(B88+C88)))</f>
        <v>-39674.7863704052</v>
      </c>
      <c r="F88" s="118">
        <f>Writeoff!C101</f>
        <v>230137.16999999998</v>
      </c>
      <c r="G88" s="92">
        <f>Writeoff!K101</f>
        <v>41527.340000000004</v>
      </c>
      <c r="H88" s="92">
        <f>-Recovery!H35*((F88/(F88+G88)))</f>
        <v>-46149.30149385063</v>
      </c>
      <c r="I88" s="91">
        <f>-Recovery!H35*((G88/(F88+G88)))</f>
        <v>-8327.458506149369</v>
      </c>
    </row>
    <row r="89" spans="1:9" ht="12">
      <c r="A89" s="101">
        <v>38504</v>
      </c>
      <c r="B89" s="92">
        <f>Writeoff!B102</f>
        <v>533867.11</v>
      </c>
      <c r="C89" s="92">
        <f>Writeoff!J102</f>
        <v>230316.45000000004</v>
      </c>
      <c r="D89" s="92">
        <f>-Recovery!G36*((B89/(B89+C89)))</f>
        <v>-86951.25308367441</v>
      </c>
      <c r="E89" s="92">
        <f>-Recovery!G36*((C89/(B89+C89)))</f>
        <v>-37511.77691632558</v>
      </c>
      <c r="F89" s="118">
        <f>Writeoff!C102</f>
        <v>235680.88000000003</v>
      </c>
      <c r="G89" s="92">
        <f>Writeoff!K102</f>
        <v>40636.34</v>
      </c>
      <c r="H89" s="92">
        <f>-Recovery!H36*((F89/(F89+G89)))</f>
        <v>-44844.8796721044</v>
      </c>
      <c r="I89" s="91">
        <f>-Recovery!H36*((G89/(F89+G89)))</f>
        <v>-7732.2003278955945</v>
      </c>
    </row>
    <row r="90" spans="1:9" ht="12">
      <c r="A90" s="101">
        <v>38534</v>
      </c>
      <c r="B90" s="92">
        <f>Writeoff!B103</f>
        <v>539877.78</v>
      </c>
      <c r="C90" s="92">
        <f>Writeoff!J103</f>
        <v>223304.2</v>
      </c>
      <c r="D90" s="92">
        <f>-Recovery!G37*((B90/(B90+C90)))</f>
        <v>-39030.484447130955</v>
      </c>
      <c r="E90" s="92">
        <f>-Recovery!G37*((C90/(B90+C90)))</f>
        <v>-16143.785552869058</v>
      </c>
      <c r="F90" s="118">
        <f>Writeoff!C103</f>
        <v>233014.60000000003</v>
      </c>
      <c r="G90" s="92">
        <f>Writeoff!K103</f>
        <v>32897.13</v>
      </c>
      <c r="H90" s="92">
        <f>-Recovery!H37*((F90/(F90+G90)))</f>
        <v>-26224.0799064637</v>
      </c>
      <c r="I90" s="91">
        <f>-Recovery!H37*((G90/(F90+G90)))</f>
        <v>-3702.3300935363022</v>
      </c>
    </row>
    <row r="91" spans="1:9" ht="12">
      <c r="A91" s="101">
        <v>38565</v>
      </c>
      <c r="B91" s="92">
        <f>Writeoff!B104</f>
        <v>543526.02</v>
      </c>
      <c r="C91" s="92">
        <f>Writeoff!J104</f>
        <v>221691.82</v>
      </c>
      <c r="D91" s="92">
        <f>-Recovery!G38*((B91/(B91+C91)))</f>
        <v>-40990.317805144994</v>
      </c>
      <c r="E91" s="92">
        <f>-Recovery!G38*((C91/(B91+C91)))</f>
        <v>-16719.012194854993</v>
      </c>
      <c r="F91" s="118">
        <f>Writeoff!C104</f>
        <v>232712.75000000003</v>
      </c>
      <c r="G91" s="92">
        <f>Writeoff!K104</f>
        <v>33141.45</v>
      </c>
      <c r="H91" s="92">
        <f>-Recovery!H38*((F91/(F91+G91)))</f>
        <v>-26058.18170845148</v>
      </c>
      <c r="I91" s="91">
        <f>-Recovery!H38*((G91/(F91+G91)))</f>
        <v>-3711.038291548525</v>
      </c>
    </row>
    <row r="92" spans="1:9" ht="12">
      <c r="A92" s="101">
        <v>38596</v>
      </c>
      <c r="B92" s="92">
        <f>Writeoff!B105</f>
        <v>537321.73</v>
      </c>
      <c r="C92" s="92">
        <f>Writeoff!J105</f>
        <v>219243.27</v>
      </c>
      <c r="D92" s="92">
        <f>-Recovery!G39*((B92/(B92+C92)))</f>
        <v>-39648.23797929721</v>
      </c>
      <c r="E92" s="92">
        <f>-Recovery!G39*((C92/(B92+C92)))</f>
        <v>-16177.662020702777</v>
      </c>
      <c r="F92" s="118">
        <f>Writeoff!C105</f>
        <v>235786.53</v>
      </c>
      <c r="G92" s="92">
        <f>Writeoff!K105</f>
        <v>32102.39</v>
      </c>
      <c r="H92" s="92">
        <f>-Recovery!H39*((F92/(F92+G92)))</f>
        <v>-25825.625218425237</v>
      </c>
      <c r="I92" s="91">
        <f>-Recovery!H39*((G92/(F92+G92)))</f>
        <v>-3516.1647815747665</v>
      </c>
    </row>
    <row r="93" spans="1:9" ht="12">
      <c r="A93" s="101">
        <v>38626</v>
      </c>
      <c r="B93" s="92">
        <f>Writeoff!B106</f>
        <v>539941.19</v>
      </c>
      <c r="C93" s="92">
        <f>Writeoff!J106</f>
        <v>215219.41999999998</v>
      </c>
      <c r="D93" s="92">
        <f>-Recovery!G40*((B93/(B93+C93)))</f>
        <v>-42573.57339909307</v>
      </c>
      <c r="E93" s="92">
        <f>-Recovery!G40*((C93/(B93+C93)))</f>
        <v>-16969.736600906923</v>
      </c>
      <c r="F93" s="118">
        <f>Writeoff!C106</f>
        <v>238233.2</v>
      </c>
      <c r="G93" s="92">
        <f>Writeoff!K106</f>
        <v>31534.909999999996</v>
      </c>
      <c r="H93" s="92">
        <f>-Recovery!H40*((F93/(F93+G93)))</f>
        <v>-24201.587730217634</v>
      </c>
      <c r="I93" s="91">
        <f>-Recovery!H40*((G93/(F93+G93)))</f>
        <v>-3203.5622697823696</v>
      </c>
    </row>
    <row r="94" spans="1:9" ht="12">
      <c r="A94" s="101">
        <v>38657</v>
      </c>
      <c r="B94" s="92">
        <f>Writeoff!B107</f>
        <v>546577.9199999999</v>
      </c>
      <c r="C94" s="92">
        <f>Writeoff!J107</f>
        <v>217725.05</v>
      </c>
      <c r="D94" s="92">
        <f>-Recovery!G41*((B94/(B94+C94)))</f>
        <v>-45622.073119038636</v>
      </c>
      <c r="E94" s="92">
        <f>-Recovery!G41*((C94/(B94+C94)))</f>
        <v>-18173.19688096135</v>
      </c>
      <c r="F94" s="118">
        <f>Writeoff!C107</f>
        <v>242195.84999999998</v>
      </c>
      <c r="G94" s="92">
        <f>Writeoff!K107</f>
        <v>33134.479999999996</v>
      </c>
      <c r="H94" s="92">
        <f>-Recovery!H41*((F94/(F94+G94)))</f>
        <v>-23509.383664594818</v>
      </c>
      <c r="I94" s="91">
        <f>-Recovery!H41*((G94/(F94+G94)))</f>
        <v>-3216.2863354051838</v>
      </c>
    </row>
    <row r="95" spans="1:9" ht="12">
      <c r="A95" s="101">
        <v>38687</v>
      </c>
      <c r="B95" s="92">
        <f>Writeoff!B108</f>
        <v>546662.12</v>
      </c>
      <c r="C95" s="92">
        <f>Writeoff!J108</f>
        <v>218720.4</v>
      </c>
      <c r="D95" s="92">
        <f>-Recovery!G42*((B95/(B95+C95)))</f>
        <v>-46922.43694656313</v>
      </c>
      <c r="E95" s="92">
        <f>-Recovery!G42*((C95/(B95+C95)))</f>
        <v>-18773.743053436858</v>
      </c>
      <c r="F95" s="118">
        <f>Writeoff!C108</f>
        <v>241446.53999999998</v>
      </c>
      <c r="G95" s="92">
        <f>Writeoff!K108</f>
        <v>33286.96</v>
      </c>
      <c r="H95" s="92">
        <f>-Recovery!H42*((F95/(F95+G95)))</f>
        <v>-23086.36475241061</v>
      </c>
      <c r="I95" s="91">
        <f>-Recovery!H42*((G95/(F95+G95)))</f>
        <v>-3182.7952475893917</v>
      </c>
    </row>
    <row r="96" spans="1:9" ht="12">
      <c r="A96" s="101">
        <v>38718</v>
      </c>
      <c r="B96" s="92">
        <f>Writeoff!B109</f>
        <v>545860.76</v>
      </c>
      <c r="C96" s="92">
        <f>Writeoff!J109</f>
        <v>125704.12000000001</v>
      </c>
      <c r="D96" s="92">
        <f>-Recovery!G43*((B96/(B96+C96)))</f>
        <v>-55583.853709369665</v>
      </c>
      <c r="E96" s="92">
        <f>-Recovery!G43*((C96/(B96+C96)))</f>
        <v>-12800.186290630327</v>
      </c>
      <c r="F96" s="118">
        <f>Writeoff!C109</f>
        <v>240945.56</v>
      </c>
      <c r="G96" s="92">
        <f>Writeoff!K109</f>
        <v>30344.800000000003</v>
      </c>
      <c r="H96" s="92">
        <f>-Recovery!H43*((F96/(F96+G96)))</f>
        <v>-19868.9099064471</v>
      </c>
      <c r="I96" s="91">
        <f>-Recovery!H43*((G96/(F96+G96)))</f>
        <v>-2502.3000935529008</v>
      </c>
    </row>
    <row r="97" spans="1:9" ht="12">
      <c r="A97" s="101">
        <v>38749</v>
      </c>
      <c r="B97" s="92">
        <f>Writeoff!B110</f>
        <v>558018.9500000001</v>
      </c>
      <c r="C97" s="92">
        <f>Writeoff!J110</f>
        <v>109851.27000000002</v>
      </c>
      <c r="D97" s="92">
        <f>-Recovery!G44*((B97/(B97+C97)))</f>
        <v>-56585.37717675598</v>
      </c>
      <c r="E97" s="92">
        <f>-Recovery!G44*((C97/(B97+C97)))</f>
        <v>-11139.362823244011</v>
      </c>
      <c r="F97" s="118">
        <f>Writeoff!C110</f>
        <v>242444.13</v>
      </c>
      <c r="G97" s="92">
        <f>Writeoff!K110</f>
        <v>29994.49</v>
      </c>
      <c r="H97" s="92">
        <f>-Recovery!H44*((F97/(F97+G97)))</f>
        <v>-18914.324241054735</v>
      </c>
      <c r="I97" s="91">
        <f>-Recovery!H44*((G97/(F97+G97)))</f>
        <v>-2340.0257589452626</v>
      </c>
    </row>
    <row r="98" spans="1:9" ht="12">
      <c r="A98" s="101">
        <v>38777</v>
      </c>
      <c r="B98" s="92">
        <f>Writeoff!B111</f>
        <v>514187.06000000006</v>
      </c>
      <c r="C98" s="92">
        <f>Writeoff!J111</f>
        <v>86333.40000000001</v>
      </c>
      <c r="D98" s="92">
        <f>-Recovery!G45*((B98/(B98+C98)))</f>
        <v>-75128.9635417904</v>
      </c>
      <c r="E98" s="92">
        <f>-Recovery!G45*((C98/(B98+C98)))</f>
        <v>-12614.3564582096</v>
      </c>
      <c r="F98" s="118">
        <f>Writeoff!C111</f>
        <v>241306.71</v>
      </c>
      <c r="G98" s="92">
        <f>Writeoff!K111</f>
        <v>28453.129999999997</v>
      </c>
      <c r="H98" s="92">
        <f>-Recovery!H45*((F98/(F98+G98)))</f>
        <v>-23937.280231152647</v>
      </c>
      <c r="I98" s="91">
        <f>-Recovery!H45*((G98/(F98+G98)))</f>
        <v>-2822.509768847357</v>
      </c>
    </row>
    <row r="99" spans="1:9" ht="12">
      <c r="A99" s="101">
        <v>38808</v>
      </c>
      <c r="B99" s="92">
        <f>Writeoff!B112</f>
        <v>510854.19999999995</v>
      </c>
      <c r="C99" s="92">
        <f>Writeoff!J112</f>
        <v>86643.13</v>
      </c>
      <c r="D99" s="92">
        <f>-Recovery!G46*((B99/(B99+C99)))</f>
        <v>-61140.936895035156</v>
      </c>
      <c r="E99" s="92">
        <f>-Recovery!G46*((C99/(B99+C99)))</f>
        <v>-10369.773104964837</v>
      </c>
      <c r="F99" s="118">
        <f>Writeoff!C112</f>
        <v>231779.81</v>
      </c>
      <c r="G99" s="92">
        <f>Writeoff!K112</f>
        <v>25842.14</v>
      </c>
      <c r="H99" s="92">
        <f>-Recovery!H46*((F99/(F99+G99)))</f>
        <v>-19699.8211795012</v>
      </c>
      <c r="I99" s="91">
        <f>-Recovery!H46*((G99/(F99+G99)))</f>
        <v>-2196.4188204987963</v>
      </c>
    </row>
    <row r="100" spans="1:9" ht="12">
      <c r="A100" s="101">
        <v>38838</v>
      </c>
      <c r="B100" s="92">
        <f>Writeoff!B113</f>
        <v>530798.11</v>
      </c>
      <c r="C100" s="92">
        <f>Writeoff!J113</f>
        <v>85449.45999999999</v>
      </c>
      <c r="D100" s="92">
        <f>-Recovery!G47*((B100/(B100+C100)))</f>
        <v>-62480.907497582026</v>
      </c>
      <c r="E100" s="92">
        <f>-Recovery!G47*((C100/(B100+C100)))</f>
        <v>-10058.362502417982</v>
      </c>
      <c r="F100" s="118">
        <f>Writeoff!C113</f>
        <v>254643.94</v>
      </c>
      <c r="G100" s="92">
        <f>Writeoff!K113</f>
        <v>27910.15</v>
      </c>
      <c r="H100" s="92">
        <f>-Recovery!H47*((F100/(F100+G100)))</f>
        <v>-20815.40556878083</v>
      </c>
      <c r="I100" s="91">
        <f>-Recovery!H47*((G100/(F100+G100)))</f>
        <v>-2281.4644312191695</v>
      </c>
    </row>
    <row r="101" spans="1:9" ht="12">
      <c r="A101" s="101">
        <v>38869</v>
      </c>
      <c r="B101" s="92">
        <f>Writeoff!B114</f>
        <v>611223.5700000001</v>
      </c>
      <c r="C101" s="92">
        <f>Writeoff!J114</f>
        <v>87701.81</v>
      </c>
      <c r="D101" s="92">
        <f>-Recovery!G48*((B101/(B101+C101)))</f>
        <v>-60525.57819371805</v>
      </c>
      <c r="E101" s="92">
        <f>-Recovery!G48*((C101/(B101+C101)))</f>
        <v>-8684.55180628195</v>
      </c>
      <c r="F101" s="118">
        <f>Writeoff!C114</f>
        <v>276429.48</v>
      </c>
      <c r="G101" s="92">
        <f>Writeoff!K114</f>
        <v>26258.59</v>
      </c>
      <c r="H101" s="92">
        <f>-Recovery!H48*((F101/(F101+G101)))</f>
        <v>-20878.49951129293</v>
      </c>
      <c r="I101" s="91">
        <f>-Recovery!H48*((G101/(F101+G101)))</f>
        <v>-1983.2904887070706</v>
      </c>
    </row>
    <row r="102" spans="1:9" ht="12">
      <c r="A102" s="101"/>
      <c r="B102" s="92"/>
      <c r="C102" s="92"/>
      <c r="D102" s="92"/>
      <c r="E102" s="92"/>
      <c r="F102" s="118"/>
      <c r="G102" s="92"/>
      <c r="H102" s="92"/>
      <c r="I102" s="91"/>
    </row>
    <row r="103" spans="1:9" ht="12">
      <c r="A103" s="93"/>
      <c r="B103" s="2"/>
      <c r="C103" s="2"/>
      <c r="D103" s="2"/>
      <c r="E103" s="2"/>
      <c r="F103" s="93"/>
      <c r="G103" s="2"/>
      <c r="H103" s="2"/>
      <c r="I103" s="94"/>
    </row>
    <row r="105" spans="1:6" ht="12">
      <c r="A105" s="2" t="s">
        <v>28</v>
      </c>
      <c r="B105" s="103" t="s">
        <v>29</v>
      </c>
      <c r="C105" s="103"/>
      <c r="D105" s="103"/>
      <c r="E105" s="103"/>
      <c r="F105" s="103"/>
    </row>
    <row r="106" spans="2:6" ht="12">
      <c r="B106" s="103" t="s">
        <v>36</v>
      </c>
      <c r="C106" s="103"/>
      <c r="D106" s="103"/>
      <c r="E106" s="103"/>
      <c r="F106" s="103"/>
    </row>
  </sheetData>
  <mergeCells count="12">
    <mergeCell ref="H2:I2"/>
    <mergeCell ref="F1:I1"/>
    <mergeCell ref="A54:E54"/>
    <mergeCell ref="F54:I54"/>
    <mergeCell ref="B2:C2"/>
    <mergeCell ref="D2:E2"/>
    <mergeCell ref="A1:E1"/>
    <mergeCell ref="F2:G2"/>
    <mergeCell ref="B55:C55"/>
    <mergeCell ref="D55:E55"/>
    <mergeCell ref="F55:G55"/>
    <mergeCell ref="H55:I55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&amp;L&amp;"Arial,Italic"&amp;7G:\Accounting\ga\AR Reserve\AR Reserve FY03\Gas AR Reserve FY03\&amp;F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123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2" max="2" width="13.8515625" style="0" customWidth="1"/>
    <col min="3" max="3" width="1.421875" style="0" customWidth="1"/>
    <col min="4" max="4" width="14.7109375" style="0" customWidth="1"/>
    <col min="5" max="5" width="5.8515625" style="0" customWidth="1"/>
    <col min="6" max="6" width="14.8515625" style="0" customWidth="1"/>
    <col min="7" max="7" width="1.28515625" style="0" customWidth="1"/>
    <col min="8" max="8" width="14.00390625" style="0" customWidth="1"/>
    <col min="10" max="10" width="14.28125" style="0" bestFit="1" customWidth="1"/>
    <col min="11" max="11" width="2.140625" style="0" customWidth="1"/>
    <col min="12" max="12" width="14.28125" style="0" bestFit="1" customWidth="1"/>
    <col min="13" max="13" width="4.140625" style="0" customWidth="1"/>
    <col min="14" max="14" width="13.140625" style="0" bestFit="1" customWidth="1"/>
    <col min="15" max="15" width="1.57421875" style="0" customWidth="1"/>
    <col min="16" max="16" width="13.140625" style="0" bestFit="1" customWidth="1"/>
  </cols>
  <sheetData>
    <row r="1" spans="1:16" ht="12.75">
      <c r="A1" s="163" t="s">
        <v>35</v>
      </c>
      <c r="B1" s="149"/>
      <c r="C1" s="149"/>
      <c r="D1" s="149"/>
      <c r="E1" s="149"/>
      <c r="F1" s="149"/>
      <c r="G1" s="149"/>
      <c r="H1" s="150"/>
      <c r="I1" s="163" t="s">
        <v>34</v>
      </c>
      <c r="J1" s="149"/>
      <c r="K1" s="149"/>
      <c r="L1" s="149"/>
      <c r="M1" s="149"/>
      <c r="N1" s="149"/>
      <c r="O1" s="149"/>
      <c r="P1" s="150"/>
    </row>
    <row r="2" spans="1:16" ht="12.75">
      <c r="A2" s="6"/>
      <c r="B2" s="154" t="s">
        <v>10</v>
      </c>
      <c r="C2" s="154"/>
      <c r="D2" s="154"/>
      <c r="E2" s="34"/>
      <c r="F2" s="154" t="s">
        <v>11</v>
      </c>
      <c r="G2" s="154"/>
      <c r="H2" s="155"/>
      <c r="I2" s="6"/>
      <c r="J2" s="154" t="s">
        <v>10</v>
      </c>
      <c r="K2" s="154"/>
      <c r="L2" s="154"/>
      <c r="M2" s="34"/>
      <c r="N2" s="154" t="s">
        <v>11</v>
      </c>
      <c r="O2" s="154"/>
      <c r="P2" s="155"/>
    </row>
    <row r="3" spans="1:16" ht="12.75">
      <c r="A3" s="9"/>
      <c r="B3" s="10" t="s">
        <v>1</v>
      </c>
      <c r="C3" s="13"/>
      <c r="D3" s="10" t="s">
        <v>2</v>
      </c>
      <c r="E3" s="13"/>
      <c r="F3" s="10" t="s">
        <v>1</v>
      </c>
      <c r="G3" s="13"/>
      <c r="H3" s="65" t="s">
        <v>2</v>
      </c>
      <c r="I3" s="9"/>
      <c r="J3" s="10" t="s">
        <v>1</v>
      </c>
      <c r="K3" s="13"/>
      <c r="L3" s="10" t="s">
        <v>2</v>
      </c>
      <c r="M3" s="13"/>
      <c r="N3" s="10" t="s">
        <v>1</v>
      </c>
      <c r="O3" s="13"/>
      <c r="P3" s="65" t="s">
        <v>2</v>
      </c>
    </row>
    <row r="4" spans="1:16" ht="12.75">
      <c r="A4" s="9"/>
      <c r="B4" s="13"/>
      <c r="C4" s="13"/>
      <c r="D4" s="13"/>
      <c r="E4" s="13"/>
      <c r="F4" s="13"/>
      <c r="G4" s="13"/>
      <c r="H4" s="11"/>
      <c r="P4" s="11"/>
    </row>
    <row r="5" spans="1:16" s="12" customFormat="1" ht="12.75">
      <c r="A5" s="49">
        <v>36831</v>
      </c>
      <c r="B5" s="81">
        <v>12019394</v>
      </c>
      <c r="C5" s="81"/>
      <c r="D5" s="81">
        <v>8332659</v>
      </c>
      <c r="E5" s="32"/>
      <c r="F5" s="31">
        <v>4305762</v>
      </c>
      <c r="G5" s="31"/>
      <c r="H5" s="82">
        <v>3179445</v>
      </c>
      <c r="I5" s="49">
        <v>37196</v>
      </c>
      <c r="J5" s="81">
        <f>9658085.91+1470428</f>
        <v>11128513.91</v>
      </c>
      <c r="K5" s="81"/>
      <c r="L5" s="81">
        <f>6717519.31+644365</f>
        <v>7361884.31</v>
      </c>
      <c r="M5" s="32"/>
      <c r="N5" s="81">
        <f>2465608.45+577833</f>
        <v>3043441.45</v>
      </c>
      <c r="O5" s="32"/>
      <c r="P5" s="83">
        <f>1852273.76+164493</f>
        <v>2016766.76</v>
      </c>
    </row>
    <row r="6" spans="1:16" s="12" customFormat="1" ht="12.75">
      <c r="A6" s="49">
        <v>36861</v>
      </c>
      <c r="B6" s="81">
        <v>10714298</v>
      </c>
      <c r="C6" s="81"/>
      <c r="D6" s="81">
        <v>8486417</v>
      </c>
      <c r="E6" s="32"/>
      <c r="F6" s="81">
        <v>3478574</v>
      </c>
      <c r="G6" s="81"/>
      <c r="H6" s="83">
        <v>3051727</v>
      </c>
      <c r="I6" s="49">
        <v>37226</v>
      </c>
      <c r="J6" s="81">
        <f>14266818.75+12104.55</f>
        <v>14278923.3</v>
      </c>
      <c r="K6" s="81"/>
      <c r="L6" s="81">
        <f>9911137.36+1651.91</f>
        <v>9912789.27</v>
      </c>
      <c r="M6" s="32"/>
      <c r="N6" s="81">
        <f>4322857.38+3211.11</f>
        <v>4326068.49</v>
      </c>
      <c r="O6" s="32"/>
      <c r="P6" s="83">
        <f>3352821.96+2227.38</f>
        <v>3355049.34</v>
      </c>
    </row>
    <row r="7" spans="1:16" s="12" customFormat="1" ht="12.75">
      <c r="A7" s="49">
        <v>36892</v>
      </c>
      <c r="B7" s="81">
        <v>13005328</v>
      </c>
      <c r="C7" s="81"/>
      <c r="D7" s="81">
        <v>9969839</v>
      </c>
      <c r="E7" s="32"/>
      <c r="F7" s="81">
        <v>4159682</v>
      </c>
      <c r="G7" s="81"/>
      <c r="H7" s="83">
        <v>3412675</v>
      </c>
      <c r="I7" s="49">
        <v>37257</v>
      </c>
      <c r="J7" s="81">
        <f>15085408.52+269445</f>
        <v>15354853.52</v>
      </c>
      <c r="K7" s="81"/>
      <c r="L7" s="81">
        <f>10959762.11+333563</f>
        <v>11293325.11</v>
      </c>
      <c r="M7" s="32"/>
      <c r="N7" s="81">
        <f>4424619.24+174757</f>
        <v>4599376.24</v>
      </c>
      <c r="O7" s="32"/>
      <c r="P7" s="83">
        <f>3425385.89+157692</f>
        <v>3583077.89</v>
      </c>
    </row>
    <row r="8" spans="1:16" s="12" customFormat="1" ht="12.75">
      <c r="A8" s="49">
        <v>36923</v>
      </c>
      <c r="B8" s="81">
        <v>12861330</v>
      </c>
      <c r="C8" s="81">
        <v>9930632</v>
      </c>
      <c r="D8" s="81">
        <v>9930632</v>
      </c>
      <c r="E8" s="32"/>
      <c r="F8" s="81">
        <v>3424444</v>
      </c>
      <c r="G8" s="81"/>
      <c r="H8" s="83">
        <v>2796190</v>
      </c>
      <c r="I8" s="49">
        <v>37288</v>
      </c>
      <c r="J8" s="88">
        <f>15295608.2-2482264</f>
        <v>12813344.2</v>
      </c>
      <c r="K8" s="88"/>
      <c r="L8" s="88">
        <f>11128649-1701030</f>
        <v>9427619</v>
      </c>
      <c r="M8" s="98"/>
      <c r="N8" s="88">
        <f>4157427.2-960741</f>
        <v>3196686.2</v>
      </c>
      <c r="O8" s="88"/>
      <c r="P8" s="89">
        <f>3234459.14-629676</f>
        <v>2604783.14</v>
      </c>
    </row>
    <row r="9" spans="1:16" s="12" customFormat="1" ht="12.75">
      <c r="A9" s="49">
        <v>36951</v>
      </c>
      <c r="B9" s="81">
        <v>10408119</v>
      </c>
      <c r="C9" s="81"/>
      <c r="D9" s="81">
        <v>8085272</v>
      </c>
      <c r="E9" s="32"/>
      <c r="F9" s="81">
        <v>2727467</v>
      </c>
      <c r="G9" s="81"/>
      <c r="H9" s="83">
        <v>2090799</v>
      </c>
      <c r="I9" s="49">
        <v>37316</v>
      </c>
      <c r="J9" s="81">
        <f>13607672.96+834014</f>
        <v>14441686.96</v>
      </c>
      <c r="K9" s="81"/>
      <c r="L9" s="81">
        <f>9790284.63+464688</f>
        <v>10254972.63</v>
      </c>
      <c r="M9" s="87"/>
      <c r="N9" s="81">
        <f>3538625.47+181793</f>
        <v>3720418.47</v>
      </c>
      <c r="O9" s="81"/>
      <c r="P9" s="83">
        <f>2671804.51+78174</f>
        <v>2749978.51</v>
      </c>
    </row>
    <row r="10" spans="1:16" s="12" customFormat="1" ht="12.75">
      <c r="A10" s="49">
        <v>36982</v>
      </c>
      <c r="B10" s="81">
        <v>8385956</v>
      </c>
      <c r="C10" s="81"/>
      <c r="D10" s="81">
        <v>6151001</v>
      </c>
      <c r="E10" s="32"/>
      <c r="F10" s="81">
        <v>2177823</v>
      </c>
      <c r="G10" s="81"/>
      <c r="H10" s="83">
        <v>1593127</v>
      </c>
      <c r="I10" s="49">
        <v>37347</v>
      </c>
      <c r="J10" s="81">
        <f>10429759.02-2347808</f>
        <v>8081951.02</v>
      </c>
      <c r="K10" s="81"/>
      <c r="L10" s="81">
        <f>7494574.98-1560251</f>
        <v>5934323.98</v>
      </c>
      <c r="M10" s="87"/>
      <c r="N10" s="81">
        <f>2472036.16-792895</f>
        <v>1679141.1600000001</v>
      </c>
      <c r="O10" s="81"/>
      <c r="P10" s="83">
        <f>1893091.84-491623</f>
        <v>1401468.84</v>
      </c>
    </row>
    <row r="11" spans="1:16" s="12" customFormat="1" ht="12.75">
      <c r="A11" s="49">
        <v>37012</v>
      </c>
      <c r="B11" s="81">
        <v>4872889</v>
      </c>
      <c r="C11" s="81"/>
      <c r="D11" s="81">
        <v>3768361</v>
      </c>
      <c r="E11" s="32"/>
      <c r="F11" s="81">
        <v>1082386</v>
      </c>
      <c r="G11" s="81"/>
      <c r="H11" s="83">
        <v>937822</v>
      </c>
      <c r="I11" s="49">
        <v>37377</v>
      </c>
      <c r="J11" s="81">
        <f>7179028.22-1009417</f>
        <v>6169611.22</v>
      </c>
      <c r="K11" s="81"/>
      <c r="L11" s="81">
        <f>5184341.25-708813</f>
        <v>4475528.25</v>
      </c>
      <c r="M11" s="87"/>
      <c r="N11" s="81">
        <f>1773349.35-236511</f>
        <v>1536838.35</v>
      </c>
      <c r="O11" s="81"/>
      <c r="P11" s="83">
        <f>1399771.12-154426</f>
        <v>1245345.12</v>
      </c>
    </row>
    <row r="12" spans="1:16" s="12" customFormat="1" ht="12.75">
      <c r="A12" s="49">
        <v>37043</v>
      </c>
      <c r="B12" s="81">
        <v>3438077</v>
      </c>
      <c r="C12" s="81"/>
      <c r="D12" s="81">
        <v>3233504</v>
      </c>
      <c r="E12" s="32"/>
      <c r="F12" s="81">
        <v>690569</v>
      </c>
      <c r="G12" s="81"/>
      <c r="H12" s="83">
        <v>667733</v>
      </c>
      <c r="I12" s="49">
        <v>37408</v>
      </c>
      <c r="J12" s="81">
        <f>4250130.41-1492707</f>
        <v>2757423.41</v>
      </c>
      <c r="K12" s="81"/>
      <c r="L12" s="81">
        <f>3705711.96-854819</f>
        <v>2850892.96</v>
      </c>
      <c r="M12" s="81"/>
      <c r="N12" s="81">
        <f>1095796.08-401574</f>
        <v>694222.0800000001</v>
      </c>
      <c r="O12" s="81"/>
      <c r="P12" s="83">
        <f>883061.93-270713</f>
        <v>612348.93</v>
      </c>
    </row>
    <row r="13" spans="1:16" s="12" customFormat="1" ht="12.75">
      <c r="A13" s="49">
        <v>37073</v>
      </c>
      <c r="B13" s="81">
        <v>2579308</v>
      </c>
      <c r="C13" s="81"/>
      <c r="D13" s="81">
        <v>2593763</v>
      </c>
      <c r="E13" s="32"/>
      <c r="F13" s="81">
        <v>590421</v>
      </c>
      <c r="G13" s="81"/>
      <c r="H13" s="83">
        <v>586516</v>
      </c>
      <c r="I13" s="49">
        <v>37438</v>
      </c>
      <c r="J13" s="81">
        <f>2954886.51+21254</f>
        <v>2976140.51</v>
      </c>
      <c r="K13" s="81"/>
      <c r="L13" s="81">
        <f>2703585.04+120369</f>
        <v>2823954.04</v>
      </c>
      <c r="M13" s="81"/>
      <c r="N13" s="81">
        <f>696492.33-25609</f>
        <v>670883.33</v>
      </c>
      <c r="O13" s="81"/>
      <c r="P13" s="83">
        <f>691754.91+43495</f>
        <v>735249.91</v>
      </c>
    </row>
    <row r="14" spans="1:16" s="12" customFormat="1" ht="12.75">
      <c r="A14" s="49">
        <v>37104</v>
      </c>
      <c r="B14" s="81">
        <v>3020421</v>
      </c>
      <c r="C14" s="81"/>
      <c r="D14" s="81">
        <v>2892133</v>
      </c>
      <c r="E14" s="32"/>
      <c r="F14" s="81">
        <v>688896</v>
      </c>
      <c r="G14" s="81"/>
      <c r="H14" s="83">
        <v>720156</v>
      </c>
      <c r="I14" s="49">
        <v>37469</v>
      </c>
      <c r="J14" s="81">
        <f>2674375.55+21427</f>
        <v>2695802.55</v>
      </c>
      <c r="K14" s="81"/>
      <c r="L14" s="81">
        <f>2598916.38+122527</f>
        <v>2721443.38</v>
      </c>
      <c r="M14" s="81"/>
      <c r="N14" s="81">
        <f>660784.43+27860</f>
        <v>688644.43</v>
      </c>
      <c r="O14" s="81"/>
      <c r="P14" s="83">
        <f>612920.35+2771</f>
        <v>615691.35</v>
      </c>
    </row>
    <row r="15" spans="1:16" s="12" customFormat="1" ht="12.75">
      <c r="A15" s="49">
        <v>37135</v>
      </c>
      <c r="B15" s="81">
        <v>2854485</v>
      </c>
      <c r="C15" s="81"/>
      <c r="D15" s="81">
        <v>2599465</v>
      </c>
      <c r="E15" s="32"/>
      <c r="F15" s="81">
        <v>627060</v>
      </c>
      <c r="G15" s="81"/>
      <c r="H15" s="83">
        <v>712623</v>
      </c>
      <c r="I15" s="49">
        <v>37500</v>
      </c>
      <c r="J15" s="81">
        <f>2951558.33+487101</f>
        <v>3438659.33</v>
      </c>
      <c r="K15" s="81"/>
      <c r="L15" s="81">
        <f>2786808.91+472447</f>
        <v>3259255.91</v>
      </c>
      <c r="M15" s="81"/>
      <c r="N15" s="81">
        <f>797126.68+190891</f>
        <v>988017.68</v>
      </c>
      <c r="O15" s="81"/>
      <c r="P15" s="83">
        <f>698224.87+137288</f>
        <v>835512.87</v>
      </c>
    </row>
    <row r="16" spans="1:16" s="12" customFormat="1" ht="12.75">
      <c r="A16" s="49">
        <v>37165</v>
      </c>
      <c r="B16" s="81">
        <v>8784416</v>
      </c>
      <c r="C16" s="81">
        <v>0</v>
      </c>
      <c r="D16" s="81">
        <v>6343042</v>
      </c>
      <c r="E16" s="32"/>
      <c r="F16" s="81">
        <v>2180118</v>
      </c>
      <c r="G16" s="81">
        <v>0</v>
      </c>
      <c r="H16" s="83">
        <v>1748308</v>
      </c>
      <c r="I16" s="49">
        <v>37530</v>
      </c>
      <c r="J16" s="81">
        <f>4745646.88+2405578</f>
        <v>7151224.88</v>
      </c>
      <c r="K16" s="81"/>
      <c r="L16" s="81">
        <f>3725541.02+1607855</f>
        <v>5333396.02</v>
      </c>
      <c r="M16" s="81"/>
      <c r="N16" s="81">
        <f>1413880.55+904458</f>
        <v>2318338.55</v>
      </c>
      <c r="O16" s="81"/>
      <c r="P16" s="83">
        <f>1130243.4+520601</f>
        <v>1650844.4</v>
      </c>
    </row>
    <row r="17" spans="1:16" s="12" customFormat="1" ht="12.75">
      <c r="A17" s="49">
        <v>37196</v>
      </c>
      <c r="B17" s="81">
        <f>9658085.91+1470428</f>
        <v>11128513.91</v>
      </c>
      <c r="C17" s="81"/>
      <c r="D17" s="81">
        <f>6717519.31+644365</f>
        <v>7361884.31</v>
      </c>
      <c r="E17" s="32"/>
      <c r="F17" s="81">
        <f>2465608.45+577833</f>
        <v>3043441.45</v>
      </c>
      <c r="G17" s="32"/>
      <c r="H17" s="83">
        <f>1852273.76+164493</f>
        <v>2016766.76</v>
      </c>
      <c r="I17" s="49">
        <v>37561</v>
      </c>
      <c r="J17" s="88">
        <f>9932127.35+2240674</f>
        <v>12172801.35</v>
      </c>
      <c r="K17" s="88"/>
      <c r="L17" s="88">
        <f>7198697.27+1353913</f>
        <v>8552610.27</v>
      </c>
      <c r="M17" s="88"/>
      <c r="N17" s="88">
        <f>2986419.2+687322</f>
        <v>3673741.2</v>
      </c>
      <c r="O17" s="88"/>
      <c r="P17" s="89">
        <f>2060753.54+304000</f>
        <v>2364753.54</v>
      </c>
    </row>
    <row r="18" spans="1:16" s="12" customFormat="1" ht="12.75">
      <c r="A18" s="49">
        <v>37226</v>
      </c>
      <c r="B18" s="81">
        <f>14266818.75+12104.55</f>
        <v>14278923.3</v>
      </c>
      <c r="C18" s="81"/>
      <c r="D18" s="81">
        <f>9911137.36+1651.91</f>
        <v>9912789.27</v>
      </c>
      <c r="E18" s="32"/>
      <c r="F18" s="81">
        <f>4322857.38+3211.11</f>
        <v>4326068.49</v>
      </c>
      <c r="G18" s="32"/>
      <c r="H18" s="83">
        <f>3352821.96+2227.38</f>
        <v>3355049.34</v>
      </c>
      <c r="I18" s="49">
        <v>37591</v>
      </c>
      <c r="J18" s="81">
        <f>12424311.65+1112213</f>
        <v>13536524.65</v>
      </c>
      <c r="K18" s="81"/>
      <c r="L18" s="81">
        <f>8838960+609571</f>
        <v>9448531</v>
      </c>
      <c r="M18" s="81"/>
      <c r="N18" s="81">
        <f>3770756.11+339838</f>
        <v>4110594.11</v>
      </c>
      <c r="O18" s="81"/>
      <c r="P18" s="83">
        <f>2675747.91+243982</f>
        <v>2919729.91</v>
      </c>
    </row>
    <row r="19" spans="1:16" s="12" customFormat="1" ht="12.75">
      <c r="A19" s="49">
        <v>37257</v>
      </c>
      <c r="B19" s="81">
        <f>15085408.52+269445</f>
        <v>15354853.52</v>
      </c>
      <c r="C19" s="81"/>
      <c r="D19" s="81">
        <f>10959762.11+333563</f>
        <v>11293325.11</v>
      </c>
      <c r="E19" s="32"/>
      <c r="F19" s="81">
        <f>4424619.24+174757</f>
        <v>4599376.24</v>
      </c>
      <c r="G19" s="32"/>
      <c r="H19" s="83">
        <f>3425385.89+157692</f>
        <v>3583077.89</v>
      </c>
      <c r="I19" s="49">
        <v>37622</v>
      </c>
      <c r="J19" s="132">
        <f>14666615.54-7372015+2662047</f>
        <v>9956647.54</v>
      </c>
      <c r="L19" s="132">
        <f>10352967.69+4868609-5302549</f>
        <v>9919027.69</v>
      </c>
      <c r="N19" s="132">
        <f>4159670.08+2115097-2447540</f>
        <v>3827227.08</v>
      </c>
      <c r="P19" s="83">
        <f>2847462.65+1261740-1496820</f>
        <v>2612382.65</v>
      </c>
    </row>
    <row r="20" spans="1:16" s="12" customFormat="1" ht="12.75">
      <c r="A20" s="49">
        <v>37288</v>
      </c>
      <c r="B20" s="88">
        <f>15295608.2-2482264</f>
        <v>12813344.2</v>
      </c>
      <c r="C20" s="88"/>
      <c r="D20" s="88">
        <f>11128649-1701030</f>
        <v>9427619</v>
      </c>
      <c r="E20" s="98"/>
      <c r="F20" s="88">
        <f>4157427.2-960741</f>
        <v>3196686.2</v>
      </c>
      <c r="G20" s="88"/>
      <c r="H20" s="89">
        <f>3234459.14-629676</f>
        <v>2604783.14</v>
      </c>
      <c r="I20" s="49">
        <v>37653</v>
      </c>
      <c r="J20" s="132">
        <f>13086306.28+5678307-6862047</f>
        <v>11902566.280000001</v>
      </c>
      <c r="K20" s="133"/>
      <c r="L20" s="132">
        <f>9578858.71+4181051-4868609</f>
        <v>8891300.71</v>
      </c>
      <c r="M20" s="133"/>
      <c r="N20" s="132">
        <f>3685205.55+1737665-2115097</f>
        <v>3307773.55</v>
      </c>
      <c r="O20" s="132"/>
      <c r="P20" s="83">
        <f>2644731.07+1084801-1261740</f>
        <v>2467792.07</v>
      </c>
    </row>
    <row r="21" spans="1:16" s="12" customFormat="1" ht="12.75">
      <c r="A21" s="49">
        <v>37316</v>
      </c>
      <c r="B21" s="81">
        <f>13607672.96+834014</f>
        <v>14441686.96</v>
      </c>
      <c r="C21" s="81"/>
      <c r="D21" s="81">
        <f>9790284.63+464688</f>
        <v>10254972.63</v>
      </c>
      <c r="E21" s="87"/>
      <c r="F21" s="81">
        <f>3538625.47+181793</f>
        <v>3720418.47</v>
      </c>
      <c r="G21" s="81"/>
      <c r="H21" s="83">
        <f>2671804.51+78174</f>
        <v>2749978.51</v>
      </c>
      <c r="I21" s="49">
        <v>37681</v>
      </c>
      <c r="J21" s="132">
        <f>11691990.34+4128835-5678307</f>
        <v>10142518.34</v>
      </c>
      <c r="K21" s="132"/>
      <c r="L21" s="132">
        <f>8370186.34+2991196-4181051</f>
        <v>7180331.34</v>
      </c>
      <c r="M21" s="132"/>
      <c r="N21" s="132">
        <f>3238695.58+1239617-1737665</f>
        <v>2740647.58</v>
      </c>
      <c r="O21" s="134"/>
      <c r="P21" s="83">
        <f>2224445.51+771256-1084801</f>
        <v>1910900.5099999998</v>
      </c>
    </row>
    <row r="22" spans="1:16" s="12" customFormat="1" ht="12.75">
      <c r="A22" s="49">
        <v>37347</v>
      </c>
      <c r="B22" s="81">
        <f>10429759.02-2347808</f>
        <v>8081951.02</v>
      </c>
      <c r="C22" s="81"/>
      <c r="D22" s="81">
        <f>7494574.98-1560251</f>
        <v>5934323.98</v>
      </c>
      <c r="E22" s="87"/>
      <c r="F22" s="81">
        <f>2472036.16-792895</f>
        <v>1679141.1600000001</v>
      </c>
      <c r="G22" s="81"/>
      <c r="H22" s="83">
        <f>1893091.84-491623</f>
        <v>1401468.84</v>
      </c>
      <c r="I22" s="49">
        <v>37712</v>
      </c>
      <c r="J22" s="132">
        <f>9058709+3446375-4128835</f>
        <v>8376249</v>
      </c>
      <c r="K22" s="134"/>
      <c r="L22" s="132">
        <f>6845308+2389845-2991196</f>
        <v>6243957</v>
      </c>
      <c r="M22" s="132"/>
      <c r="N22" s="132">
        <f>2591230+1025502-1239617</f>
        <v>2377115</v>
      </c>
      <c r="O22" s="132"/>
      <c r="P22" s="83">
        <f>1985064+695391-771256</f>
        <v>1909199</v>
      </c>
    </row>
    <row r="23" spans="1:16" s="12" customFormat="1" ht="12.75">
      <c r="A23" s="49">
        <v>37377</v>
      </c>
      <c r="B23" s="81">
        <f>7179028.22-1009417</f>
        <v>6169611.22</v>
      </c>
      <c r="C23" s="81"/>
      <c r="D23" s="81">
        <f>5184341.25-708813</f>
        <v>4475528.25</v>
      </c>
      <c r="E23" s="87"/>
      <c r="F23" s="81">
        <f>1773349.35-236511</f>
        <v>1536838.35</v>
      </c>
      <c r="G23" s="81"/>
      <c r="H23" s="83">
        <f>1399771.12-154426</f>
        <v>1245345.12</v>
      </c>
      <c r="I23" s="49">
        <v>37742</v>
      </c>
      <c r="J23" s="132">
        <v>6455722.07</v>
      </c>
      <c r="K23" s="134"/>
      <c r="L23" s="132">
        <v>4714686.43</v>
      </c>
      <c r="M23" s="132"/>
      <c r="N23" s="132">
        <v>2041799.01</v>
      </c>
      <c r="O23" s="132"/>
      <c r="P23" s="83">
        <v>1348323.07</v>
      </c>
    </row>
    <row r="24" spans="1:16" s="12" customFormat="1" ht="12.75">
      <c r="A24" s="49">
        <v>37408</v>
      </c>
      <c r="B24" s="81">
        <f>4250130.41-1492707</f>
        <v>2757423.41</v>
      </c>
      <c r="C24" s="81"/>
      <c r="D24" s="81">
        <f>3705711.96-854819</f>
        <v>2850892.96</v>
      </c>
      <c r="E24" s="81"/>
      <c r="F24" s="81">
        <f>1095796.08-401574</f>
        <v>694222.0800000001</v>
      </c>
      <c r="G24" s="81"/>
      <c r="H24" s="83">
        <f>883061.93-270713</f>
        <v>612348.93</v>
      </c>
      <c r="I24" s="49">
        <v>37773</v>
      </c>
      <c r="J24" s="132">
        <f>3937111.14+1152868-2043330</f>
        <v>3046649.1400000006</v>
      </c>
      <c r="K24" s="134"/>
      <c r="L24" s="132">
        <f>3320381.2+1057552-1545641</f>
        <v>2832292.2</v>
      </c>
      <c r="M24" s="132"/>
      <c r="N24" s="132">
        <f>1049154.4+341247-712604</f>
        <v>677797.3999999999</v>
      </c>
      <c r="O24" s="132"/>
      <c r="P24" s="83">
        <f>848206.51+265173-435575</f>
        <v>677804.51</v>
      </c>
    </row>
    <row r="25" spans="1:16" s="12" customFormat="1" ht="12.75">
      <c r="A25" s="49">
        <v>37438</v>
      </c>
      <c r="B25" s="81">
        <f>2954886.51+21254</f>
        <v>2976140.51</v>
      </c>
      <c r="C25" s="81"/>
      <c r="D25" s="81">
        <f>2703585.04+120369</f>
        <v>2823954.04</v>
      </c>
      <c r="E25" s="81"/>
      <c r="F25" s="81">
        <f>696492.33-25609</f>
        <v>670883.33</v>
      </c>
      <c r="G25" s="81"/>
      <c r="H25" s="83">
        <f>691754.91+43495</f>
        <v>735249.91</v>
      </c>
      <c r="I25" s="49">
        <v>37803</v>
      </c>
      <c r="J25" s="132">
        <f>2913783.05+1066074-1152868</f>
        <v>2826989.05</v>
      </c>
      <c r="K25" s="134"/>
      <c r="L25" s="132">
        <f>2678510.42+1116518-1057552</f>
        <v>2737476.42</v>
      </c>
      <c r="M25" s="132"/>
      <c r="N25" s="132">
        <f>737164.96+299251-341247</f>
        <v>695168.96</v>
      </c>
      <c r="O25" s="132"/>
      <c r="P25" s="83">
        <f>615256.37+246975-265173</f>
        <v>597058.37</v>
      </c>
    </row>
    <row r="26" spans="1:16" s="12" customFormat="1" ht="12.75">
      <c r="A26" s="49">
        <v>37469</v>
      </c>
      <c r="B26" s="81">
        <f>2674375.55+21427</f>
        <v>2695802.55</v>
      </c>
      <c r="C26" s="81"/>
      <c r="D26" s="81">
        <f>2598916.38+122527</f>
        <v>2721443.38</v>
      </c>
      <c r="E26" s="81"/>
      <c r="F26" s="81">
        <f>660784.43+27860</f>
        <v>688644.43</v>
      </c>
      <c r="G26" s="81"/>
      <c r="H26" s="83">
        <f>612920.35+2771</f>
        <v>615691.35</v>
      </c>
      <c r="I26" s="49">
        <v>37834</v>
      </c>
      <c r="J26" s="132">
        <f>2529804.96+1043891-1066074</f>
        <v>2507621.96</v>
      </c>
      <c r="K26" s="134"/>
      <c r="L26" s="132">
        <f>2463225.57+1146571-1116518</f>
        <v>2493278.57</v>
      </c>
      <c r="M26" s="132"/>
      <c r="N26" s="132">
        <f>640351.24+296346-299251</f>
        <v>637446.24</v>
      </c>
      <c r="O26" s="132"/>
      <c r="P26" s="83">
        <f>602091.2+324101-246975</f>
        <v>679217.2</v>
      </c>
    </row>
    <row r="27" spans="1:16" s="12" customFormat="1" ht="12.75">
      <c r="A27" s="49">
        <v>37500</v>
      </c>
      <c r="B27" s="81">
        <f>2951558.33+487101</f>
        <v>3438659.33</v>
      </c>
      <c r="C27" s="81"/>
      <c r="D27" s="81">
        <f>2786808.91+472447</f>
        <v>3259255.91</v>
      </c>
      <c r="E27" s="81"/>
      <c r="F27" s="81">
        <f>797126.68+190891</f>
        <v>988017.68</v>
      </c>
      <c r="G27" s="81"/>
      <c r="H27" s="83">
        <f>698224.87+137288</f>
        <v>835512.87</v>
      </c>
      <c r="I27" s="49">
        <v>37865</v>
      </c>
      <c r="J27" s="132">
        <v>2834156.96</v>
      </c>
      <c r="K27" s="134"/>
      <c r="L27" s="132">
        <v>2676415.7</v>
      </c>
      <c r="M27" s="132"/>
      <c r="N27" s="88">
        <v>757955.19</v>
      </c>
      <c r="O27" s="132"/>
      <c r="P27" s="83">
        <v>650563.76</v>
      </c>
    </row>
    <row r="28" spans="1:16" s="12" customFormat="1" ht="12.75">
      <c r="A28" s="49">
        <v>37530</v>
      </c>
      <c r="B28" s="81">
        <f>4745646.88+2405578</f>
        <v>7151224.88</v>
      </c>
      <c r="C28" s="81"/>
      <c r="D28" s="81">
        <f>3725541.02+1607855</f>
        <v>5333396.02</v>
      </c>
      <c r="E28" s="81"/>
      <c r="F28" s="81">
        <f>1413880.55+904458</f>
        <v>2318338.55</v>
      </c>
      <c r="G28" s="81"/>
      <c r="H28" s="83">
        <f>1130243.4+520601</f>
        <v>1650844.4</v>
      </c>
      <c r="I28" s="49">
        <v>37895</v>
      </c>
      <c r="J28" s="132">
        <f>4102553.6+3517312-1408190</f>
        <v>6211675.6</v>
      </c>
      <c r="K28" s="134"/>
      <c r="L28" s="132">
        <f>3252067.42+2893003-1469779</f>
        <v>4675291.42</v>
      </c>
      <c r="M28" s="132"/>
      <c r="N28" s="88">
        <f>1106592.98+1026518-423917</f>
        <v>1709193.98</v>
      </c>
      <c r="O28" s="132"/>
      <c r="P28" s="83">
        <f>830961.45+808165-411232</f>
        <v>1227894.45</v>
      </c>
    </row>
    <row r="29" spans="1:16" s="12" customFormat="1" ht="12.75">
      <c r="A29" s="49">
        <v>37561</v>
      </c>
      <c r="B29" s="88">
        <f>9932127.35+2240674</f>
        <v>12172801.35</v>
      </c>
      <c r="C29" s="88"/>
      <c r="D29" s="88">
        <f>7198697.27+1353913</f>
        <v>8552610.27</v>
      </c>
      <c r="E29" s="88"/>
      <c r="F29" s="88">
        <f>2986419.2+687322</f>
        <v>3673741.2</v>
      </c>
      <c r="G29" s="88"/>
      <c r="H29" s="89">
        <f>2060753.54+304000</f>
        <v>2364753.54</v>
      </c>
      <c r="I29" s="49">
        <v>37926</v>
      </c>
      <c r="J29" s="132">
        <f>9867356.54-3517312+8751225</f>
        <v>15101269.54</v>
      </c>
      <c r="K29" s="134"/>
      <c r="L29" s="132">
        <f>6680967.01-2893003+5658240</f>
        <v>9446204.01</v>
      </c>
      <c r="M29" s="132"/>
      <c r="N29" s="88">
        <f>2832716.72-1026518+2503755</f>
        <v>4309953.720000001</v>
      </c>
      <c r="O29" s="132"/>
      <c r="P29" s="83">
        <f>1936507.86-808165+1409715</f>
        <v>2538057.8600000003</v>
      </c>
    </row>
    <row r="30" spans="1:16" s="12" customFormat="1" ht="12.75">
      <c r="A30" s="49">
        <v>37591</v>
      </c>
      <c r="B30" s="81">
        <f>12424311.65+1112213</f>
        <v>13536524.65</v>
      </c>
      <c r="C30" s="81"/>
      <c r="D30" s="81">
        <f>8838960+609571</f>
        <v>9448531</v>
      </c>
      <c r="E30" s="81"/>
      <c r="F30" s="81">
        <f>3770756.11+339838</f>
        <v>4110594.11</v>
      </c>
      <c r="G30" s="81"/>
      <c r="H30" s="83">
        <f>2675747.91+243982</f>
        <v>2919729.91</v>
      </c>
      <c r="I30" s="49">
        <v>37956</v>
      </c>
      <c r="J30" s="132">
        <f>14678730.87+10057234-8751225</f>
        <v>15984739.869999997</v>
      </c>
      <c r="K30" s="134"/>
      <c r="L30" s="132">
        <f>10176935.51+6974192-5658240</f>
        <v>11492887.509999998</v>
      </c>
      <c r="M30" s="132"/>
      <c r="N30" s="88">
        <f>4151742.44+2982940-2503755</f>
        <v>4630927.4399999995</v>
      </c>
      <c r="O30" s="132"/>
      <c r="P30" s="83">
        <f>2782474.3+1665125-1409715</f>
        <v>3037884.3</v>
      </c>
    </row>
    <row r="31" spans="1:16" s="12" customFormat="1" ht="12.75">
      <c r="A31" s="49">
        <v>37622</v>
      </c>
      <c r="B31" s="132">
        <f>14666615.54-7372015+2662047</f>
        <v>9956647.54</v>
      </c>
      <c r="D31" s="132">
        <f>10352967.69+4868609-5302549</f>
        <v>9919027.69</v>
      </c>
      <c r="F31" s="132">
        <f>4159670.08+2115097-2447540</f>
        <v>3827227.08</v>
      </c>
      <c r="H31" s="83">
        <f>2847462.65+1261740-1496820</f>
        <v>2612382.65</v>
      </c>
      <c r="I31" s="49">
        <v>37987</v>
      </c>
      <c r="J31" s="132">
        <f>18560985.76+11165992-9457668</f>
        <v>20269309.76</v>
      </c>
      <c r="K31" s="134"/>
      <c r="L31" s="132">
        <f>13132416.28+7943408-6558423</f>
        <v>14517401.280000001</v>
      </c>
      <c r="M31" s="132"/>
      <c r="N31" s="88">
        <f>5305276.45+3317392-2939737</f>
        <v>5682931.449999999</v>
      </c>
      <c r="O31" s="132"/>
      <c r="P31" s="83">
        <f>3477513.36+1879673-1653165</f>
        <v>3704021.3599999994</v>
      </c>
    </row>
    <row r="32" spans="1:16" s="12" customFormat="1" ht="12.75">
      <c r="A32" s="49">
        <v>37653</v>
      </c>
      <c r="B32" s="132">
        <f>13086306.28+5678307-6862047</f>
        <v>11902566.280000001</v>
      </c>
      <c r="C32" s="133"/>
      <c r="D32" s="132">
        <f>9578858.71+4181051-4868609</f>
        <v>8891300.71</v>
      </c>
      <c r="E32" s="133"/>
      <c r="F32" s="132">
        <f>3685205.55+1737665-2115097</f>
        <v>3307773.55</v>
      </c>
      <c r="G32" s="132"/>
      <c r="H32" s="83">
        <f>2644731.07+1084801-1261740</f>
        <v>2467792.07</v>
      </c>
      <c r="I32" s="49">
        <v>38018</v>
      </c>
      <c r="J32" s="144">
        <f>15295465.26-11165992+6192381</f>
        <v>10321854.26</v>
      </c>
      <c r="K32" s="145"/>
      <c r="L32" s="144">
        <f>11550674.06-7943408+4710955</f>
        <v>8318221.0600000005</v>
      </c>
      <c r="M32" s="144"/>
      <c r="N32" s="88">
        <f>4619770.12-3317392+2008552</f>
        <v>3310930.12</v>
      </c>
      <c r="O32" s="144"/>
      <c r="P32" s="89">
        <f>3162675.77-1879673+1205222</f>
        <v>2488224.77</v>
      </c>
    </row>
    <row r="33" spans="1:16" s="12" customFormat="1" ht="12.75">
      <c r="A33" s="49">
        <v>37681</v>
      </c>
      <c r="B33" s="132">
        <f>11691990.34+4128835-5678307</f>
        <v>10142518.34</v>
      </c>
      <c r="C33" s="132"/>
      <c r="D33" s="132">
        <f>8370186.34+2991196-4181051</f>
        <v>7180331.34</v>
      </c>
      <c r="E33" s="132"/>
      <c r="F33" s="132">
        <f>3238695.58+1239617-1737665</f>
        <v>2740647.58</v>
      </c>
      <c r="G33" s="134"/>
      <c r="H33" s="83">
        <f>2224445.51+771256-1084801</f>
        <v>1910900.5099999998</v>
      </c>
      <c r="I33" s="49">
        <v>38047</v>
      </c>
      <c r="J33" s="144">
        <f>11921831.58-7346241+4366467</f>
        <v>8942057.58</v>
      </c>
      <c r="K33" s="145"/>
      <c r="L33" s="144">
        <f>8798836.15-5588773+3278901</f>
        <v>6488964.15</v>
      </c>
      <c r="M33" s="144"/>
      <c r="N33" s="88">
        <f>3495293.7-2382816+1379083</f>
        <v>2491560.7</v>
      </c>
      <c r="O33" s="144"/>
      <c r="P33" s="89">
        <f>2381963.23-1429797+864092</f>
        <v>1816258.23</v>
      </c>
    </row>
    <row r="34" spans="1:16" s="12" customFormat="1" ht="12.75">
      <c r="A34" s="49">
        <v>37712</v>
      </c>
      <c r="B34" s="132">
        <f>9058709+3446375-4128835</f>
        <v>8376249</v>
      </c>
      <c r="C34" s="134"/>
      <c r="D34" s="132">
        <f>6845308+2389845-2991196</f>
        <v>6243957</v>
      </c>
      <c r="E34" s="132"/>
      <c r="F34" s="132">
        <f>2591230+1025502-1239617</f>
        <v>2377115</v>
      </c>
      <c r="G34" s="132"/>
      <c r="H34" s="83">
        <f>1985064+695391-771256</f>
        <v>1909199</v>
      </c>
      <c r="I34" s="49">
        <v>38078</v>
      </c>
      <c r="J34" s="144">
        <f>8113348.34-4366467+2679788</f>
        <v>6426669.34</v>
      </c>
      <c r="K34" s="145"/>
      <c r="L34" s="144">
        <f>5968191.19-3278901+2031273</f>
        <v>4720563.19</v>
      </c>
      <c r="M34" s="144"/>
      <c r="N34" s="88">
        <f>2442359.81-1379083+873283</f>
        <v>1936559.81</v>
      </c>
      <c r="O34" s="144"/>
      <c r="P34" s="89">
        <f>1586402.71-864092+535278</f>
        <v>1257588.71</v>
      </c>
    </row>
    <row r="35" spans="1:16" s="12" customFormat="1" ht="12.75">
      <c r="A35" s="49">
        <v>37742</v>
      </c>
      <c r="B35" s="132">
        <v>6455722.07</v>
      </c>
      <c r="C35" s="134"/>
      <c r="D35" s="132">
        <v>4714686.43</v>
      </c>
      <c r="E35" s="132"/>
      <c r="F35" s="132">
        <v>2041799.01</v>
      </c>
      <c r="G35" s="132"/>
      <c r="H35" s="83">
        <v>1348323.07</v>
      </c>
      <c r="I35" s="49">
        <v>38108</v>
      </c>
      <c r="J35" s="144">
        <f>5201434.44+1847252-2679788</f>
        <v>4368898.44</v>
      </c>
      <c r="K35" s="145"/>
      <c r="L35" s="144">
        <f>3987877.35+1493445-2031273</f>
        <v>3450049.3499999996</v>
      </c>
      <c r="M35" s="144"/>
      <c r="N35" s="88">
        <f>1718616.95+668523-873283</f>
        <v>1513856.9500000002</v>
      </c>
      <c r="O35" s="144"/>
      <c r="P35" s="89">
        <f>1215775.43+455671-535278</f>
        <v>1136168.43</v>
      </c>
    </row>
    <row r="36" spans="1:16" s="12" customFormat="1" ht="12.75">
      <c r="A36" s="49">
        <v>37773</v>
      </c>
      <c r="B36" s="132">
        <f>3937111.14+1152868-2043330</f>
        <v>3046649.1400000006</v>
      </c>
      <c r="C36" s="134"/>
      <c r="D36" s="132">
        <f>3320381.2+1057552-1545641</f>
        <v>2832292.2</v>
      </c>
      <c r="E36" s="132"/>
      <c r="F36" s="132">
        <f>1049154.4+341247-712604</f>
        <v>677797.3999999999</v>
      </c>
      <c r="G36" s="132"/>
      <c r="H36" s="83">
        <f>848206.51+265173-435575</f>
        <v>677804.51</v>
      </c>
      <c r="I36" s="49">
        <v>38139</v>
      </c>
      <c r="J36" s="144">
        <f>4008269.23-1847252+1418880</f>
        <v>3579897.23</v>
      </c>
      <c r="K36" s="145"/>
      <c r="L36" s="144">
        <f>3364319.62-1493445+1300423</f>
        <v>3171297.62</v>
      </c>
      <c r="M36" s="144"/>
      <c r="N36" s="88">
        <f>1268664.96-668523+500375</f>
        <v>1100516.96</v>
      </c>
      <c r="O36" s="144"/>
      <c r="P36" s="89">
        <f>897195.18-455671+363023</f>
        <v>804547.18</v>
      </c>
    </row>
    <row r="37" spans="1:16" s="12" customFormat="1" ht="12.75">
      <c r="A37" s="49">
        <v>37803</v>
      </c>
      <c r="B37" s="132">
        <f>2913783.05+1066074-1152868</f>
        <v>2826989.05</v>
      </c>
      <c r="C37" s="134"/>
      <c r="D37" s="132">
        <f>2678510.42+1116518-1057552</f>
        <v>2737476.42</v>
      </c>
      <c r="E37" s="132"/>
      <c r="F37" s="132">
        <f>737164.96+299251-341247</f>
        <v>695168.96</v>
      </c>
      <c r="G37" s="132"/>
      <c r="H37" s="83">
        <f>615256.37+246975-265173</f>
        <v>597058.37</v>
      </c>
      <c r="I37" s="49">
        <v>38169</v>
      </c>
      <c r="J37" s="144">
        <f>1118715-1418880+2954562.68</f>
        <v>2654397.68</v>
      </c>
      <c r="K37" s="145"/>
      <c r="L37" s="144">
        <f>1151914-1300423+2658396.66</f>
        <v>2509887.66</v>
      </c>
      <c r="M37" s="144"/>
      <c r="N37" s="88">
        <f>368840-500375+848565.27</f>
        <v>717030.27</v>
      </c>
      <c r="O37" s="144"/>
      <c r="P37" s="89">
        <f>328411-363023+689133.91</f>
        <v>654521.91</v>
      </c>
    </row>
    <row r="38" spans="1:16" s="12" customFormat="1" ht="12.75">
      <c r="A38" s="49">
        <v>37834</v>
      </c>
      <c r="B38" s="132">
        <f>2529804.96+1043891-1066074</f>
        <v>2507621.96</v>
      </c>
      <c r="C38" s="134"/>
      <c r="D38" s="132">
        <f>2463225.57+1146571-1116518</f>
        <v>2493278.57</v>
      </c>
      <c r="E38" s="132"/>
      <c r="F38" s="132">
        <f>640351.24+296346-299251</f>
        <v>637446.24</v>
      </c>
      <c r="G38" s="132"/>
      <c r="H38" s="83">
        <f>602091.2+324101-246975</f>
        <v>679217.2</v>
      </c>
      <c r="I38" s="49">
        <v>38200</v>
      </c>
      <c r="J38" s="144">
        <f>2630280.32+1107688-1118715</f>
        <v>2619253.32</v>
      </c>
      <c r="K38" s="145"/>
      <c r="L38" s="144">
        <f>2499370.7+1274497-1151914</f>
        <v>2621953.7</v>
      </c>
      <c r="M38" s="144"/>
      <c r="N38" s="88">
        <f>704418.71+338555-368840</f>
        <v>674133.71</v>
      </c>
      <c r="O38" s="144"/>
      <c r="P38" s="89">
        <f>632979.64+329619-328411</f>
        <v>634187.64</v>
      </c>
    </row>
    <row r="39" spans="1:16" s="12" customFormat="1" ht="12.75">
      <c r="A39" s="49">
        <v>37865</v>
      </c>
      <c r="B39" s="132">
        <v>2834156.96</v>
      </c>
      <c r="C39" s="134"/>
      <c r="D39" s="132">
        <v>2676415.7</v>
      </c>
      <c r="E39" s="132"/>
      <c r="F39" s="88">
        <v>757955.19</v>
      </c>
      <c r="G39" s="132"/>
      <c r="H39" s="83">
        <v>650563.76</v>
      </c>
      <c r="I39" s="49">
        <v>38231</v>
      </c>
      <c r="J39" s="144">
        <f>3129737.22+1785031-1107688</f>
        <v>3807080.2200000007</v>
      </c>
      <c r="K39" s="145"/>
      <c r="L39" s="144">
        <f>2805038.73+1888180-1274497</f>
        <v>3418721.7300000004</v>
      </c>
      <c r="M39" s="144"/>
      <c r="N39" s="144">
        <f>906756.57+591681-338555</f>
        <v>1159882.5699999998</v>
      </c>
      <c r="O39" s="144"/>
      <c r="P39" s="89">
        <f>721175.1+526827-329619</f>
        <v>918383.1000000001</v>
      </c>
    </row>
    <row r="40" spans="1:16" s="12" customFormat="1" ht="12.75">
      <c r="A40" s="49">
        <v>37895</v>
      </c>
      <c r="B40" s="132">
        <f>4102553.6+3517312-1408190</f>
        <v>6211675.6</v>
      </c>
      <c r="C40" s="134"/>
      <c r="D40" s="132">
        <f>3252067.42+2893003-1469779</f>
        <v>4675291.42</v>
      </c>
      <c r="E40" s="132"/>
      <c r="F40" s="88">
        <f>1106592.98+1026518-423917</f>
        <v>1709193.98</v>
      </c>
      <c r="G40" s="132"/>
      <c r="H40" s="83">
        <f>830961.45+808165-411232</f>
        <v>1227894.45</v>
      </c>
      <c r="I40" s="49">
        <v>38261</v>
      </c>
      <c r="J40" s="144">
        <f>4834438.97+3328711-1785031</f>
        <v>6378118.97</v>
      </c>
      <c r="K40" s="145"/>
      <c r="L40" s="144">
        <f>3705480.96+2695640-1888180</f>
        <v>4512940.96</v>
      </c>
      <c r="M40" s="144"/>
      <c r="N40" s="144">
        <f>1475423.1+1203291-591681</f>
        <v>2087033.1</v>
      </c>
      <c r="O40" s="144"/>
      <c r="P40" s="89">
        <f>1015687.41+896162-526827</f>
        <v>1385022.4100000001</v>
      </c>
    </row>
    <row r="41" spans="1:16" s="12" customFormat="1" ht="12.75">
      <c r="A41" s="49">
        <v>37926</v>
      </c>
      <c r="B41" s="132">
        <f>9867356.54-3517312+8751225</f>
        <v>15101269.54</v>
      </c>
      <c r="C41" s="134"/>
      <c r="D41" s="132">
        <f>6680967.01-2893003+5658240</f>
        <v>9446204.01</v>
      </c>
      <c r="E41" s="132"/>
      <c r="F41" s="88">
        <f>2832716.72-1026518+2503755</f>
        <v>4309953.720000001</v>
      </c>
      <c r="G41" s="132"/>
      <c r="H41" s="83">
        <f>1936507.86-808165+1409715</f>
        <v>2538057.8600000003</v>
      </c>
      <c r="I41" s="49">
        <v>38292</v>
      </c>
      <c r="J41" s="144">
        <f>9472310.06-3328711+7333453</f>
        <v>13477052.06</v>
      </c>
      <c r="K41" s="145"/>
      <c r="L41" s="144">
        <f>6281335.29-2695640+4861296</f>
        <v>8446991.29</v>
      </c>
      <c r="M41" s="144"/>
      <c r="N41" s="144">
        <f>2990190.9-1203291+2488271</f>
        <v>4275170.9</v>
      </c>
      <c r="O41" s="144"/>
      <c r="P41" s="89">
        <f>1775831.69-896162+1514648</f>
        <v>2394317.69</v>
      </c>
    </row>
    <row r="42" spans="1:16" s="12" customFormat="1" ht="12.75">
      <c r="A42" s="49">
        <v>37956</v>
      </c>
      <c r="B42" s="132">
        <f>14678730.87+10057234-8751225</f>
        <v>15984739.869999997</v>
      </c>
      <c r="C42" s="134"/>
      <c r="D42" s="132">
        <f>10176935.51+6974192-5658240</f>
        <v>11492887.509999998</v>
      </c>
      <c r="E42" s="132"/>
      <c r="F42" s="88">
        <f>4151742.44+2982940-2503755</f>
        <v>4630927.4399999995</v>
      </c>
      <c r="G42" s="132"/>
      <c r="H42" s="83">
        <f>2782474.3+1665125-1409715</f>
        <v>3037884.3</v>
      </c>
      <c r="I42" s="49">
        <v>38322</v>
      </c>
      <c r="J42" s="144">
        <f>14821108.1-7333453+9656766</f>
        <v>17144421.1</v>
      </c>
      <c r="K42" s="145"/>
      <c r="L42" s="144">
        <f>10326757.22-4861296+6811414</f>
        <v>12276875.22</v>
      </c>
      <c r="M42" s="144"/>
      <c r="N42" s="144">
        <f>4802656.02-2488271+3429649</f>
        <v>5744034.02</v>
      </c>
      <c r="O42" s="144"/>
      <c r="P42" s="89">
        <f>3012179.39-1514648+2190286</f>
        <v>3687817.39</v>
      </c>
    </row>
    <row r="43" spans="1:16" s="12" customFormat="1" ht="12.75">
      <c r="A43" s="49">
        <v>37987</v>
      </c>
      <c r="B43" s="132">
        <f>18560985.76+11165992-9457668</f>
        <v>20269309.76</v>
      </c>
      <c r="C43" s="134"/>
      <c r="D43" s="132">
        <f>13132416.28+7943408-6558423</f>
        <v>14517401.280000001</v>
      </c>
      <c r="E43" s="132"/>
      <c r="F43" s="88">
        <f>5305276.45+3317392-2939737</f>
        <v>5682931.449999999</v>
      </c>
      <c r="G43" s="132"/>
      <c r="H43" s="83">
        <f>3477513.36+1879673-1653165</f>
        <v>3704021.3599999994</v>
      </c>
      <c r="I43" s="49">
        <v>38353</v>
      </c>
      <c r="J43" s="144">
        <f>19236569.16-9656766+10325839</f>
        <v>19905642.16</v>
      </c>
      <c r="K43" s="145"/>
      <c r="L43" s="144">
        <f>13437799.11-6811414+7293187</f>
        <v>13919572.11</v>
      </c>
      <c r="M43" s="144"/>
      <c r="N43" s="144">
        <f>5607982.63-3429649+3239630</f>
        <v>5417963.63</v>
      </c>
      <c r="O43" s="144"/>
      <c r="P43" s="89">
        <f>3654483.34-2190286+2132694</f>
        <v>3596891.34</v>
      </c>
    </row>
    <row r="44" spans="1:16" s="12" customFormat="1" ht="12.75">
      <c r="A44" s="49">
        <v>38018</v>
      </c>
      <c r="B44" s="144">
        <f>15295465.26-11165992+6192381</f>
        <v>10321854.26</v>
      </c>
      <c r="C44" s="145"/>
      <c r="D44" s="144">
        <f>11550674.06-7943408+4710955</f>
        <v>8318221.0600000005</v>
      </c>
      <c r="E44" s="144"/>
      <c r="F44" s="88">
        <f>4619770.12-3317392+2008552</f>
        <v>3310930.12</v>
      </c>
      <c r="G44" s="144"/>
      <c r="H44" s="89">
        <f>3162675.77-1879673+1205222</f>
        <v>2488224.77</v>
      </c>
      <c r="I44" s="49">
        <v>38384</v>
      </c>
      <c r="J44" s="144">
        <f>14852740.24-10325839+6853751</f>
        <v>11380652.24</v>
      </c>
      <c r="K44" s="145"/>
      <c r="L44" s="144">
        <f>11163561.95-7293187+5259945</f>
        <v>9130319.95</v>
      </c>
      <c r="M44" s="144"/>
      <c r="N44" s="144">
        <f>4756770.5-3239630+2375435</f>
        <v>3892575.5</v>
      </c>
      <c r="O44" s="144"/>
      <c r="P44" s="89">
        <f>3198655.43-2132694+1648474</f>
        <v>2714435.43</v>
      </c>
    </row>
    <row r="45" spans="1:16" s="12" customFormat="1" ht="12.75">
      <c r="A45" s="49">
        <v>38047</v>
      </c>
      <c r="B45" s="144">
        <f>11921831.58-7346241+4366467</f>
        <v>8942057.58</v>
      </c>
      <c r="C45" s="145"/>
      <c r="D45" s="144">
        <f>8798836.15-5588773+3278901</f>
        <v>6488964.15</v>
      </c>
      <c r="E45" s="144"/>
      <c r="F45" s="88">
        <f>3495293.7-2382816+1379083</f>
        <v>2491560.7</v>
      </c>
      <c r="G45" s="144"/>
      <c r="H45" s="89">
        <f>2381963.23-1429797+864092</f>
        <v>1816258.23</v>
      </c>
      <c r="I45" s="49">
        <v>38412</v>
      </c>
      <c r="J45" s="144">
        <f>13006388.22-6853751+4456969</f>
        <v>10609606.22</v>
      </c>
      <c r="K45" s="145"/>
      <c r="L45" s="144">
        <f>9399605.37-5259945+3297896</f>
        <v>7437556.369999999</v>
      </c>
      <c r="M45" s="144"/>
      <c r="N45" s="144">
        <f>4113565.77-2375435+1529948</f>
        <v>3268078.77</v>
      </c>
      <c r="O45" s="144"/>
      <c r="P45" s="89">
        <f>2767057.43-1648474+1044585</f>
        <v>2163168.43</v>
      </c>
    </row>
    <row r="46" spans="1:16" s="12" customFormat="1" ht="12.75">
      <c r="A46" s="49">
        <v>38078</v>
      </c>
      <c r="B46" s="144">
        <f>8113348.34-4366467+2679788</f>
        <v>6426669.34</v>
      </c>
      <c r="C46" s="145"/>
      <c r="D46" s="144">
        <f>5968191.19-3278901+2031273</f>
        <v>4720563.19</v>
      </c>
      <c r="E46" s="144"/>
      <c r="F46" s="88">
        <f>2442359.81-1379083+873283</f>
        <v>1936559.81</v>
      </c>
      <c r="G46" s="144"/>
      <c r="H46" s="89">
        <f>1586402.71-864092+535278</f>
        <v>1257588.71</v>
      </c>
      <c r="I46" s="49">
        <v>38443</v>
      </c>
      <c r="J46" s="144">
        <f>10354086.51+4036464-4456969</f>
        <v>9933581.51</v>
      </c>
      <c r="K46" s="145"/>
      <c r="L46" s="144">
        <f>7043258.96+2821984-3297896</f>
        <v>6567346.960000001</v>
      </c>
      <c r="M46" s="144"/>
      <c r="N46" s="144">
        <f>3346122.87+1420638-1529948</f>
        <v>3236812.87</v>
      </c>
      <c r="O46" s="144"/>
      <c r="P46" s="89">
        <f>2159293.26+939247-1044585</f>
        <v>2053955.2599999998</v>
      </c>
    </row>
    <row r="47" spans="1:16" s="12" customFormat="1" ht="12.75">
      <c r="A47" s="49">
        <v>38108</v>
      </c>
      <c r="B47" s="144">
        <f>5201434.44+1847252-2679788</f>
        <v>4368898.44</v>
      </c>
      <c r="C47" s="145"/>
      <c r="D47" s="144">
        <f>3987877.35+1493445-2031273</f>
        <v>3450049.3499999996</v>
      </c>
      <c r="E47" s="144"/>
      <c r="F47" s="88">
        <f>1718616.95+668523-873283</f>
        <v>1513856.9500000002</v>
      </c>
      <c r="G47" s="144"/>
      <c r="H47" s="89">
        <f>1215775.43+455671-535278</f>
        <v>1136168.43</v>
      </c>
      <c r="I47" s="49">
        <v>38473</v>
      </c>
      <c r="J47" s="144">
        <f>5983782.62+1891793-4036464</f>
        <v>3839111.62</v>
      </c>
      <c r="K47" s="145"/>
      <c r="L47" s="144">
        <f>4634479.8+1550172-2821984</f>
        <v>3362667.8</v>
      </c>
      <c r="M47" s="144"/>
      <c r="N47" s="144">
        <f>2133645.12+749302-1420638</f>
        <v>1462309.12</v>
      </c>
      <c r="O47" s="144"/>
      <c r="P47" s="89">
        <f>1397627.05+509982-939247</f>
        <v>968362.05</v>
      </c>
    </row>
    <row r="48" spans="1:16" s="12" customFormat="1" ht="12.75">
      <c r="A48" s="49">
        <v>38139</v>
      </c>
      <c r="B48" s="144">
        <f>4008269.23-1847252+1418880</f>
        <v>3579897.23</v>
      </c>
      <c r="C48" s="145"/>
      <c r="D48" s="144">
        <f>3364319.62-1493445+1300423</f>
        <v>3171297.62</v>
      </c>
      <c r="E48" s="144"/>
      <c r="F48" s="88">
        <f>1268664.96-668523+500375</f>
        <v>1100516.96</v>
      </c>
      <c r="G48" s="144"/>
      <c r="H48" s="89">
        <f>897195.18-455671+363023</f>
        <v>804547.18</v>
      </c>
      <c r="I48" s="49">
        <v>38504</v>
      </c>
      <c r="J48" s="144">
        <f>4528040.44-1891793+1573397</f>
        <v>4209644.44</v>
      </c>
      <c r="K48" s="145"/>
      <c r="L48" s="144">
        <f>3725013.94-1550172+1385425</f>
        <v>3560266.94</v>
      </c>
      <c r="M48" s="144"/>
      <c r="N48" s="144">
        <f>1555252.14-749302+610706</f>
        <v>1416656.14</v>
      </c>
      <c r="O48" s="144"/>
      <c r="P48" s="89">
        <f>1110247.77-509982+465051</f>
        <v>1065316.77</v>
      </c>
    </row>
    <row r="49" spans="1:16" s="12" customFormat="1" ht="12.75">
      <c r="A49" s="49">
        <v>38169</v>
      </c>
      <c r="B49" s="144">
        <f>1118715-1418880+2954562.68</f>
        <v>2654397.68</v>
      </c>
      <c r="C49" s="145"/>
      <c r="D49" s="144">
        <f>1151914-1300423+2658396.66</f>
        <v>2509887.66</v>
      </c>
      <c r="E49" s="144"/>
      <c r="F49" s="88">
        <f>368840-500375+848565.27</f>
        <v>717030.27</v>
      </c>
      <c r="G49" s="144"/>
      <c r="H49" s="89">
        <f>328411-363023+689133.91</f>
        <v>654521.91</v>
      </c>
      <c r="I49" s="49">
        <v>38534</v>
      </c>
      <c r="J49" s="144">
        <f>3432879.29-1573397+1140248</f>
        <v>2999730.29</v>
      </c>
      <c r="K49" s="145"/>
      <c r="L49" s="144">
        <f>3013982.76-1385425+1118533</f>
        <v>2747090.76</v>
      </c>
      <c r="M49" s="144"/>
      <c r="N49" s="144">
        <f>1061971.52-610706+394926</f>
        <v>846191.52</v>
      </c>
      <c r="O49" s="144"/>
      <c r="P49" s="89">
        <f>838243.36-465051+348898</f>
        <v>722090.36</v>
      </c>
    </row>
    <row r="50" spans="1:16" s="12" customFormat="1" ht="12.75">
      <c r="A50" s="49">
        <v>38200</v>
      </c>
      <c r="B50" s="144">
        <f>2630280.32+1107688-1118715</f>
        <v>2619253.32</v>
      </c>
      <c r="C50" s="145"/>
      <c r="D50" s="144">
        <f>2499370.7+1274497-1151914</f>
        <v>2621953.7</v>
      </c>
      <c r="E50" s="144"/>
      <c r="F50" s="88">
        <f>704418.71+338555-368840</f>
        <v>674133.71</v>
      </c>
      <c r="G50" s="144"/>
      <c r="H50" s="89">
        <f>632979.64+329619-328411</f>
        <v>634187.64</v>
      </c>
      <c r="I50" s="49">
        <v>38565</v>
      </c>
      <c r="J50" s="144">
        <f>2980929.24-1140248+1191973</f>
        <v>3032654.24</v>
      </c>
      <c r="K50" s="145"/>
      <c r="L50" s="144">
        <f>2740599.7-1118533+1251332</f>
        <v>2873398.7</v>
      </c>
      <c r="M50" s="144"/>
      <c r="N50" s="144">
        <f>828254.78-394926+372986</f>
        <v>806314.78</v>
      </c>
      <c r="O50" s="144"/>
      <c r="P50" s="89">
        <f>708565.49-348898+370704</f>
        <v>730371.49</v>
      </c>
    </row>
    <row r="51" spans="1:16" s="12" customFormat="1" ht="12.75">
      <c r="A51" s="49">
        <v>38231</v>
      </c>
      <c r="B51" s="144">
        <f>3129737.22+1785031-1107688</f>
        <v>3807080.2200000007</v>
      </c>
      <c r="C51" s="145"/>
      <c r="D51" s="144">
        <f>2805038.73+1888180-1274497</f>
        <v>3418721.7300000004</v>
      </c>
      <c r="E51" s="144"/>
      <c r="F51" s="144">
        <f>906756.57+591681-338555</f>
        <v>1159882.5699999998</v>
      </c>
      <c r="G51" s="144"/>
      <c r="H51" s="89">
        <f>721175.1+526827-329619</f>
        <v>918383.1000000001</v>
      </c>
      <c r="I51" s="49">
        <v>38596</v>
      </c>
      <c r="J51" s="144">
        <f>3433015.23-1191973+1954534</f>
        <v>4195576.23</v>
      </c>
      <c r="K51" s="145"/>
      <c r="L51" s="144">
        <f>3088528.42-1251332+1955281</f>
        <v>3792477.42</v>
      </c>
      <c r="M51" s="144"/>
      <c r="N51" s="144">
        <f>1029855.82-372986+662618</f>
        <v>1319487.8199999998</v>
      </c>
      <c r="O51" s="144"/>
      <c r="P51" s="89">
        <f>804176.48-370704+585161</f>
        <v>1018633.48</v>
      </c>
    </row>
    <row r="52" spans="1:16" s="12" customFormat="1" ht="12.75">
      <c r="A52" s="49">
        <v>38261</v>
      </c>
      <c r="B52" s="144">
        <f>4834438.97+3328711-1785031</f>
        <v>6378118.97</v>
      </c>
      <c r="C52" s="145"/>
      <c r="D52" s="144">
        <f>3705480.96+2695640-1888180</f>
        <v>4512940.96</v>
      </c>
      <c r="E52" s="144"/>
      <c r="F52" s="144">
        <f>1475423.1+1203291-591681</f>
        <v>2087033.1</v>
      </c>
      <c r="G52" s="144"/>
      <c r="H52" s="89">
        <f>1015687.41+896162-526827</f>
        <v>1385022.4100000001</v>
      </c>
      <c r="I52" s="49">
        <v>38626</v>
      </c>
      <c r="J52" s="144">
        <f>5484411.61-1954534+3392545</f>
        <v>6922422.61</v>
      </c>
      <c r="K52" s="145"/>
      <c r="L52" s="144">
        <f>4197636.27-1955281+3035772</f>
        <v>5278127.27</v>
      </c>
      <c r="M52" s="144"/>
      <c r="N52" s="144">
        <f>1814914.34-662618+1112067</f>
        <v>2264363.34</v>
      </c>
      <c r="O52" s="144"/>
      <c r="P52" s="89">
        <f>1208231.12-585161+734863</f>
        <v>1357933.12</v>
      </c>
    </row>
    <row r="53" spans="1:16" s="12" customFormat="1" ht="12.75">
      <c r="A53" s="49">
        <v>38292</v>
      </c>
      <c r="B53" s="144">
        <f>9472310.06-3328711+7333453</f>
        <v>13477052.06</v>
      </c>
      <c r="C53" s="145"/>
      <c r="D53" s="144">
        <f>6281335.29-2695640+4861296</f>
        <v>8446991.29</v>
      </c>
      <c r="E53" s="144"/>
      <c r="F53" s="144">
        <f>2990190.9-1203291+2488271</f>
        <v>4275170.9</v>
      </c>
      <c r="G53" s="144"/>
      <c r="H53" s="89">
        <f>1775831.69-896162+1514648</f>
        <v>2394317.69</v>
      </c>
      <c r="I53" s="49">
        <v>38657</v>
      </c>
      <c r="J53" s="144">
        <f>10535633.24-3392545+11498510</f>
        <v>18641598.240000002</v>
      </c>
      <c r="K53" s="145"/>
      <c r="L53" s="144">
        <f>7265187.34-3035772+7155416</f>
        <v>11384831.34</v>
      </c>
      <c r="M53" s="144"/>
      <c r="N53" s="144">
        <f>3426368.44-1112067+3756694</f>
        <v>6070995.4399999995</v>
      </c>
      <c r="O53" s="144"/>
      <c r="P53" s="89">
        <f>2062914.49-734863+2340070</f>
        <v>3668121.49</v>
      </c>
    </row>
    <row r="54" spans="1:16" s="12" customFormat="1" ht="12.75">
      <c r="A54" s="49">
        <v>38322</v>
      </c>
      <c r="B54" s="144">
        <f>14821108.1-7333453+9656766</f>
        <v>17144421.1</v>
      </c>
      <c r="C54" s="145"/>
      <c r="D54" s="144">
        <f>10326757.22-4861296+6811414</f>
        <v>12276875.22</v>
      </c>
      <c r="E54" s="144"/>
      <c r="F54" s="144">
        <f>4802656.02-2488271+3429649</f>
        <v>5744034.02</v>
      </c>
      <c r="G54" s="144"/>
      <c r="H54" s="89">
        <f>3012179.39-1514648+2190286</f>
        <v>3687817.39</v>
      </c>
      <c r="I54" s="49">
        <v>38687</v>
      </c>
      <c r="J54" s="144">
        <f>22845798.77-11498510+14381497</f>
        <v>25728785.77</v>
      </c>
      <c r="K54" s="145"/>
      <c r="L54" s="144">
        <f>16306039.7-7155416+10204172</f>
        <v>19354795.7</v>
      </c>
      <c r="M54" s="144"/>
      <c r="N54" s="144">
        <f>6932492.57-3756694+4711412</f>
        <v>7887210.57</v>
      </c>
      <c r="O54" s="144"/>
      <c r="P54" s="89">
        <f>4427307.53-2340070+3039423</f>
        <v>5126660.53</v>
      </c>
    </row>
    <row r="55" spans="1:16" s="12" customFormat="1" ht="12.75">
      <c r="A55" s="49">
        <v>38353</v>
      </c>
      <c r="B55" s="144">
        <f>19236569.16-9656766+10325839</f>
        <v>19905642.16</v>
      </c>
      <c r="C55" s="145"/>
      <c r="D55" s="144">
        <f>13437799.11-6811414+7293187</f>
        <v>13919572.11</v>
      </c>
      <c r="E55" s="144"/>
      <c r="F55" s="144">
        <f>5607982.63-3429649+3239630</f>
        <v>5417963.63</v>
      </c>
      <c r="G55" s="144"/>
      <c r="H55" s="89">
        <f>3654483.34-2190286+2132694</f>
        <v>3596891.34</v>
      </c>
      <c r="I55" s="49">
        <v>38718</v>
      </c>
      <c r="J55" s="144">
        <f>21397030.36-14381497+8344149</f>
        <v>15359682.36</v>
      </c>
      <c r="K55" s="145"/>
      <c r="L55" s="144">
        <f>16380335.32-10204172+6402645</f>
        <v>12578808.32</v>
      </c>
      <c r="M55" s="144"/>
      <c r="N55" s="144">
        <f>6848222.48-4711412+2891666</f>
        <v>5028476.48</v>
      </c>
      <c r="O55" s="144"/>
      <c r="P55" s="89">
        <f>4497102.21-3039423+1927116</f>
        <v>3384795.21</v>
      </c>
    </row>
    <row r="56" spans="1:16" s="12" customFormat="1" ht="12.75">
      <c r="A56" s="49">
        <v>38384</v>
      </c>
      <c r="B56" s="144">
        <v>11380652.24</v>
      </c>
      <c r="C56" s="145"/>
      <c r="D56" s="144">
        <v>9130319.95</v>
      </c>
      <c r="E56" s="144"/>
      <c r="F56" s="144">
        <v>3892575.5</v>
      </c>
      <c r="G56" s="144"/>
      <c r="H56" s="89">
        <v>2714435.43</v>
      </c>
      <c r="I56" s="49">
        <v>38749</v>
      </c>
      <c r="J56" s="144">
        <f>19657962.97-8344149+11133218</f>
        <v>22447031.97</v>
      </c>
      <c r="K56" s="145"/>
      <c r="L56" s="144">
        <f>13917158.75-6402645+7878858</f>
        <v>15393371.75</v>
      </c>
      <c r="M56" s="144"/>
      <c r="N56" s="144">
        <f>6072994.68-2891666+3737235</f>
        <v>6918563.68</v>
      </c>
      <c r="O56" s="144"/>
      <c r="P56" s="89">
        <f>3868208.06-1927116+2408183</f>
        <v>4349275.0600000005</v>
      </c>
    </row>
    <row r="57" spans="1:16" s="12" customFormat="1" ht="12.75">
      <c r="A57" s="49">
        <v>38412</v>
      </c>
      <c r="B57" s="144">
        <v>10609606.22</v>
      </c>
      <c r="C57" s="145"/>
      <c r="D57" s="144">
        <v>7437556.369999999</v>
      </c>
      <c r="E57" s="144"/>
      <c r="F57" s="144">
        <v>3268078.77</v>
      </c>
      <c r="G57" s="144"/>
      <c r="H57" s="89">
        <v>2163168.43</v>
      </c>
      <c r="I57" s="49">
        <v>38777</v>
      </c>
      <c r="J57" s="144">
        <f>19934223.95-11133218+6795820</f>
        <v>15596825.95</v>
      </c>
      <c r="K57" s="145"/>
      <c r="L57" s="144">
        <f>14524974.04-7878858+4949940</f>
        <v>11596056.04</v>
      </c>
      <c r="M57" s="144"/>
      <c r="N57" s="144">
        <f>6373131.73-3737235+2355203</f>
        <v>4991099.73</v>
      </c>
      <c r="O57" s="144"/>
      <c r="P57" s="89">
        <f>4079114.85-2408183+1539413</f>
        <v>3210344.85</v>
      </c>
    </row>
    <row r="58" spans="1:16" s="12" customFormat="1" ht="12.75">
      <c r="A58" s="49">
        <v>38443</v>
      </c>
      <c r="B58" s="144">
        <v>9933581.51</v>
      </c>
      <c r="C58" s="145"/>
      <c r="D58" s="144">
        <v>6567346.960000001</v>
      </c>
      <c r="E58" s="144"/>
      <c r="F58" s="144">
        <v>3236812.87</v>
      </c>
      <c r="G58" s="144"/>
      <c r="H58" s="89">
        <v>2053955.26</v>
      </c>
      <c r="I58" s="49">
        <v>38808</v>
      </c>
      <c r="J58" s="144">
        <f>13625130.9-6795820+4356945</f>
        <v>11186255.9</v>
      </c>
      <c r="K58" s="145"/>
      <c r="L58" s="144">
        <f>10095523.22-4949940+3410623</f>
        <v>8556206.22</v>
      </c>
      <c r="M58" s="144"/>
      <c r="N58" s="144">
        <f>4429626.84-2355203+1587581</f>
        <v>3662004.84</v>
      </c>
      <c r="O58" s="144"/>
      <c r="P58" s="89">
        <f>2772524.44-1539413+1019148</f>
        <v>2252259.44</v>
      </c>
    </row>
    <row r="59" spans="1:16" s="12" customFormat="1" ht="12.75">
      <c r="A59" s="49">
        <v>38473</v>
      </c>
      <c r="B59" s="144">
        <f>5983782.62+1891793-4036464</f>
        <v>3839111.62</v>
      </c>
      <c r="C59" s="145"/>
      <c r="D59" s="144">
        <f>4634479.8+1550172-2821984</f>
        <v>3362667.8</v>
      </c>
      <c r="E59" s="144"/>
      <c r="F59" s="144">
        <f>2133645.12+749302-1420638</f>
        <v>1462309.12</v>
      </c>
      <c r="G59" s="144"/>
      <c r="H59" s="89">
        <f>1397627.05+509982-939247</f>
        <v>968362.05</v>
      </c>
      <c r="I59" s="49">
        <v>38838</v>
      </c>
      <c r="J59" s="144">
        <f>6301158-4356945+3186593</f>
        <v>5130806</v>
      </c>
      <c r="K59" s="145"/>
      <c r="L59" s="144">
        <f>5153592-3410623+2632756</f>
        <v>4375725</v>
      </c>
      <c r="M59" s="144"/>
      <c r="N59" s="144">
        <f>2020858-1587581+979332</f>
        <v>1412609</v>
      </c>
      <c r="O59" s="144"/>
      <c r="P59" s="89">
        <f>1543631-1019148+545209</f>
        <v>1069692</v>
      </c>
    </row>
    <row r="60" spans="1:16" s="12" customFormat="1" ht="12.75">
      <c r="A60" s="49">
        <v>38504</v>
      </c>
      <c r="B60" s="144">
        <f>4528040.44-1891793+1573397</f>
        <v>4209644.44</v>
      </c>
      <c r="C60" s="145"/>
      <c r="D60" s="144">
        <f>3725013.94-1550172+1385425</f>
        <v>3560266.94</v>
      </c>
      <c r="E60" s="144"/>
      <c r="F60" s="144">
        <f>1555252.14-749302+610706</f>
        <v>1416656.14</v>
      </c>
      <c r="G60" s="144"/>
      <c r="H60" s="89">
        <f>1110247.77-509982+465051</f>
        <v>1065316.77</v>
      </c>
      <c r="I60" s="49">
        <v>38869</v>
      </c>
      <c r="J60" s="144">
        <f>5711166.45-3186593+1807390</f>
        <v>4331963.45</v>
      </c>
      <c r="K60" s="145"/>
      <c r="L60" s="144">
        <f>4775216.41-2632756+1594814</f>
        <v>3737274.41</v>
      </c>
      <c r="M60" s="144"/>
      <c r="N60" s="144">
        <f>1667694.92-979332+573703</f>
        <v>1262065.92</v>
      </c>
      <c r="O60" s="144"/>
      <c r="P60" s="89">
        <f>1185861.71-545209+437185</f>
        <v>1077837.71</v>
      </c>
    </row>
    <row r="61" spans="1:16" s="12" customFormat="1" ht="12.75">
      <c r="A61" s="49"/>
      <c r="B61" s="144"/>
      <c r="C61" s="145"/>
      <c r="D61" s="144"/>
      <c r="E61" s="144"/>
      <c r="F61" s="144"/>
      <c r="G61" s="144"/>
      <c r="H61" s="89"/>
      <c r="I61" s="131"/>
      <c r="J61" s="144"/>
      <c r="K61" s="145"/>
      <c r="L61" s="144"/>
      <c r="M61" s="144"/>
      <c r="N61" s="144"/>
      <c r="O61" s="144"/>
      <c r="P61" s="89"/>
    </row>
    <row r="62" spans="1:16" s="12" customFormat="1" ht="12.75">
      <c r="A62" s="49"/>
      <c r="B62" s="84"/>
      <c r="C62" s="84"/>
      <c r="D62" s="84"/>
      <c r="E62" s="84"/>
      <c r="F62" s="84"/>
      <c r="G62" s="84"/>
      <c r="H62" s="85"/>
      <c r="P62" s="99"/>
    </row>
    <row r="63" spans="1:16" ht="12.75">
      <c r="A63" s="165" t="s">
        <v>21</v>
      </c>
      <c r="B63" s="166"/>
      <c r="C63" s="166"/>
      <c r="D63" s="166"/>
      <c r="E63" s="166"/>
      <c r="F63" s="166"/>
      <c r="G63" s="166"/>
      <c r="H63" s="167"/>
      <c r="I63" s="165" t="s">
        <v>22</v>
      </c>
      <c r="J63" s="166"/>
      <c r="K63" s="166"/>
      <c r="L63" s="166"/>
      <c r="M63" s="166"/>
      <c r="N63" s="166"/>
      <c r="O63" s="166"/>
      <c r="P63" s="167"/>
    </row>
    <row r="64" spans="1:16" ht="12.75">
      <c r="A64" s="9"/>
      <c r="B64" s="151" t="s">
        <v>10</v>
      </c>
      <c r="C64" s="151"/>
      <c r="D64" s="151"/>
      <c r="E64" s="13"/>
      <c r="F64" s="151" t="s">
        <v>11</v>
      </c>
      <c r="G64" s="151"/>
      <c r="H64" s="164"/>
      <c r="I64" s="9"/>
      <c r="J64" s="151" t="s">
        <v>10</v>
      </c>
      <c r="K64" s="151"/>
      <c r="L64" s="151"/>
      <c r="M64" s="13"/>
      <c r="N64" s="151" t="s">
        <v>11</v>
      </c>
      <c r="O64" s="151"/>
      <c r="P64" s="164"/>
    </row>
    <row r="65" spans="1:16" s="12" customFormat="1" ht="12.75">
      <c r="A65" s="9"/>
      <c r="B65" s="10" t="s">
        <v>1</v>
      </c>
      <c r="C65" s="13"/>
      <c r="D65" s="10" t="s">
        <v>2</v>
      </c>
      <c r="E65" s="13"/>
      <c r="F65" s="10" t="s">
        <v>1</v>
      </c>
      <c r="G65" s="13"/>
      <c r="H65" s="65" t="s">
        <v>2</v>
      </c>
      <c r="I65" s="9"/>
      <c r="J65" s="10" t="s">
        <v>1</v>
      </c>
      <c r="K65" s="13"/>
      <c r="L65" s="10" t="s">
        <v>2</v>
      </c>
      <c r="M65" s="13"/>
      <c r="N65" s="10" t="s">
        <v>1</v>
      </c>
      <c r="O65" s="13"/>
      <c r="P65" s="65" t="s">
        <v>2</v>
      </c>
    </row>
    <row r="66" spans="1:16" s="12" customFormat="1" ht="12.75">
      <c r="A66" s="39">
        <v>37165</v>
      </c>
      <c r="B66" s="35">
        <f>SUM(B5:B16)</f>
        <v>92944021</v>
      </c>
      <c r="C66" s="32"/>
      <c r="D66" s="35">
        <f aca="true" t="shared" si="0" ref="D66:D87">SUM(D5:D16)</f>
        <v>72386088</v>
      </c>
      <c r="E66" s="32"/>
      <c r="F66" s="35">
        <f aca="true" t="shared" si="1" ref="F66:F87">SUM(F5:F16)</f>
        <v>26133202</v>
      </c>
      <c r="G66" s="32"/>
      <c r="H66" s="86">
        <f aca="true" t="shared" si="2" ref="H66:H87">SUM(H5:H16)</f>
        <v>21497121</v>
      </c>
      <c r="I66" s="39">
        <v>37530</v>
      </c>
      <c r="J66" s="35">
        <f aca="true" t="shared" si="3" ref="J66:J86">SUM(J5:J16)</f>
        <v>101288134.81</v>
      </c>
      <c r="K66" s="32"/>
      <c r="L66" s="35">
        <f aca="true" t="shared" si="4" ref="L66:L86">SUM(L5:L16)</f>
        <v>75649384.86</v>
      </c>
      <c r="M66" s="32"/>
      <c r="N66" s="35">
        <f aca="true" t="shared" si="5" ref="N66:N86">SUM(N5:N16)</f>
        <v>27462076.429999996</v>
      </c>
      <c r="O66" s="32"/>
      <c r="P66" s="86">
        <f aca="true" t="shared" si="6" ref="P66:P86">SUM(P5:P16)</f>
        <v>21406117.060000002</v>
      </c>
    </row>
    <row r="67" spans="1:16" s="12" customFormat="1" ht="12.75">
      <c r="A67" s="39">
        <v>37196</v>
      </c>
      <c r="B67" s="35">
        <f aca="true" t="shared" si="7" ref="B67:B87">SUM(B6:B17)</f>
        <v>92053140.91</v>
      </c>
      <c r="C67" s="32"/>
      <c r="D67" s="35">
        <f t="shared" si="0"/>
        <v>71415313.31</v>
      </c>
      <c r="E67" s="32"/>
      <c r="F67" s="35">
        <f t="shared" si="1"/>
        <v>24870881.45</v>
      </c>
      <c r="G67" s="32"/>
      <c r="H67" s="86">
        <f t="shared" si="2"/>
        <v>20334442.76</v>
      </c>
      <c r="I67" s="39">
        <v>37561</v>
      </c>
      <c r="J67" s="35">
        <f t="shared" si="3"/>
        <v>102332422.24999999</v>
      </c>
      <c r="K67" s="32"/>
      <c r="L67" s="35">
        <f t="shared" si="4"/>
        <v>76840110.82</v>
      </c>
      <c r="M67" s="32"/>
      <c r="N67" s="35">
        <f t="shared" si="5"/>
        <v>28092376.18</v>
      </c>
      <c r="O67" s="32"/>
      <c r="P67" s="86">
        <f t="shared" si="6"/>
        <v>21754103.84</v>
      </c>
    </row>
    <row r="68" spans="1:16" s="12" customFormat="1" ht="12.75">
      <c r="A68" s="39">
        <v>37226</v>
      </c>
      <c r="B68" s="35">
        <f t="shared" si="7"/>
        <v>95617766.21</v>
      </c>
      <c r="C68" s="35">
        <f>SUM(C6:C17)</f>
        <v>9930632</v>
      </c>
      <c r="D68" s="35">
        <f t="shared" si="0"/>
        <v>72841685.58</v>
      </c>
      <c r="E68" s="35"/>
      <c r="F68" s="35">
        <f t="shared" si="1"/>
        <v>25718375.939999998</v>
      </c>
      <c r="G68" s="35">
        <f>SUM(G6:G17)</f>
        <v>0</v>
      </c>
      <c r="H68" s="86">
        <f t="shared" si="2"/>
        <v>20637765.1</v>
      </c>
      <c r="I68" s="39">
        <v>37591</v>
      </c>
      <c r="J68" s="35">
        <f t="shared" si="3"/>
        <v>101590023.6</v>
      </c>
      <c r="K68" s="35">
        <f aca="true" t="shared" si="8" ref="K68:K86">SUM(K6:K17)</f>
        <v>0</v>
      </c>
      <c r="L68" s="35">
        <f t="shared" si="4"/>
        <v>76375852.55</v>
      </c>
      <c r="M68" s="35"/>
      <c r="N68" s="35">
        <f t="shared" si="5"/>
        <v>27876901.8</v>
      </c>
      <c r="O68" s="35">
        <f aca="true" t="shared" si="9" ref="O68:O86">SUM(O6:O17)</f>
        <v>0</v>
      </c>
      <c r="P68" s="86">
        <f t="shared" si="6"/>
        <v>21318784.41</v>
      </c>
    </row>
    <row r="69" spans="1:16" s="12" customFormat="1" ht="12.75">
      <c r="A69" s="39">
        <v>37257</v>
      </c>
      <c r="B69" s="35">
        <f t="shared" si="7"/>
        <v>97967291.72999999</v>
      </c>
      <c r="C69" s="35">
        <f aca="true" t="shared" si="10" ref="C69:C90">SUM(C8:C19)</f>
        <v>9930632</v>
      </c>
      <c r="D69" s="35">
        <f t="shared" si="0"/>
        <v>74165171.69</v>
      </c>
      <c r="E69" s="35"/>
      <c r="F69" s="35">
        <f t="shared" si="1"/>
        <v>26158070.18</v>
      </c>
      <c r="G69" s="35">
        <f aca="true" t="shared" si="11" ref="G69:G90">SUM(G8:G19)</f>
        <v>0</v>
      </c>
      <c r="H69" s="86">
        <f t="shared" si="2"/>
        <v>20808167.990000002</v>
      </c>
      <c r="I69" s="39">
        <v>37622</v>
      </c>
      <c r="J69" s="35">
        <f t="shared" si="3"/>
        <v>96191817.62</v>
      </c>
      <c r="K69" s="35">
        <f t="shared" si="8"/>
        <v>0</v>
      </c>
      <c r="L69" s="35">
        <f t="shared" si="4"/>
        <v>75001555.13</v>
      </c>
      <c r="M69" s="35"/>
      <c r="N69" s="35">
        <f t="shared" si="5"/>
        <v>27104752.64</v>
      </c>
      <c r="O69" s="35">
        <f t="shared" si="9"/>
        <v>0</v>
      </c>
      <c r="P69" s="86">
        <f t="shared" si="6"/>
        <v>20348089.169999998</v>
      </c>
    </row>
    <row r="70" spans="1:16" ht="12.75">
      <c r="A70" s="39">
        <v>37288</v>
      </c>
      <c r="B70" s="35">
        <f t="shared" si="7"/>
        <v>97919305.92999999</v>
      </c>
      <c r="C70" s="35">
        <f t="shared" si="10"/>
        <v>0</v>
      </c>
      <c r="D70" s="35">
        <f t="shared" si="0"/>
        <v>73662158.69</v>
      </c>
      <c r="E70" s="35"/>
      <c r="F70" s="35">
        <f t="shared" si="1"/>
        <v>25930312.38</v>
      </c>
      <c r="G70" s="35">
        <f t="shared" si="11"/>
        <v>0</v>
      </c>
      <c r="H70" s="86">
        <f t="shared" si="2"/>
        <v>20616761.13</v>
      </c>
      <c r="I70" s="39">
        <v>37653</v>
      </c>
      <c r="J70" s="35">
        <f t="shared" si="3"/>
        <v>95281039.69999999</v>
      </c>
      <c r="K70" s="35">
        <f t="shared" si="8"/>
        <v>0</v>
      </c>
      <c r="L70" s="35">
        <f t="shared" si="4"/>
        <v>74465236.84</v>
      </c>
      <c r="M70" s="35"/>
      <c r="N70" s="35">
        <f t="shared" si="5"/>
        <v>27215839.99</v>
      </c>
      <c r="O70" s="35">
        <f t="shared" si="9"/>
        <v>0</v>
      </c>
      <c r="P70" s="86">
        <f t="shared" si="6"/>
        <v>20211098.099999998</v>
      </c>
    </row>
    <row r="71" spans="1:16" ht="12.75">
      <c r="A71" s="39">
        <v>37316</v>
      </c>
      <c r="B71" s="35">
        <f t="shared" si="7"/>
        <v>101952873.88999999</v>
      </c>
      <c r="C71" s="35">
        <f t="shared" si="10"/>
        <v>0</v>
      </c>
      <c r="D71" s="35">
        <f t="shared" si="0"/>
        <v>75831859.32</v>
      </c>
      <c r="E71" s="35"/>
      <c r="F71" s="35">
        <f t="shared" si="1"/>
        <v>26923263.849999998</v>
      </c>
      <c r="G71" s="35">
        <f t="shared" si="11"/>
        <v>0</v>
      </c>
      <c r="H71" s="86">
        <f t="shared" si="2"/>
        <v>21275940.64</v>
      </c>
      <c r="I71" s="39">
        <v>37681</v>
      </c>
      <c r="J71" s="35">
        <f t="shared" si="3"/>
        <v>90981871.08</v>
      </c>
      <c r="K71" s="35">
        <f t="shared" si="8"/>
        <v>0</v>
      </c>
      <c r="L71" s="35">
        <f t="shared" si="4"/>
        <v>71390595.55</v>
      </c>
      <c r="M71" s="35"/>
      <c r="N71" s="35">
        <f t="shared" si="5"/>
        <v>26236069.1</v>
      </c>
      <c r="O71" s="35">
        <f t="shared" si="9"/>
        <v>0</v>
      </c>
      <c r="P71" s="86">
        <f t="shared" si="6"/>
        <v>19372020.1</v>
      </c>
    </row>
    <row r="72" spans="1:16" ht="12.75">
      <c r="A72" s="39">
        <v>37347</v>
      </c>
      <c r="B72" s="35">
        <f t="shared" si="7"/>
        <v>101648868.90999998</v>
      </c>
      <c r="C72" s="35">
        <f t="shared" si="10"/>
        <v>0</v>
      </c>
      <c r="D72" s="35">
        <f t="shared" si="0"/>
        <v>75615182.3</v>
      </c>
      <c r="E72" s="35"/>
      <c r="F72" s="35">
        <f t="shared" si="1"/>
        <v>26424582.009999998</v>
      </c>
      <c r="G72" s="35">
        <f t="shared" si="11"/>
        <v>0</v>
      </c>
      <c r="H72" s="86">
        <f t="shared" si="2"/>
        <v>21084282.48</v>
      </c>
      <c r="I72" s="39">
        <v>37712</v>
      </c>
      <c r="J72" s="35">
        <f t="shared" si="3"/>
        <v>91276169.06</v>
      </c>
      <c r="K72" s="35">
        <f t="shared" si="8"/>
        <v>0</v>
      </c>
      <c r="L72" s="35">
        <f t="shared" si="4"/>
        <v>71700228.57</v>
      </c>
      <c r="M72" s="35"/>
      <c r="N72" s="35">
        <f t="shared" si="5"/>
        <v>26934042.940000005</v>
      </c>
      <c r="O72" s="35">
        <f t="shared" si="9"/>
        <v>0</v>
      </c>
      <c r="P72" s="86">
        <f t="shared" si="6"/>
        <v>19879750.26</v>
      </c>
    </row>
    <row r="73" spans="1:16" ht="12.75">
      <c r="A73" s="39">
        <v>37377</v>
      </c>
      <c r="B73" s="35">
        <f t="shared" si="7"/>
        <v>102945591.13000001</v>
      </c>
      <c r="C73" s="35">
        <f t="shared" si="10"/>
        <v>0</v>
      </c>
      <c r="D73" s="35">
        <f t="shared" si="0"/>
        <v>76322349.55</v>
      </c>
      <c r="E73" s="35"/>
      <c r="F73" s="35">
        <f t="shared" si="1"/>
        <v>26879034.360000003</v>
      </c>
      <c r="G73" s="35">
        <f t="shared" si="11"/>
        <v>0</v>
      </c>
      <c r="H73" s="86">
        <f t="shared" si="2"/>
        <v>21391805.6</v>
      </c>
      <c r="I73" s="39">
        <v>37742</v>
      </c>
      <c r="J73" s="35">
        <f t="shared" si="3"/>
        <v>91562279.91</v>
      </c>
      <c r="K73" s="35">
        <f t="shared" si="8"/>
        <v>0</v>
      </c>
      <c r="L73" s="35">
        <f t="shared" si="4"/>
        <v>71939386.75</v>
      </c>
      <c r="M73" s="35"/>
      <c r="N73" s="35">
        <f t="shared" si="5"/>
        <v>27439003.600000005</v>
      </c>
      <c r="O73" s="35">
        <f t="shared" si="9"/>
        <v>0</v>
      </c>
      <c r="P73" s="86">
        <f t="shared" si="6"/>
        <v>19982728.21</v>
      </c>
    </row>
    <row r="74" spans="1:16" ht="12.75">
      <c r="A74" s="39">
        <v>37408</v>
      </c>
      <c r="B74" s="35">
        <f t="shared" si="7"/>
        <v>102264937.54</v>
      </c>
      <c r="C74" s="35">
        <f t="shared" si="10"/>
        <v>0</v>
      </c>
      <c r="D74" s="35">
        <f t="shared" si="0"/>
        <v>75939738.50999999</v>
      </c>
      <c r="E74" s="35"/>
      <c r="F74" s="35">
        <f t="shared" si="1"/>
        <v>26882687.440000005</v>
      </c>
      <c r="G74" s="35">
        <f t="shared" si="11"/>
        <v>0</v>
      </c>
      <c r="H74" s="86">
        <f t="shared" si="2"/>
        <v>21336421.53</v>
      </c>
      <c r="I74" s="39">
        <v>37773</v>
      </c>
      <c r="J74" s="35">
        <f t="shared" si="3"/>
        <v>91851505.64</v>
      </c>
      <c r="K74" s="35">
        <f t="shared" si="8"/>
        <v>0</v>
      </c>
      <c r="L74" s="35">
        <f t="shared" si="4"/>
        <v>71920785.99</v>
      </c>
      <c r="M74" s="35"/>
      <c r="N74" s="35">
        <f t="shared" si="5"/>
        <v>27422578.919999998</v>
      </c>
      <c r="O74" s="35">
        <f t="shared" si="9"/>
        <v>0</v>
      </c>
      <c r="P74" s="86">
        <f t="shared" si="6"/>
        <v>20048183.790000003</v>
      </c>
    </row>
    <row r="75" spans="1:16" ht="12.75">
      <c r="A75" s="39">
        <v>37438</v>
      </c>
      <c r="B75" s="35">
        <f t="shared" si="7"/>
        <v>102661770.05000001</v>
      </c>
      <c r="C75" s="35">
        <f t="shared" si="10"/>
        <v>0</v>
      </c>
      <c r="D75" s="35">
        <f t="shared" si="0"/>
        <v>76169929.55</v>
      </c>
      <c r="E75" s="35"/>
      <c r="F75" s="35">
        <f t="shared" si="1"/>
        <v>26963149.770000003</v>
      </c>
      <c r="G75" s="35">
        <f t="shared" si="11"/>
        <v>0</v>
      </c>
      <c r="H75" s="86">
        <f t="shared" si="2"/>
        <v>21485155.44</v>
      </c>
      <c r="I75" s="39">
        <v>37803</v>
      </c>
      <c r="J75" s="35">
        <f t="shared" si="3"/>
        <v>91702354.18</v>
      </c>
      <c r="K75" s="35">
        <f t="shared" si="8"/>
        <v>0</v>
      </c>
      <c r="L75" s="35">
        <f t="shared" si="4"/>
        <v>71834308.36999999</v>
      </c>
      <c r="M75" s="35"/>
      <c r="N75" s="35">
        <f t="shared" si="5"/>
        <v>27446864.55</v>
      </c>
      <c r="O75" s="35">
        <f t="shared" si="9"/>
        <v>0</v>
      </c>
      <c r="P75" s="86">
        <f t="shared" si="6"/>
        <v>19909992.250000004</v>
      </c>
    </row>
    <row r="76" spans="1:16" ht="12.75">
      <c r="A76" s="39">
        <v>37469</v>
      </c>
      <c r="B76" s="35">
        <f t="shared" si="7"/>
        <v>102337151.60000001</v>
      </c>
      <c r="C76" s="35">
        <f t="shared" si="10"/>
        <v>0</v>
      </c>
      <c r="D76" s="35">
        <f t="shared" si="0"/>
        <v>75999239.92999999</v>
      </c>
      <c r="E76" s="35"/>
      <c r="F76" s="35">
        <f t="shared" si="1"/>
        <v>26962898.200000003</v>
      </c>
      <c r="G76" s="35">
        <f t="shared" si="11"/>
        <v>0</v>
      </c>
      <c r="H76" s="86">
        <f t="shared" si="2"/>
        <v>21380690.790000003</v>
      </c>
      <c r="I76" s="39">
        <v>37834</v>
      </c>
      <c r="J76" s="35">
        <f t="shared" si="3"/>
        <v>91514173.58999999</v>
      </c>
      <c r="K76" s="35">
        <f t="shared" si="8"/>
        <v>0</v>
      </c>
      <c r="L76" s="35">
        <f t="shared" si="4"/>
        <v>71606143.55999999</v>
      </c>
      <c r="M76" s="35"/>
      <c r="N76" s="35">
        <f t="shared" si="5"/>
        <v>27395666.36</v>
      </c>
      <c r="O76" s="35">
        <f t="shared" si="9"/>
        <v>0</v>
      </c>
      <c r="P76" s="86">
        <f t="shared" si="6"/>
        <v>19973518.1</v>
      </c>
    </row>
    <row r="77" spans="1:16" ht="12.75">
      <c r="A77" s="39">
        <v>37500</v>
      </c>
      <c r="B77" s="35">
        <f t="shared" si="7"/>
        <v>102921325.93</v>
      </c>
      <c r="C77" s="35">
        <f t="shared" si="10"/>
        <v>0</v>
      </c>
      <c r="D77" s="35">
        <f t="shared" si="0"/>
        <v>76659030.83999999</v>
      </c>
      <c r="E77" s="35"/>
      <c r="F77" s="35">
        <f t="shared" si="1"/>
        <v>27323855.880000003</v>
      </c>
      <c r="G77" s="35">
        <f t="shared" si="11"/>
        <v>0</v>
      </c>
      <c r="H77" s="86">
        <f t="shared" si="2"/>
        <v>21503580.660000004</v>
      </c>
      <c r="I77" s="39">
        <v>37865</v>
      </c>
      <c r="J77" s="35">
        <f t="shared" si="3"/>
        <v>90909671.22</v>
      </c>
      <c r="K77" s="35">
        <f t="shared" si="8"/>
        <v>0</v>
      </c>
      <c r="L77" s="35">
        <f t="shared" si="4"/>
        <v>71023303.35000001</v>
      </c>
      <c r="M77" s="35"/>
      <c r="N77" s="35">
        <f t="shared" si="5"/>
        <v>27165603.87</v>
      </c>
      <c r="O77" s="35">
        <f t="shared" si="9"/>
        <v>0</v>
      </c>
      <c r="P77" s="86">
        <f t="shared" si="6"/>
        <v>19788568.990000002</v>
      </c>
    </row>
    <row r="78" spans="1:16" ht="12.75">
      <c r="A78" s="39">
        <v>37530</v>
      </c>
      <c r="B78" s="35">
        <f t="shared" si="7"/>
        <v>101288134.81</v>
      </c>
      <c r="C78" s="35">
        <f t="shared" si="10"/>
        <v>0</v>
      </c>
      <c r="D78" s="35">
        <f t="shared" si="0"/>
        <v>75649384.86</v>
      </c>
      <c r="E78" s="35"/>
      <c r="F78" s="35">
        <f t="shared" si="1"/>
        <v>27462076.429999996</v>
      </c>
      <c r="G78" s="35">
        <f t="shared" si="11"/>
        <v>0</v>
      </c>
      <c r="H78" s="86">
        <f t="shared" si="2"/>
        <v>21406117.060000002</v>
      </c>
      <c r="I78" s="39">
        <v>37895</v>
      </c>
      <c r="J78" s="35">
        <f t="shared" si="3"/>
        <v>89970121.93999997</v>
      </c>
      <c r="K78" s="35">
        <f t="shared" si="8"/>
        <v>0</v>
      </c>
      <c r="L78" s="35">
        <f t="shared" si="4"/>
        <v>70365198.75000001</v>
      </c>
      <c r="M78" s="35"/>
      <c r="N78" s="35">
        <f t="shared" si="5"/>
        <v>26556459.300000004</v>
      </c>
      <c r="O78" s="35">
        <f t="shared" si="9"/>
        <v>0</v>
      </c>
      <c r="P78" s="86">
        <f t="shared" si="6"/>
        <v>19365619.04</v>
      </c>
    </row>
    <row r="79" spans="1:16" ht="12.75">
      <c r="A79" s="39">
        <v>37561</v>
      </c>
      <c r="B79" s="35">
        <f t="shared" si="7"/>
        <v>102332422.24999999</v>
      </c>
      <c r="C79" s="35">
        <f t="shared" si="10"/>
        <v>0</v>
      </c>
      <c r="D79" s="35">
        <f t="shared" si="0"/>
        <v>76840110.82</v>
      </c>
      <c r="E79" s="35"/>
      <c r="F79" s="35">
        <f t="shared" si="1"/>
        <v>28092376.18</v>
      </c>
      <c r="G79" s="35">
        <f t="shared" si="11"/>
        <v>0</v>
      </c>
      <c r="H79" s="86">
        <f t="shared" si="2"/>
        <v>21754103.84</v>
      </c>
      <c r="I79" s="39">
        <v>37926</v>
      </c>
      <c r="J79" s="35">
        <f t="shared" si="3"/>
        <v>92898590.13</v>
      </c>
      <c r="K79" s="35">
        <f t="shared" si="8"/>
        <v>0</v>
      </c>
      <c r="L79" s="35">
        <f t="shared" si="4"/>
        <v>71258792.49000001</v>
      </c>
      <c r="M79" s="35"/>
      <c r="N79" s="35">
        <f t="shared" si="5"/>
        <v>27192671.82</v>
      </c>
      <c r="O79" s="35">
        <f t="shared" si="9"/>
        <v>0</v>
      </c>
      <c r="P79" s="86">
        <f t="shared" si="6"/>
        <v>19538923.36</v>
      </c>
    </row>
    <row r="80" spans="1:16" ht="12.75">
      <c r="A80" s="39">
        <v>37591</v>
      </c>
      <c r="B80" s="35">
        <f t="shared" si="7"/>
        <v>101590023.6</v>
      </c>
      <c r="C80" s="35">
        <f t="shared" si="10"/>
        <v>0</v>
      </c>
      <c r="D80" s="35">
        <f t="shared" si="0"/>
        <v>76375852.55</v>
      </c>
      <c r="E80" s="35"/>
      <c r="F80" s="35">
        <f t="shared" si="1"/>
        <v>27876901.8</v>
      </c>
      <c r="G80" s="35">
        <f t="shared" si="11"/>
        <v>0</v>
      </c>
      <c r="H80" s="86">
        <f t="shared" si="2"/>
        <v>21318784.41</v>
      </c>
      <c r="I80" s="39">
        <v>37956</v>
      </c>
      <c r="J80" s="35">
        <f t="shared" si="3"/>
        <v>95346805.35</v>
      </c>
      <c r="K80" s="35">
        <f t="shared" si="8"/>
        <v>0</v>
      </c>
      <c r="L80" s="35">
        <f t="shared" si="4"/>
        <v>73303149</v>
      </c>
      <c r="M80" s="35"/>
      <c r="N80" s="35">
        <f t="shared" si="5"/>
        <v>27713005.15</v>
      </c>
      <c r="O80" s="35">
        <f t="shared" si="9"/>
        <v>0</v>
      </c>
      <c r="P80" s="86">
        <f t="shared" si="6"/>
        <v>19657077.75</v>
      </c>
    </row>
    <row r="81" spans="1:16" ht="12.75">
      <c r="A81" s="39">
        <v>37622</v>
      </c>
      <c r="B81" s="35">
        <f t="shared" si="7"/>
        <v>96191817.62</v>
      </c>
      <c r="C81" s="35">
        <f t="shared" si="10"/>
        <v>0</v>
      </c>
      <c r="D81" s="35">
        <f t="shared" si="0"/>
        <v>75001555.13</v>
      </c>
      <c r="E81" s="35"/>
      <c r="F81" s="35">
        <f t="shared" si="1"/>
        <v>27104752.64</v>
      </c>
      <c r="G81" s="35">
        <f t="shared" si="11"/>
        <v>0</v>
      </c>
      <c r="H81" s="86">
        <f t="shared" si="2"/>
        <v>20348089.169999998</v>
      </c>
      <c r="I81" s="39">
        <v>37987</v>
      </c>
      <c r="J81" s="35">
        <f>SUM(J20:J31)</f>
        <v>105659467.57000001</v>
      </c>
      <c r="K81" s="35">
        <f t="shared" si="8"/>
        <v>0</v>
      </c>
      <c r="L81" s="35">
        <f t="shared" si="4"/>
        <v>77901522.59</v>
      </c>
      <c r="M81" s="35"/>
      <c r="N81" s="35">
        <f t="shared" si="5"/>
        <v>29568709.52</v>
      </c>
      <c r="O81" s="35">
        <f t="shared" si="9"/>
        <v>0</v>
      </c>
      <c r="P81" s="86">
        <f t="shared" si="6"/>
        <v>20748716.459999997</v>
      </c>
    </row>
    <row r="82" spans="1:16" ht="12.75">
      <c r="A82" s="39">
        <v>37653</v>
      </c>
      <c r="B82" s="35">
        <f t="shared" si="7"/>
        <v>95281039.69999999</v>
      </c>
      <c r="C82" s="35">
        <f t="shared" si="10"/>
        <v>0</v>
      </c>
      <c r="D82" s="35">
        <f t="shared" si="0"/>
        <v>74465236.84</v>
      </c>
      <c r="E82" s="35"/>
      <c r="F82" s="35">
        <f t="shared" si="1"/>
        <v>27215839.99</v>
      </c>
      <c r="G82" s="35">
        <f t="shared" si="11"/>
        <v>0</v>
      </c>
      <c r="H82" s="86">
        <f t="shared" si="2"/>
        <v>20211098.099999998</v>
      </c>
      <c r="I82" s="39">
        <v>38018</v>
      </c>
      <c r="J82" s="35">
        <f t="shared" si="3"/>
        <v>104078755.55000001</v>
      </c>
      <c r="K82" s="35">
        <f t="shared" si="8"/>
        <v>0</v>
      </c>
      <c r="L82" s="35">
        <f t="shared" si="4"/>
        <v>77328442.94</v>
      </c>
      <c r="M82" s="35"/>
      <c r="N82" s="35">
        <f t="shared" si="5"/>
        <v>29571866.09</v>
      </c>
      <c r="O82" s="35">
        <f t="shared" si="9"/>
        <v>0</v>
      </c>
      <c r="P82" s="86">
        <f t="shared" si="6"/>
        <v>20769149.16</v>
      </c>
    </row>
    <row r="83" spans="1:16" ht="12.75">
      <c r="A83" s="39">
        <v>37681</v>
      </c>
      <c r="B83" s="35">
        <f t="shared" si="7"/>
        <v>90981871.08</v>
      </c>
      <c r="C83" s="35">
        <f t="shared" si="10"/>
        <v>0</v>
      </c>
      <c r="D83" s="35">
        <f t="shared" si="0"/>
        <v>71390595.55</v>
      </c>
      <c r="E83" s="35"/>
      <c r="F83" s="35">
        <f t="shared" si="1"/>
        <v>26236069.1</v>
      </c>
      <c r="G83" s="35">
        <f t="shared" si="11"/>
        <v>0</v>
      </c>
      <c r="H83" s="86">
        <f t="shared" si="2"/>
        <v>19372020.1</v>
      </c>
      <c r="I83" s="39">
        <v>38047</v>
      </c>
      <c r="J83" s="35">
        <f t="shared" si="3"/>
        <v>102878294.79</v>
      </c>
      <c r="K83" s="35">
        <f t="shared" si="8"/>
        <v>0</v>
      </c>
      <c r="L83" s="35">
        <f t="shared" si="4"/>
        <v>76637075.75</v>
      </c>
      <c r="M83" s="35"/>
      <c r="N83" s="35">
        <f t="shared" si="5"/>
        <v>29322779.21</v>
      </c>
      <c r="O83" s="35">
        <f t="shared" si="9"/>
        <v>0</v>
      </c>
      <c r="P83" s="86">
        <f t="shared" si="6"/>
        <v>20674506.88</v>
      </c>
    </row>
    <row r="84" spans="1:16" ht="12.75">
      <c r="A84" s="39">
        <v>37712</v>
      </c>
      <c r="B84" s="35">
        <f t="shared" si="7"/>
        <v>91276169.06</v>
      </c>
      <c r="C84" s="35">
        <f t="shared" si="10"/>
        <v>0</v>
      </c>
      <c r="D84" s="35">
        <f t="shared" si="0"/>
        <v>71700228.57</v>
      </c>
      <c r="E84" s="35"/>
      <c r="F84" s="35">
        <f t="shared" si="1"/>
        <v>26934042.940000005</v>
      </c>
      <c r="G84" s="35">
        <f t="shared" si="11"/>
        <v>0</v>
      </c>
      <c r="H84" s="86">
        <f t="shared" si="2"/>
        <v>19879750.26</v>
      </c>
      <c r="I84" s="39">
        <v>38078</v>
      </c>
      <c r="J84" s="35">
        <f t="shared" si="3"/>
        <v>100928715.13000001</v>
      </c>
      <c r="K84" s="35">
        <f t="shared" si="8"/>
        <v>0</v>
      </c>
      <c r="L84" s="35">
        <f t="shared" si="4"/>
        <v>75113681.94</v>
      </c>
      <c r="M84" s="35"/>
      <c r="N84" s="35">
        <f t="shared" si="5"/>
        <v>28882224.02</v>
      </c>
      <c r="O84" s="35">
        <f t="shared" si="9"/>
        <v>0</v>
      </c>
      <c r="P84" s="86">
        <f t="shared" si="6"/>
        <v>20022896.59</v>
      </c>
    </row>
    <row r="85" spans="1:16" ht="12.75">
      <c r="A85" s="39">
        <v>37742</v>
      </c>
      <c r="B85" s="35">
        <f t="shared" si="7"/>
        <v>91562279.91</v>
      </c>
      <c r="C85" s="35">
        <f t="shared" si="10"/>
        <v>0</v>
      </c>
      <c r="D85" s="35">
        <f t="shared" si="0"/>
        <v>71939386.75</v>
      </c>
      <c r="E85" s="35"/>
      <c r="F85" s="35">
        <f t="shared" si="1"/>
        <v>27439003.600000005</v>
      </c>
      <c r="G85" s="35">
        <f t="shared" si="11"/>
        <v>0</v>
      </c>
      <c r="H85" s="86">
        <f t="shared" si="2"/>
        <v>19982728.21</v>
      </c>
      <c r="I85" s="39">
        <v>38108</v>
      </c>
      <c r="J85" s="35">
        <f t="shared" si="3"/>
        <v>98841891.5</v>
      </c>
      <c r="K85" s="35">
        <f t="shared" si="8"/>
        <v>0</v>
      </c>
      <c r="L85" s="35">
        <f t="shared" si="4"/>
        <v>73849044.86</v>
      </c>
      <c r="M85" s="35"/>
      <c r="N85" s="35">
        <f t="shared" si="5"/>
        <v>28354281.959999997</v>
      </c>
      <c r="O85" s="35">
        <f t="shared" si="9"/>
        <v>0</v>
      </c>
      <c r="P85" s="86">
        <f t="shared" si="6"/>
        <v>19810741.95</v>
      </c>
    </row>
    <row r="86" spans="1:16" ht="12.75">
      <c r="A86" s="39">
        <v>37773</v>
      </c>
      <c r="B86" s="35">
        <f t="shared" si="7"/>
        <v>91851505.64</v>
      </c>
      <c r="C86" s="35">
        <f t="shared" si="10"/>
        <v>0</v>
      </c>
      <c r="D86" s="35">
        <f t="shared" si="0"/>
        <v>71920785.99</v>
      </c>
      <c r="E86" s="35"/>
      <c r="F86" s="35">
        <f t="shared" si="1"/>
        <v>27422578.919999998</v>
      </c>
      <c r="G86" s="35">
        <f t="shared" si="11"/>
        <v>0</v>
      </c>
      <c r="H86" s="86">
        <f t="shared" si="2"/>
        <v>20048183.790000003</v>
      </c>
      <c r="I86" s="39">
        <v>38139</v>
      </c>
      <c r="J86" s="35">
        <f t="shared" si="3"/>
        <v>99375139.59</v>
      </c>
      <c r="K86" s="35">
        <f t="shared" si="8"/>
        <v>0</v>
      </c>
      <c r="L86" s="35">
        <f t="shared" si="4"/>
        <v>74188050.28</v>
      </c>
      <c r="M86" s="35"/>
      <c r="N86" s="35">
        <f t="shared" si="5"/>
        <v>28777001.52</v>
      </c>
      <c r="O86" s="35">
        <f t="shared" si="9"/>
        <v>0</v>
      </c>
      <c r="P86" s="86">
        <f t="shared" si="6"/>
        <v>19937484.62</v>
      </c>
    </row>
    <row r="87" spans="1:16" ht="12.75">
      <c r="A87" s="39">
        <v>37803</v>
      </c>
      <c r="B87" s="35">
        <f t="shared" si="7"/>
        <v>91702354.18</v>
      </c>
      <c r="C87" s="35">
        <f t="shared" si="10"/>
        <v>0</v>
      </c>
      <c r="D87" s="35">
        <f t="shared" si="0"/>
        <v>71834308.36999999</v>
      </c>
      <c r="E87" s="35"/>
      <c r="F87" s="35">
        <f t="shared" si="1"/>
        <v>27446864.55</v>
      </c>
      <c r="G87" s="35">
        <f t="shared" si="11"/>
        <v>0</v>
      </c>
      <c r="H87" s="86">
        <f t="shared" si="2"/>
        <v>19909992.250000004</v>
      </c>
      <c r="I87" s="39">
        <v>38169</v>
      </c>
      <c r="J87" s="35">
        <f>SUM(J26:J37)</f>
        <v>99202548.22000001</v>
      </c>
      <c r="K87" s="35">
        <f aca="true" t="shared" si="12" ref="K87:K94">SUM(K25:K36)</f>
        <v>0</v>
      </c>
      <c r="L87" s="35">
        <f aca="true" t="shared" si="13" ref="L87:L96">SUM(L26:L37)</f>
        <v>73960461.52</v>
      </c>
      <c r="M87" s="35"/>
      <c r="N87" s="35">
        <f aca="true" t="shared" si="14" ref="N87:N96">SUM(N26:N37)</f>
        <v>28798862.83</v>
      </c>
      <c r="O87" s="35">
        <f>SUM(O25:O36)</f>
        <v>0</v>
      </c>
      <c r="P87" s="86">
        <f aca="true" t="shared" si="15" ref="P87:P94">SUM(P26:P37)</f>
        <v>19994948.16</v>
      </c>
    </row>
    <row r="88" spans="1:16" ht="12.75">
      <c r="A88" s="39">
        <v>37834</v>
      </c>
      <c r="B88" s="35">
        <f aca="true" t="shared" si="16" ref="B88:B93">SUM(B27:B38)</f>
        <v>91514173.58999999</v>
      </c>
      <c r="C88" s="35">
        <f t="shared" si="10"/>
        <v>0</v>
      </c>
      <c r="D88" s="35">
        <f aca="true" t="shared" si="17" ref="D88:D96">SUM(D27:D38)</f>
        <v>71606143.55999999</v>
      </c>
      <c r="E88" s="35"/>
      <c r="F88" s="35">
        <f aca="true" t="shared" si="18" ref="F88:F96">SUM(F27:F38)</f>
        <v>27395666.36</v>
      </c>
      <c r="G88" s="35">
        <f t="shared" si="11"/>
        <v>0</v>
      </c>
      <c r="H88" s="86">
        <f aca="true" t="shared" si="19" ref="H88:H93">SUM(H27:H38)</f>
        <v>19973518.1</v>
      </c>
      <c r="I88" s="39">
        <v>38200</v>
      </c>
      <c r="J88" s="35">
        <f>SUM(J27:J38)</f>
        <v>99314179.58000001</v>
      </c>
      <c r="K88" s="35">
        <f t="shared" si="12"/>
        <v>0</v>
      </c>
      <c r="L88" s="35">
        <f t="shared" si="13"/>
        <v>74089136.65</v>
      </c>
      <c r="M88" s="35"/>
      <c r="N88" s="35">
        <f t="shared" si="14"/>
        <v>28835550.3</v>
      </c>
      <c r="O88" s="35">
        <f>SUM(O26:O37)</f>
        <v>0</v>
      </c>
      <c r="P88" s="86">
        <f t="shared" si="15"/>
        <v>19949918.6</v>
      </c>
    </row>
    <row r="89" spans="1:16" ht="12.75">
      <c r="A89" s="39">
        <v>37865</v>
      </c>
      <c r="B89" s="35">
        <f t="shared" si="16"/>
        <v>90909671.22</v>
      </c>
      <c r="C89" s="35">
        <f t="shared" si="10"/>
        <v>0</v>
      </c>
      <c r="D89" s="35">
        <f t="shared" si="17"/>
        <v>71023303.35000001</v>
      </c>
      <c r="E89" s="35"/>
      <c r="F89" s="35">
        <f t="shared" si="18"/>
        <v>27165603.87</v>
      </c>
      <c r="G89" s="35">
        <f t="shared" si="11"/>
        <v>0</v>
      </c>
      <c r="H89" s="86">
        <f t="shared" si="19"/>
        <v>19788568.990000002</v>
      </c>
      <c r="I89" s="39">
        <v>38231</v>
      </c>
      <c r="J89" s="35">
        <f>SUM(J28:J39)</f>
        <v>100287102.84</v>
      </c>
      <c r="K89" s="35">
        <f t="shared" si="12"/>
        <v>0</v>
      </c>
      <c r="L89" s="35">
        <f t="shared" si="13"/>
        <v>74831442.68</v>
      </c>
      <c r="M89" s="35"/>
      <c r="N89" s="35">
        <f t="shared" si="14"/>
        <v>29237477.68</v>
      </c>
      <c r="O89" s="35"/>
      <c r="P89" s="86">
        <f t="shared" si="15"/>
        <v>20217737.94</v>
      </c>
    </row>
    <row r="90" spans="1:16" ht="12.75">
      <c r="A90" s="39">
        <v>37895</v>
      </c>
      <c r="B90" s="35">
        <f t="shared" si="16"/>
        <v>89970121.93999997</v>
      </c>
      <c r="C90" s="35">
        <f t="shared" si="10"/>
        <v>0</v>
      </c>
      <c r="D90" s="35">
        <f t="shared" si="17"/>
        <v>70365198.75000001</v>
      </c>
      <c r="E90" s="35"/>
      <c r="F90" s="35">
        <f t="shared" si="18"/>
        <v>26556459.300000004</v>
      </c>
      <c r="G90" s="35">
        <f t="shared" si="11"/>
        <v>0</v>
      </c>
      <c r="H90" s="86">
        <f t="shared" si="19"/>
        <v>19365619.04</v>
      </c>
      <c r="I90" s="39">
        <v>38261</v>
      </c>
      <c r="J90" s="35">
        <f>SUM(J29:J40)</f>
        <v>100453546.21000001</v>
      </c>
      <c r="K90" s="35">
        <f t="shared" si="12"/>
        <v>0</v>
      </c>
      <c r="L90" s="35">
        <f t="shared" si="13"/>
        <v>74669092.22</v>
      </c>
      <c r="M90" s="35"/>
      <c r="N90" s="35">
        <f t="shared" si="14"/>
        <v>29615316.8</v>
      </c>
      <c r="O90" s="35"/>
      <c r="P90" s="86">
        <f t="shared" si="15"/>
        <v>20374865.900000002</v>
      </c>
    </row>
    <row r="91" spans="1:16" ht="12.75">
      <c r="A91" s="39">
        <v>37926</v>
      </c>
      <c r="B91" s="35">
        <f t="shared" si="16"/>
        <v>92898590.13</v>
      </c>
      <c r="C91" s="35">
        <f aca="true" t="shared" si="20" ref="C91:C96">SUM(C30:C62)</f>
        <v>0</v>
      </c>
      <c r="D91" s="35">
        <f t="shared" si="17"/>
        <v>71258792.49000001</v>
      </c>
      <c r="E91" s="35"/>
      <c r="F91" s="35">
        <f t="shared" si="18"/>
        <v>27192671.82</v>
      </c>
      <c r="G91" s="35">
        <f aca="true" t="shared" si="21" ref="G91:G96">SUM(G30:G62)</f>
        <v>0</v>
      </c>
      <c r="H91" s="35">
        <f t="shared" si="19"/>
        <v>19538923.36</v>
      </c>
      <c r="I91" s="39">
        <v>38292</v>
      </c>
      <c r="J91" s="35">
        <f>SUM(J30:J41)</f>
        <v>98829328.72999999</v>
      </c>
      <c r="K91" s="35">
        <f t="shared" si="12"/>
        <v>0</v>
      </c>
      <c r="L91" s="35">
        <f t="shared" si="13"/>
        <v>73669879.5</v>
      </c>
      <c r="M91" s="35"/>
      <c r="N91" s="35">
        <f t="shared" si="14"/>
        <v>29580533.979999997</v>
      </c>
      <c r="O91" s="35"/>
      <c r="P91" s="86">
        <f t="shared" si="15"/>
        <v>20231125.73</v>
      </c>
    </row>
    <row r="92" spans="1:16" ht="12.75">
      <c r="A92" s="39">
        <v>37956</v>
      </c>
      <c r="B92" s="35">
        <f t="shared" si="16"/>
        <v>95346805.35</v>
      </c>
      <c r="C92" s="35">
        <f t="shared" si="20"/>
        <v>0</v>
      </c>
      <c r="D92" s="35">
        <f t="shared" si="17"/>
        <v>73303149</v>
      </c>
      <c r="E92" s="35"/>
      <c r="F92" s="35">
        <f t="shared" si="18"/>
        <v>27713005.15</v>
      </c>
      <c r="G92" s="35">
        <f t="shared" si="21"/>
        <v>0</v>
      </c>
      <c r="H92" s="35">
        <f t="shared" si="19"/>
        <v>19657077.75</v>
      </c>
      <c r="I92" s="39">
        <v>38322</v>
      </c>
      <c r="J92" s="35">
        <f aca="true" t="shared" si="22" ref="J92:J97">SUM(J31:J42)</f>
        <v>99989009.96000001</v>
      </c>
      <c r="K92" s="35">
        <f t="shared" si="12"/>
        <v>0</v>
      </c>
      <c r="L92" s="35">
        <f t="shared" si="13"/>
        <v>74453867.21000001</v>
      </c>
      <c r="M92" s="35"/>
      <c r="N92" s="35">
        <f t="shared" si="14"/>
        <v>30693640.560000006</v>
      </c>
      <c r="O92" s="35"/>
      <c r="P92" s="86">
        <f t="shared" si="15"/>
        <v>20881058.82</v>
      </c>
    </row>
    <row r="93" spans="1:16" ht="12.75">
      <c r="A93" s="39">
        <v>37987</v>
      </c>
      <c r="B93" s="35">
        <f t="shared" si="16"/>
        <v>105659467.57000001</v>
      </c>
      <c r="C93" s="35">
        <f t="shared" si="20"/>
        <v>0</v>
      </c>
      <c r="D93" s="35">
        <f t="shared" si="17"/>
        <v>77901522.59</v>
      </c>
      <c r="E93" s="35"/>
      <c r="F93" s="35">
        <f t="shared" si="18"/>
        <v>29568709.52</v>
      </c>
      <c r="G93" s="35">
        <f t="shared" si="21"/>
        <v>0</v>
      </c>
      <c r="H93" s="35">
        <f t="shared" si="19"/>
        <v>20748716.459999997</v>
      </c>
      <c r="I93" s="39">
        <v>38353</v>
      </c>
      <c r="J93" s="35">
        <f t="shared" si="22"/>
        <v>99625342.36</v>
      </c>
      <c r="K93" s="35">
        <f t="shared" si="12"/>
        <v>0</v>
      </c>
      <c r="L93" s="35">
        <f t="shared" si="13"/>
        <v>73856038.03999999</v>
      </c>
      <c r="M93" s="35"/>
      <c r="N93" s="35">
        <f t="shared" si="14"/>
        <v>30428672.740000002</v>
      </c>
      <c r="O93" s="35"/>
      <c r="P93" s="86">
        <f t="shared" si="15"/>
        <v>20773928.799999997</v>
      </c>
    </row>
    <row r="94" spans="1:16" ht="12.75">
      <c r="A94" s="39">
        <v>38018</v>
      </c>
      <c r="B94" s="35">
        <f>SUM(B33:B44)</f>
        <v>104078755.55000001</v>
      </c>
      <c r="C94" s="35">
        <f t="shared" si="20"/>
        <v>0</v>
      </c>
      <c r="D94" s="35">
        <f t="shared" si="17"/>
        <v>77328442.94</v>
      </c>
      <c r="E94" s="35"/>
      <c r="F94" s="35">
        <f t="shared" si="18"/>
        <v>29571866.09</v>
      </c>
      <c r="G94" s="35">
        <f t="shared" si="21"/>
        <v>0</v>
      </c>
      <c r="H94" s="35">
        <f>SUM(H33:H44)</f>
        <v>20769149.16</v>
      </c>
      <c r="I94" s="39">
        <v>38384</v>
      </c>
      <c r="J94" s="35">
        <f t="shared" si="22"/>
        <v>100684140.33999999</v>
      </c>
      <c r="K94" s="35">
        <f t="shared" si="12"/>
        <v>0</v>
      </c>
      <c r="L94" s="35">
        <f t="shared" si="13"/>
        <v>74668136.92999999</v>
      </c>
      <c r="M94" s="35"/>
      <c r="N94" s="35">
        <f t="shared" si="14"/>
        <v>31010318.119999997</v>
      </c>
      <c r="O94" s="35"/>
      <c r="P94" s="86">
        <f t="shared" si="15"/>
        <v>21000139.46</v>
      </c>
    </row>
    <row r="95" spans="1:16" ht="12.75">
      <c r="A95" s="39">
        <v>38047</v>
      </c>
      <c r="B95" s="35">
        <f>SUM(B34:B45)</f>
        <v>102878294.79</v>
      </c>
      <c r="C95" s="35">
        <f t="shared" si="20"/>
        <v>0</v>
      </c>
      <c r="D95" s="35">
        <f t="shared" si="17"/>
        <v>76637075.75</v>
      </c>
      <c r="E95" s="35"/>
      <c r="F95" s="35">
        <f t="shared" si="18"/>
        <v>29322779.21</v>
      </c>
      <c r="G95" s="35">
        <f t="shared" si="21"/>
        <v>0</v>
      </c>
      <c r="H95" s="35">
        <f>SUM(H34:H45)</f>
        <v>20674506.88</v>
      </c>
      <c r="I95" s="39">
        <v>38412</v>
      </c>
      <c r="J95" s="35">
        <f t="shared" si="22"/>
        <v>102351688.98</v>
      </c>
      <c r="K95" s="35"/>
      <c r="L95" s="35">
        <f t="shared" si="13"/>
        <v>75616729.15</v>
      </c>
      <c r="M95" s="35"/>
      <c r="N95" s="35">
        <f t="shared" si="14"/>
        <v>31786836.189999998</v>
      </c>
      <c r="O95" s="35"/>
      <c r="P95" s="86">
        <f aca="true" t="shared" si="23" ref="P95:P103">SUM(P34:P45)</f>
        <v>21347049.66</v>
      </c>
    </row>
    <row r="96" spans="1:16" ht="12.75">
      <c r="A96" s="39">
        <v>38078</v>
      </c>
      <c r="B96" s="35">
        <f>SUM(B35:B46)</f>
        <v>100928715.13000001</v>
      </c>
      <c r="C96" s="35">
        <f t="shared" si="20"/>
        <v>0</v>
      </c>
      <c r="D96" s="35">
        <f t="shared" si="17"/>
        <v>75113681.94</v>
      </c>
      <c r="E96" s="35"/>
      <c r="F96" s="35">
        <f t="shared" si="18"/>
        <v>28882224.02</v>
      </c>
      <c r="G96" s="35">
        <f t="shared" si="21"/>
        <v>0</v>
      </c>
      <c r="H96" s="35">
        <f>SUM(H35:H46)</f>
        <v>20022896.59</v>
      </c>
      <c r="I96" s="39">
        <v>38443</v>
      </c>
      <c r="J96" s="35">
        <f t="shared" si="22"/>
        <v>105858601.15</v>
      </c>
      <c r="K96" s="35"/>
      <c r="L96" s="35">
        <f t="shared" si="13"/>
        <v>77463512.92000002</v>
      </c>
      <c r="M96" s="35"/>
      <c r="N96" s="35">
        <f t="shared" si="14"/>
        <v>33087089.25</v>
      </c>
      <c r="O96" s="35"/>
      <c r="P96" s="86">
        <f t="shared" si="23"/>
        <v>22143416.21</v>
      </c>
    </row>
    <row r="97" spans="1:16" ht="12.75">
      <c r="A97" s="39">
        <v>38108</v>
      </c>
      <c r="B97" s="35">
        <f>SUM(B36:B47)</f>
        <v>98841891.5</v>
      </c>
      <c r="C97" s="35"/>
      <c r="D97" s="35">
        <f>SUM(D36:D47)</f>
        <v>73849044.86</v>
      </c>
      <c r="E97" s="35"/>
      <c r="F97" s="35">
        <f>SUM(F36:F47)</f>
        <v>28354281.959999997</v>
      </c>
      <c r="G97" s="35"/>
      <c r="H97" s="35">
        <f>SUM(H36:H47)</f>
        <v>19810741.95</v>
      </c>
      <c r="I97" s="39">
        <v>38473</v>
      </c>
      <c r="J97" s="35">
        <f t="shared" si="22"/>
        <v>105328814.33000001</v>
      </c>
      <c r="K97" s="35"/>
      <c r="L97" s="35">
        <f>SUM(L36:L47)</f>
        <v>77376131.36999999</v>
      </c>
      <c r="M97" s="35"/>
      <c r="N97" s="35">
        <f>SUM(N36:N47)</f>
        <v>33035541.42</v>
      </c>
      <c r="O97" s="35"/>
      <c r="P97" s="86">
        <f t="shared" si="23"/>
        <v>21975609.830000002</v>
      </c>
    </row>
    <row r="98" spans="1:16" ht="12.75">
      <c r="A98" s="39">
        <v>38139</v>
      </c>
      <c r="B98" s="35">
        <f>SUM(B37:B62)</f>
        <v>205333701.13</v>
      </c>
      <c r="C98" s="35"/>
      <c r="D98" s="35">
        <f>SUM(D37:D62)</f>
        <v>151953150.97000003</v>
      </c>
      <c r="E98" s="35"/>
      <c r="F98" s="35">
        <f>SUM(F37:F62)</f>
        <v>62128682.120000005</v>
      </c>
      <c r="G98" s="35"/>
      <c r="H98" s="35">
        <f>SUM(H37:H62)</f>
        <v>42173864.04000001</v>
      </c>
      <c r="I98" s="39">
        <v>38504</v>
      </c>
      <c r="J98" s="35">
        <f>SUM(J37:J48)</f>
        <v>105958561.54</v>
      </c>
      <c r="K98" s="35"/>
      <c r="L98" s="35">
        <f>SUM(L37:L48)</f>
        <v>77765100.69</v>
      </c>
      <c r="M98" s="35"/>
      <c r="N98" s="35">
        <f>SUM(N37:N48)</f>
        <v>33351680.6</v>
      </c>
      <c r="O98" s="35"/>
      <c r="P98" s="35">
        <f>SUM(P37:P48)</f>
        <v>22236379.42</v>
      </c>
    </row>
    <row r="99" spans="1:16" ht="12.75">
      <c r="A99" s="39">
        <v>38169</v>
      </c>
      <c r="B99" s="35">
        <f aca="true" t="shared" si="24" ref="B99:B105">SUM(B38:B49)</f>
        <v>99202548.22000001</v>
      </c>
      <c r="C99" s="35">
        <f>SUM(C37:C48)</f>
        <v>0</v>
      </c>
      <c r="D99" s="35">
        <f aca="true" t="shared" si="25" ref="D99:D105">SUM(D38:D49)</f>
        <v>73960461.52</v>
      </c>
      <c r="E99" s="35"/>
      <c r="F99" s="35">
        <f aca="true" t="shared" si="26" ref="F99:F105">SUM(F38:F49)</f>
        <v>28798862.83</v>
      </c>
      <c r="G99" s="35">
        <f>SUM(G37:G48)</f>
        <v>0</v>
      </c>
      <c r="H99" s="35">
        <f aca="true" t="shared" si="27" ref="H99:H105">SUM(H38:H49)</f>
        <v>19994948.16</v>
      </c>
      <c r="I99" s="39">
        <v>38534</v>
      </c>
      <c r="J99" s="35">
        <f aca="true" t="shared" si="28" ref="J99:J105">SUM(J38:J49)</f>
        <v>106303894.15</v>
      </c>
      <c r="K99" s="35"/>
      <c r="L99" s="35">
        <f aca="true" t="shared" si="29" ref="L99:L105">SUM(L38:L49)</f>
        <v>78002303.78999999</v>
      </c>
      <c r="M99" s="35"/>
      <c r="N99" s="35">
        <f aca="true" t="shared" si="30" ref="N99:N105">SUM(N38:N49)</f>
        <v>33480841.85</v>
      </c>
      <c r="O99" s="35"/>
      <c r="P99" s="86">
        <f t="shared" si="23"/>
        <v>22303947.869999997</v>
      </c>
    </row>
    <row r="100" spans="1:16" ht="12.75">
      <c r="A100" s="39">
        <v>38200</v>
      </c>
      <c r="B100" s="35">
        <f t="shared" si="24"/>
        <v>99314179.58000001</v>
      </c>
      <c r="C100" s="35"/>
      <c r="D100" s="35">
        <f t="shared" si="25"/>
        <v>74089136.65</v>
      </c>
      <c r="E100" s="35"/>
      <c r="F100" s="35">
        <f t="shared" si="26"/>
        <v>28835550.3</v>
      </c>
      <c r="G100" s="35"/>
      <c r="H100" s="35">
        <f t="shared" si="27"/>
        <v>19949918.6</v>
      </c>
      <c r="I100" s="39">
        <v>38565</v>
      </c>
      <c r="J100" s="35">
        <f t="shared" si="28"/>
        <v>106717295.07000001</v>
      </c>
      <c r="K100" s="35"/>
      <c r="L100" s="35">
        <f t="shared" si="29"/>
        <v>78253748.79</v>
      </c>
      <c r="M100" s="35"/>
      <c r="N100" s="35">
        <f t="shared" si="30"/>
        <v>33613022.92</v>
      </c>
      <c r="O100" s="35"/>
      <c r="P100" s="86">
        <f t="shared" si="23"/>
        <v>22400131.719999995</v>
      </c>
    </row>
    <row r="101" spans="1:16" ht="12.75">
      <c r="A101" s="39">
        <v>38231</v>
      </c>
      <c r="B101" s="35">
        <f t="shared" si="24"/>
        <v>100287102.84</v>
      </c>
      <c r="C101" s="35"/>
      <c r="D101" s="35">
        <f t="shared" si="25"/>
        <v>74831442.68</v>
      </c>
      <c r="E101" s="35"/>
      <c r="F101" s="35">
        <f t="shared" si="26"/>
        <v>29237477.68</v>
      </c>
      <c r="G101" s="35"/>
      <c r="H101" s="35">
        <f t="shared" si="27"/>
        <v>20217737.94</v>
      </c>
      <c r="I101" s="39">
        <v>38596</v>
      </c>
      <c r="J101" s="35">
        <f t="shared" si="28"/>
        <v>107105791.08000001</v>
      </c>
      <c r="K101" s="35"/>
      <c r="L101" s="35">
        <f t="shared" si="29"/>
        <v>78627504.48</v>
      </c>
      <c r="M101" s="35"/>
      <c r="N101" s="35">
        <f t="shared" si="30"/>
        <v>33772628.17</v>
      </c>
      <c r="O101" s="35"/>
      <c r="P101" s="86">
        <f t="shared" si="23"/>
        <v>22500382.099999998</v>
      </c>
    </row>
    <row r="102" spans="1:16" ht="12.75">
      <c r="A102" s="39">
        <v>38261</v>
      </c>
      <c r="B102" s="35">
        <f t="shared" si="24"/>
        <v>100453546.21000001</v>
      </c>
      <c r="C102" s="35"/>
      <c r="D102" s="35">
        <f t="shared" si="25"/>
        <v>74669092.22</v>
      </c>
      <c r="E102" s="35"/>
      <c r="F102" s="35">
        <f t="shared" si="26"/>
        <v>29615316.8</v>
      </c>
      <c r="G102" s="35"/>
      <c r="H102" s="35">
        <f t="shared" si="27"/>
        <v>20374865.900000002</v>
      </c>
      <c r="I102" s="39">
        <v>38626</v>
      </c>
      <c r="J102" s="35">
        <f t="shared" si="28"/>
        <v>107650094.72000003</v>
      </c>
      <c r="K102" s="35"/>
      <c r="L102" s="35">
        <f t="shared" si="29"/>
        <v>79392690.78999999</v>
      </c>
      <c r="M102" s="35"/>
      <c r="N102" s="35">
        <f t="shared" si="30"/>
        <v>33949958.410000004</v>
      </c>
      <c r="O102" s="35"/>
      <c r="P102" s="86">
        <f t="shared" si="23"/>
        <v>22473292.81</v>
      </c>
    </row>
    <row r="103" spans="1:16" ht="12.75">
      <c r="A103" s="39">
        <v>38292</v>
      </c>
      <c r="B103" s="35">
        <f t="shared" si="24"/>
        <v>98829328.72999999</v>
      </c>
      <c r="C103" s="35"/>
      <c r="D103" s="35">
        <f t="shared" si="25"/>
        <v>73669879.5</v>
      </c>
      <c r="E103" s="35"/>
      <c r="F103" s="35">
        <f t="shared" si="26"/>
        <v>29580533.979999997</v>
      </c>
      <c r="G103" s="35"/>
      <c r="H103" s="35">
        <f t="shared" si="27"/>
        <v>20231125.73</v>
      </c>
      <c r="I103" s="39">
        <v>38657</v>
      </c>
      <c r="J103" s="35">
        <f t="shared" si="28"/>
        <v>112814640.9</v>
      </c>
      <c r="K103" s="35"/>
      <c r="L103" s="35">
        <f t="shared" si="29"/>
        <v>82330530.84</v>
      </c>
      <c r="M103" s="35"/>
      <c r="N103" s="35">
        <f t="shared" si="30"/>
        <v>35745782.95</v>
      </c>
      <c r="O103" s="35"/>
      <c r="P103" s="86">
        <f t="shared" si="23"/>
        <v>23747096.61</v>
      </c>
    </row>
    <row r="104" spans="1:16" ht="12.75">
      <c r="A104" s="39">
        <v>38322</v>
      </c>
      <c r="B104" s="35">
        <f t="shared" si="24"/>
        <v>99989009.96000001</v>
      </c>
      <c r="C104" s="35"/>
      <c r="D104" s="35">
        <f t="shared" si="25"/>
        <v>74453867.21000001</v>
      </c>
      <c r="E104" s="35"/>
      <c r="F104" s="35">
        <f t="shared" si="26"/>
        <v>30693640.560000006</v>
      </c>
      <c r="G104" s="35"/>
      <c r="H104" s="35">
        <f t="shared" si="27"/>
        <v>20881058.82</v>
      </c>
      <c r="I104" s="39">
        <v>38687</v>
      </c>
      <c r="J104" s="35">
        <f t="shared" si="28"/>
        <v>121399005.56999998</v>
      </c>
      <c r="K104" s="35"/>
      <c r="L104" s="35">
        <f t="shared" si="29"/>
        <v>89408451.32000001</v>
      </c>
      <c r="M104" s="35"/>
      <c r="N104" s="35">
        <f t="shared" si="30"/>
        <v>37888959.5</v>
      </c>
      <c r="O104" s="35"/>
      <c r="P104" s="86">
        <f aca="true" t="shared" si="31" ref="P104:P110">SUM(P43:P54)</f>
        <v>25185939.75</v>
      </c>
    </row>
    <row r="105" spans="1:16" ht="12.75">
      <c r="A105" s="39">
        <v>38353</v>
      </c>
      <c r="B105" s="35">
        <f t="shared" si="24"/>
        <v>99625342.36</v>
      </c>
      <c r="C105" s="35"/>
      <c r="D105" s="35">
        <f t="shared" si="25"/>
        <v>73856038.03999999</v>
      </c>
      <c r="E105" s="35"/>
      <c r="F105" s="35">
        <f t="shared" si="26"/>
        <v>30428672.740000002</v>
      </c>
      <c r="G105" s="35"/>
      <c r="H105" s="35">
        <f t="shared" si="27"/>
        <v>20773928.799999997</v>
      </c>
      <c r="I105" s="39">
        <v>38718</v>
      </c>
      <c r="J105" s="35">
        <f t="shared" si="28"/>
        <v>116853045.76999998</v>
      </c>
      <c r="K105" s="35"/>
      <c r="L105" s="35">
        <f t="shared" si="29"/>
        <v>88067687.53</v>
      </c>
      <c r="M105" s="35"/>
      <c r="N105" s="35">
        <f t="shared" si="30"/>
        <v>37499472.349999994</v>
      </c>
      <c r="O105" s="35"/>
      <c r="P105" s="86">
        <f t="shared" si="31"/>
        <v>24973843.62</v>
      </c>
    </row>
    <row r="106" spans="1:16" ht="12.75">
      <c r="A106" s="39">
        <v>38384</v>
      </c>
      <c r="B106" s="35">
        <f>SUM(B45:B56)</f>
        <v>100684140.33999999</v>
      </c>
      <c r="C106" s="35"/>
      <c r="D106" s="35">
        <f>SUM(D45:D56)</f>
        <v>74668136.92999999</v>
      </c>
      <c r="E106" s="35"/>
      <c r="F106" s="35">
        <f>SUM(F45:F56)</f>
        <v>31010318.119999997</v>
      </c>
      <c r="G106" s="35"/>
      <c r="H106" s="35">
        <f>SUM(H45:H56)</f>
        <v>21000139.46</v>
      </c>
      <c r="I106" s="39">
        <v>38749</v>
      </c>
      <c r="J106" s="35">
        <f>SUM(J45:J56)</f>
        <v>127919425.5</v>
      </c>
      <c r="K106" s="35"/>
      <c r="L106" s="35">
        <f>SUM(L45:L56)</f>
        <v>94330739.33000001</v>
      </c>
      <c r="M106" s="35"/>
      <c r="N106" s="35">
        <f>SUM(N45:N56)</f>
        <v>40525460.529999994</v>
      </c>
      <c r="O106" s="35"/>
      <c r="P106" s="86">
        <f t="shared" si="31"/>
        <v>26608683.25</v>
      </c>
    </row>
    <row r="107" spans="1:16" ht="12.75">
      <c r="A107" s="39">
        <v>38412</v>
      </c>
      <c r="B107" s="35">
        <f>SUM(B46:B57)</f>
        <v>102351688.98</v>
      </c>
      <c r="C107" s="35"/>
      <c r="D107" s="35">
        <f>SUM(D46:D57)</f>
        <v>75616729.15</v>
      </c>
      <c r="E107" s="35"/>
      <c r="F107" s="35">
        <f>SUM(F46:F57)</f>
        <v>31786836.189999998</v>
      </c>
      <c r="G107" s="35"/>
      <c r="H107" s="35">
        <f>SUM(H46:H57)</f>
        <v>21347049.66</v>
      </c>
      <c r="I107" s="39">
        <v>38777</v>
      </c>
      <c r="J107" s="35">
        <f>SUM(J46:J57)</f>
        <v>132906645.23</v>
      </c>
      <c r="K107" s="35"/>
      <c r="L107" s="35">
        <f>SUM(L46:L57)</f>
        <v>98489239</v>
      </c>
      <c r="M107" s="35"/>
      <c r="N107" s="35">
        <f>SUM(N46:N57)</f>
        <v>42248481.49000001</v>
      </c>
      <c r="O107" s="35"/>
      <c r="P107" s="86">
        <f t="shared" si="31"/>
        <v>27655859.67</v>
      </c>
    </row>
    <row r="108" spans="1:16" ht="12.75">
      <c r="A108" s="39">
        <v>38443</v>
      </c>
      <c r="B108" s="35">
        <f>SUM(B47:B58)</f>
        <v>105858601.15</v>
      </c>
      <c r="C108" s="35"/>
      <c r="D108" s="35">
        <f>SUM(D47:D58)</f>
        <v>77463512.92000002</v>
      </c>
      <c r="E108" s="35"/>
      <c r="F108" s="35">
        <f>SUM(F47:F58)</f>
        <v>33087089.25</v>
      </c>
      <c r="G108" s="35"/>
      <c r="H108" s="35">
        <f>SUM(H47:H58)</f>
        <v>22143416.21</v>
      </c>
      <c r="I108" s="39">
        <v>38808</v>
      </c>
      <c r="J108" s="35">
        <f>SUM(J47:J58)</f>
        <v>134159319.62</v>
      </c>
      <c r="K108" s="35"/>
      <c r="L108" s="35">
        <f>SUM(L47:L58)</f>
        <v>100478098.25999999</v>
      </c>
      <c r="M108" s="35"/>
      <c r="N108" s="35">
        <f>SUM(N47:N58)</f>
        <v>42673673.46000001</v>
      </c>
      <c r="O108" s="35"/>
      <c r="P108" s="86">
        <f t="shared" si="31"/>
        <v>27854163.850000005</v>
      </c>
    </row>
    <row r="109" spans="1:16" ht="12.75">
      <c r="A109" s="39">
        <v>38473</v>
      </c>
      <c r="B109" s="35">
        <f>SUM(B48:B59)</f>
        <v>105328814.33000001</v>
      </c>
      <c r="C109" s="35"/>
      <c r="D109" s="35">
        <f>SUM(D48:D59)</f>
        <v>77376131.36999999</v>
      </c>
      <c r="E109" s="35"/>
      <c r="F109" s="35">
        <f>SUM(F48:F59)</f>
        <v>33035541.42</v>
      </c>
      <c r="G109" s="35"/>
      <c r="H109" s="35">
        <f>SUM(H48:H59)</f>
        <v>21975609.830000002</v>
      </c>
      <c r="I109" s="39">
        <v>38838</v>
      </c>
      <c r="J109" s="35">
        <f>SUM(J48:J59)</f>
        <v>135451014</v>
      </c>
      <c r="K109" s="35"/>
      <c r="L109" s="35">
        <f>SUM(L48:L59)</f>
        <v>101491155.45999998</v>
      </c>
      <c r="M109" s="35"/>
      <c r="N109" s="35">
        <f>SUM(N48:N59)</f>
        <v>42623973.34</v>
      </c>
      <c r="O109" s="35"/>
      <c r="P109" s="86">
        <f t="shared" si="31"/>
        <v>27955493.80000001</v>
      </c>
    </row>
    <row r="110" spans="1:16" ht="12.75">
      <c r="A110" s="39">
        <v>38504</v>
      </c>
      <c r="B110" s="35">
        <f>SUM(B49:B60)</f>
        <v>105958561.54</v>
      </c>
      <c r="C110" s="35"/>
      <c r="D110" s="35">
        <f>SUM(D49:D60)</f>
        <v>77765100.69</v>
      </c>
      <c r="E110" s="35"/>
      <c r="F110" s="35">
        <f>SUM(F49:F60)</f>
        <v>33351680.6</v>
      </c>
      <c r="G110" s="35"/>
      <c r="H110" s="35">
        <f>SUM(H49:H60)</f>
        <v>22236379.42</v>
      </c>
      <c r="I110" s="39">
        <v>38869</v>
      </c>
      <c r="J110" s="35">
        <f>SUM(J49:J60)</f>
        <v>135573333.01</v>
      </c>
      <c r="K110" s="35"/>
      <c r="L110" s="35">
        <f>SUM(L49:L60)</f>
        <v>101668162.92999998</v>
      </c>
      <c r="M110" s="35"/>
      <c r="N110" s="35">
        <f>SUM(N49:N60)</f>
        <v>42469383.120000005</v>
      </c>
      <c r="O110" s="35"/>
      <c r="P110" s="86">
        <f t="shared" si="31"/>
        <v>27968014.740000006</v>
      </c>
    </row>
    <row r="111" spans="1:16" ht="12.75">
      <c r="A111" s="39"/>
      <c r="B111" s="35"/>
      <c r="C111" s="35"/>
      <c r="D111" s="35"/>
      <c r="E111" s="35"/>
      <c r="F111" s="35"/>
      <c r="G111" s="35"/>
      <c r="H111" s="35"/>
      <c r="I111" s="39"/>
      <c r="J111" s="35"/>
      <c r="K111" s="35"/>
      <c r="L111" s="35"/>
      <c r="M111" s="35"/>
      <c r="N111" s="35"/>
      <c r="O111" s="35"/>
      <c r="P111" s="86"/>
    </row>
    <row r="112" spans="1:16" ht="12.75">
      <c r="A112" s="61"/>
      <c r="B112" s="8"/>
      <c r="C112" s="8"/>
      <c r="D112" s="8"/>
      <c r="E112" s="8"/>
      <c r="F112" s="8"/>
      <c r="G112" s="8"/>
      <c r="H112" s="44"/>
      <c r="I112" s="61"/>
      <c r="J112" s="8"/>
      <c r="K112" s="8"/>
      <c r="L112" s="8"/>
      <c r="M112" s="8"/>
      <c r="N112" s="8"/>
      <c r="O112" s="8"/>
      <c r="P112" s="44"/>
    </row>
    <row r="114" spans="1:14" ht="12.75">
      <c r="A114" s="126" t="s">
        <v>14</v>
      </c>
      <c r="B114" s="127" t="s">
        <v>37</v>
      </c>
      <c r="C114" s="128"/>
      <c r="D114" s="127"/>
      <c r="E114" s="128"/>
      <c r="F114" s="127"/>
      <c r="G114" s="128"/>
      <c r="H114" s="127"/>
      <c r="I114" s="129"/>
      <c r="J114" s="117"/>
      <c r="L114" s="117"/>
      <c r="N114" s="117"/>
    </row>
    <row r="115" spans="2:14" ht="12.75">
      <c r="B115" s="127" t="s">
        <v>38</v>
      </c>
      <c r="C115" s="128"/>
      <c r="D115" s="127"/>
      <c r="E115" s="128"/>
      <c r="F115" s="127"/>
      <c r="G115" s="128"/>
      <c r="H115" s="127"/>
      <c r="I115" s="129"/>
      <c r="J115" s="117"/>
      <c r="L115" s="117"/>
      <c r="N115" s="117"/>
    </row>
    <row r="116" spans="2:14" ht="12.75">
      <c r="B116" s="127" t="s">
        <v>39</v>
      </c>
      <c r="C116" s="128"/>
      <c r="D116" s="127"/>
      <c r="E116" s="128"/>
      <c r="F116" s="127"/>
      <c r="G116" s="128"/>
      <c r="H116" s="127"/>
      <c r="I116" s="129"/>
      <c r="J116" s="117"/>
      <c r="L116" s="117"/>
      <c r="N116" s="117"/>
    </row>
    <row r="117" spans="2:14" ht="12.75">
      <c r="B117" s="127" t="s">
        <v>40</v>
      </c>
      <c r="C117" s="128"/>
      <c r="D117" s="127"/>
      <c r="E117" s="128"/>
      <c r="F117" s="127"/>
      <c r="G117" s="128"/>
      <c r="H117" s="127"/>
      <c r="I117" s="129"/>
      <c r="J117" s="117"/>
      <c r="L117" s="117"/>
      <c r="N117" s="117"/>
    </row>
    <row r="118" spans="2:9" ht="12.75">
      <c r="B118" s="127" t="s">
        <v>41</v>
      </c>
      <c r="C118" s="128"/>
      <c r="D118" s="128"/>
      <c r="E118" s="128"/>
      <c r="F118" s="128"/>
      <c r="G118" s="128"/>
      <c r="H118" s="128"/>
      <c r="I118" s="128"/>
    </row>
    <row r="119" spans="2:9" ht="12.75">
      <c r="B119" s="127" t="s">
        <v>42</v>
      </c>
      <c r="C119" s="128"/>
      <c r="D119" s="128"/>
      <c r="E119" s="128"/>
      <c r="F119" s="128"/>
      <c r="G119" s="128"/>
      <c r="H119" s="128"/>
      <c r="I119" s="128"/>
    </row>
    <row r="120" spans="2:9" ht="12.75">
      <c r="B120" s="127" t="s">
        <v>43</v>
      </c>
      <c r="C120" s="128"/>
      <c r="D120" s="128"/>
      <c r="E120" s="128"/>
      <c r="F120" s="128"/>
      <c r="G120" s="128"/>
      <c r="H120" s="128"/>
      <c r="I120" s="128"/>
    </row>
    <row r="121" spans="2:9" ht="12.75">
      <c r="B121" s="127" t="s">
        <v>44</v>
      </c>
      <c r="C121" s="128"/>
      <c r="D121" s="128"/>
      <c r="E121" s="128"/>
      <c r="F121" s="128"/>
      <c r="G121" s="128"/>
      <c r="H121" s="128"/>
      <c r="I121" s="128"/>
    </row>
    <row r="123" spans="1:6" ht="12.75">
      <c r="A123" s="119" t="s">
        <v>45</v>
      </c>
      <c r="B123" s="120" t="s">
        <v>46</v>
      </c>
      <c r="C123" s="119"/>
      <c r="D123" s="119"/>
      <c r="E123" s="119"/>
      <c r="F123" s="119"/>
    </row>
  </sheetData>
  <mergeCells count="12">
    <mergeCell ref="B64:D64"/>
    <mergeCell ref="F64:H64"/>
    <mergeCell ref="I63:P63"/>
    <mergeCell ref="J64:L64"/>
    <mergeCell ref="N64:P64"/>
    <mergeCell ref="A63:H63"/>
    <mergeCell ref="I1:P1"/>
    <mergeCell ref="J2:L2"/>
    <mergeCell ref="N2:P2"/>
    <mergeCell ref="B2:D2"/>
    <mergeCell ref="F2:H2"/>
    <mergeCell ref="A1:H1"/>
  </mergeCells>
  <printOptions horizontalCentered="1"/>
  <pageMargins left="0.75" right="0.75" top="1" bottom="1" header="0.5" footer="0.5"/>
  <pageSetup fitToHeight="1" fitToWidth="1" horizontalDpi="600" verticalDpi="600" orientation="portrait" scale="55" r:id="rId1"/>
  <headerFooter alignWithMargins="0">
    <oddHeader>&amp;LCY 12 months Customer Gas Revenue</oddHeader>
    <oddFooter>&amp;L&amp;"Arial,Italic"&amp;7G:\Accounting\ga\AR Reserve\AR Reserve FY03\Gas AR Reserve FY03\&amp;F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Cascade natural Gas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LMcKiern</dc:creator>
  <cp:keywords/>
  <dc:description/>
  <cp:lastModifiedBy>ckautzma</cp:lastModifiedBy>
  <cp:lastPrinted>2005-04-07T21:54:40Z</cp:lastPrinted>
  <dcterms:created xsi:type="dcterms:W3CDTF">1999-04-06T22:04:03Z</dcterms:created>
  <dcterms:modified xsi:type="dcterms:W3CDTF">2006-07-26T22:34:21Z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060256</vt:lpwstr>
  </property>
  <property fmtid="{D5CDD505-2E9C-101B-9397-08002B2CF9AE}" pid="6" name="IsConfidenti">
    <vt:lpwstr>0</vt:lpwstr>
  </property>
  <property fmtid="{D5CDD505-2E9C-101B-9397-08002B2CF9AE}" pid="7" name="Dat">
    <vt:lpwstr>2006-10-10T00:00:00Z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2006-02-14T00:00:00Z</vt:lpwstr>
  </property>
  <property fmtid="{D5CDD505-2E9C-101B-9397-08002B2CF9AE}" pid="10" name="Pref">
    <vt:lpwstr>UG</vt:lpwstr>
  </property>
  <property fmtid="{D5CDD505-2E9C-101B-9397-08002B2CF9AE}" pid="11" name="CaseCompanyNam">
    <vt:lpwstr>Cascade Natural Gas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