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716" yWindow="12" windowWidth="20376" windowHeight="12816" tabRatio="684" firstSheet="1" activeTab="1"/>
  </bookViews>
  <sheets>
    <sheet name="Summary Sheet" sheetId="3" r:id="rId1"/>
    <sheet name="Sales &amp; Revenue Adj." sheetId="2" r:id="rId2"/>
    <sheet name="Temp Adj. by Schedule" sheetId="14" r:id="rId3"/>
    <sheet name="Normalized Total Usage" sheetId="9" r:id="rId4"/>
    <sheet name="Actual Total Usage" sheetId="6" r:id="rId5"/>
    <sheet name="SAP BW Actual Usage" sheetId="16" r:id="rId6"/>
    <sheet name="System Model " sheetId="25" r:id="rId7"/>
    <sheet name="TABLE-HDD" sheetId="26" r:id="rId8"/>
  </sheets>
  <externalReferences>
    <externalReference r:id="rId9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4">'Actual Total Usage'!$A$1:$N$44</definedName>
    <definedName name="_xlnm.Print_Area" localSheetId="3">'Normalized Total Usage'!$A$1:$N$45</definedName>
    <definedName name="_xlnm.Print_Area" localSheetId="1">'Sales &amp; Revenue Adj.'!$A$1:$N$46</definedName>
    <definedName name="_xlnm.Print_Area" localSheetId="5">'SAP BW Actual Usage'!$A$1:$O$50</definedName>
    <definedName name="_xlnm.Print_Area" localSheetId="0">'Summary Sheet'!$A$1:$F$39</definedName>
    <definedName name="_xlnm.Print_Area" localSheetId="6">'System Model '!$A$1:$R$37</definedName>
    <definedName name="_xlnm.Print_Area" localSheetId="7">'TABLE-HDD'!$A$1:$N$25</definedName>
    <definedName name="_xlnm.Print_Area" localSheetId="2">'Temp Adj. by Schedule'!$A$1:$T$104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iterate="1" calcOnSave="0"/>
</workbook>
</file>

<file path=xl/calcChain.xml><?xml version="1.0" encoding="utf-8"?>
<calcChain xmlns="http://schemas.openxmlformats.org/spreadsheetml/2006/main">
  <c r="N45" i="2" l="1"/>
  <c r="M45" i="2"/>
  <c r="L45" i="2"/>
  <c r="K45" i="2"/>
  <c r="J45" i="2"/>
  <c r="I45" i="2"/>
  <c r="N44" i="2"/>
  <c r="M44" i="2"/>
  <c r="L44" i="2"/>
  <c r="K44" i="2"/>
  <c r="J44" i="2"/>
  <c r="I44" i="2"/>
  <c r="N43" i="2"/>
  <c r="M43" i="2"/>
  <c r="L43" i="2"/>
  <c r="K43" i="2"/>
  <c r="J43" i="2"/>
  <c r="I43" i="2"/>
  <c r="N42" i="2"/>
  <c r="M42" i="2"/>
  <c r="L42" i="2"/>
  <c r="K42" i="2"/>
  <c r="J42" i="2"/>
  <c r="I42" i="2"/>
  <c r="N41" i="2"/>
  <c r="M41" i="2"/>
  <c r="L41" i="2"/>
  <c r="K41" i="2"/>
  <c r="J41" i="2"/>
  <c r="I41" i="2"/>
  <c r="N40" i="2"/>
  <c r="M40" i="2"/>
  <c r="L40" i="2"/>
  <c r="K40" i="2"/>
  <c r="J40" i="2"/>
  <c r="I40" i="2"/>
  <c r="N39" i="2"/>
  <c r="M39" i="2"/>
  <c r="L39" i="2"/>
  <c r="K39" i="2"/>
  <c r="J39" i="2"/>
  <c r="I39" i="2"/>
  <c r="N38" i="2"/>
  <c r="M38" i="2"/>
  <c r="L38" i="2"/>
  <c r="K38" i="2"/>
  <c r="J38" i="2"/>
  <c r="I38" i="2"/>
  <c r="N37" i="2"/>
  <c r="M37" i="2"/>
  <c r="L37" i="2"/>
  <c r="K37" i="2"/>
  <c r="J37" i="2"/>
  <c r="I37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H41" i="2"/>
  <c r="G41" i="2"/>
  <c r="F41" i="2"/>
  <c r="E41" i="2"/>
  <c r="D41" i="2"/>
  <c r="C41" i="2"/>
  <c r="H40" i="2"/>
  <c r="G40" i="2"/>
  <c r="F40" i="2"/>
  <c r="E40" i="2"/>
  <c r="D40" i="2"/>
  <c r="C40" i="2"/>
  <c r="H39" i="2"/>
  <c r="G39" i="2"/>
  <c r="F39" i="2"/>
  <c r="E39" i="2"/>
  <c r="D39" i="2"/>
  <c r="C39" i="2"/>
  <c r="H38" i="2"/>
  <c r="G38" i="2"/>
  <c r="F38" i="2"/>
  <c r="E38" i="2"/>
  <c r="D38" i="2"/>
  <c r="C38" i="2"/>
  <c r="H37" i="2"/>
  <c r="G37" i="2"/>
  <c r="F37" i="2"/>
  <c r="E37" i="2"/>
  <c r="D37" i="2"/>
  <c r="C37" i="2"/>
  <c r="T74" i="3" l="1"/>
  <c r="S74" i="3"/>
  <c r="R74" i="3"/>
  <c r="N21" i="6" l="1"/>
  <c r="N17" i="6"/>
  <c r="N13" i="6"/>
  <c r="O24" i="16"/>
  <c r="A33" i="25"/>
  <c r="A32" i="25"/>
  <c r="A31" i="25"/>
  <c r="A30" i="25"/>
  <c r="B33" i="25"/>
  <c r="B32" i="25"/>
  <c r="B31" i="25"/>
  <c r="Z11" i="3" l="1" a="1"/>
  <c r="Z14" i="3" s="1"/>
  <c r="V11" i="3" a="1"/>
  <c r="V14" i="3" s="1"/>
  <c r="R11" i="3" a="1"/>
  <c r="R11" i="3" s="1"/>
  <c r="R18" i="3"/>
  <c r="R22" i="3"/>
  <c r="Z28" i="3" a="1"/>
  <c r="Z30" i="3" s="1"/>
  <c r="V28" i="3" a="1"/>
  <c r="V28" i="3" s="1"/>
  <c r="R28" i="3" a="1"/>
  <c r="R31" i="3" s="1"/>
  <c r="Y40" i="3"/>
  <c r="U40" i="3"/>
  <c r="Z45" i="3" a="1"/>
  <c r="Z48" i="3" s="1"/>
  <c r="V45" i="3" a="1"/>
  <c r="V48" i="3" s="1"/>
  <c r="R45" i="3" a="1"/>
  <c r="R48" i="3" s="1"/>
  <c r="P22" i="3"/>
  <c r="P21" i="3"/>
  <c r="P20" i="3"/>
  <c r="P19" i="3"/>
  <c r="P18" i="3"/>
  <c r="P17" i="3"/>
  <c r="P16" i="3"/>
  <c r="P15" i="3"/>
  <c r="P14" i="3"/>
  <c r="P13" i="3"/>
  <c r="P12" i="3"/>
  <c r="P11" i="3"/>
  <c r="Y57" i="3"/>
  <c r="U57" i="3"/>
  <c r="R14" i="3" l="1"/>
  <c r="Z21" i="3"/>
  <c r="Z17" i="3"/>
  <c r="Z13" i="3"/>
  <c r="Z20" i="3"/>
  <c r="Z16" i="3"/>
  <c r="Z12" i="3"/>
  <c r="Z19" i="3"/>
  <c r="Z15" i="3"/>
  <c r="Z11" i="3"/>
  <c r="Z22" i="3"/>
  <c r="Z18" i="3"/>
  <c r="V21" i="3"/>
  <c r="V17" i="3"/>
  <c r="V13" i="3"/>
  <c r="V20" i="3"/>
  <c r="V16" i="3"/>
  <c r="V12" i="3"/>
  <c r="V19" i="3"/>
  <c r="V15" i="3"/>
  <c r="V11" i="3"/>
  <c r="V22" i="3"/>
  <c r="V18" i="3"/>
  <c r="R21" i="3"/>
  <c r="R17" i="3"/>
  <c r="R13" i="3"/>
  <c r="R20" i="3"/>
  <c r="R16" i="3"/>
  <c r="R12" i="3"/>
  <c r="R19" i="3"/>
  <c r="R15" i="3"/>
  <c r="Z37" i="3"/>
  <c r="Z33" i="3"/>
  <c r="Z29" i="3"/>
  <c r="Z36" i="3"/>
  <c r="Z32" i="3"/>
  <c r="Z28" i="3"/>
  <c r="Z39" i="3"/>
  <c r="Z35" i="3"/>
  <c r="Z31" i="3"/>
  <c r="Z38" i="3"/>
  <c r="Z34" i="3"/>
  <c r="V39" i="3"/>
  <c r="V35" i="3"/>
  <c r="V31" i="3"/>
  <c r="V38" i="3"/>
  <c r="V34" i="3"/>
  <c r="V30" i="3"/>
  <c r="V37" i="3"/>
  <c r="V33" i="3"/>
  <c r="V29" i="3"/>
  <c r="V36" i="3"/>
  <c r="V32" i="3"/>
  <c r="R38" i="3"/>
  <c r="R34" i="3"/>
  <c r="R30" i="3"/>
  <c r="R37" i="3"/>
  <c r="R33" i="3"/>
  <c r="R29" i="3"/>
  <c r="R36" i="3"/>
  <c r="R32" i="3"/>
  <c r="R28" i="3"/>
  <c r="R39" i="3"/>
  <c r="R35" i="3"/>
  <c r="Z55" i="3"/>
  <c r="Z51" i="3"/>
  <c r="Z47" i="3"/>
  <c r="Z54" i="3"/>
  <c r="Z50" i="3"/>
  <c r="Z46" i="3"/>
  <c r="Z53" i="3"/>
  <c r="Z49" i="3"/>
  <c r="Z45" i="3"/>
  <c r="Z56" i="3"/>
  <c r="Z52" i="3"/>
  <c r="V55" i="3"/>
  <c r="V51" i="3"/>
  <c r="V47" i="3"/>
  <c r="V54" i="3"/>
  <c r="V50" i="3"/>
  <c r="V46" i="3"/>
  <c r="V53" i="3"/>
  <c r="V49" i="3"/>
  <c r="V45" i="3"/>
  <c r="V56" i="3"/>
  <c r="V52" i="3"/>
  <c r="R55" i="3"/>
  <c r="R51" i="3"/>
  <c r="R47" i="3"/>
  <c r="R54" i="3"/>
  <c r="R50" i="3"/>
  <c r="R46" i="3"/>
  <c r="R53" i="3"/>
  <c r="R49" i="3"/>
  <c r="R45" i="3"/>
  <c r="R56" i="3"/>
  <c r="R52" i="3"/>
  <c r="M13" i="26"/>
  <c r="M12" i="26"/>
  <c r="M11" i="26"/>
  <c r="K16" i="25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Y23" i="3"/>
  <c r="U23" i="3"/>
  <c r="V40" i="3" l="1"/>
  <c r="Z40" i="3"/>
  <c r="R40" i="3"/>
  <c r="J21" i="3"/>
  <c r="J22" i="3"/>
  <c r="J23" i="3"/>
  <c r="C23" i="3"/>
  <c r="K23" i="3" s="1"/>
  <c r="C22" i="3"/>
  <c r="K22" i="3" s="1"/>
  <c r="C21" i="3"/>
  <c r="K21" i="3" s="1"/>
  <c r="T83" i="14" l="1"/>
  <c r="S83" i="14"/>
  <c r="S82" i="14"/>
  <c r="T82" i="14"/>
  <c r="T79" i="14"/>
  <c r="S79" i="14"/>
  <c r="S78" i="14"/>
  <c r="T78" i="14"/>
  <c r="T75" i="14"/>
  <c r="S75" i="14"/>
  <c r="T74" i="14"/>
  <c r="S74" i="14"/>
  <c r="T71" i="14"/>
  <c r="S71" i="14"/>
  <c r="T70" i="14"/>
  <c r="S70" i="14"/>
  <c r="S67" i="14"/>
  <c r="T67" i="14"/>
  <c r="T66" i="14"/>
  <c r="S66" i="14"/>
  <c r="R83" i="14"/>
  <c r="R82" i="14"/>
  <c r="R79" i="14"/>
  <c r="R78" i="14"/>
  <c r="R75" i="14"/>
  <c r="R74" i="14"/>
  <c r="R71" i="14"/>
  <c r="R70" i="14"/>
  <c r="R67" i="14"/>
  <c r="R66" i="14"/>
  <c r="M104" i="14"/>
  <c r="L104" i="14"/>
  <c r="K104" i="14"/>
  <c r="M103" i="14"/>
  <c r="L103" i="14"/>
  <c r="K103" i="14"/>
  <c r="M102" i="14"/>
  <c r="L102" i="14"/>
  <c r="K102" i="14"/>
  <c r="M101" i="14"/>
  <c r="L101" i="14"/>
  <c r="K101" i="14"/>
  <c r="M100" i="14"/>
  <c r="L100" i="14"/>
  <c r="K100" i="14"/>
  <c r="M99" i="14"/>
  <c r="L99" i="14"/>
  <c r="K99" i="14"/>
  <c r="M98" i="14"/>
  <c r="L98" i="14"/>
  <c r="K98" i="14"/>
  <c r="M97" i="14"/>
  <c r="L97" i="14"/>
  <c r="K97" i="14"/>
  <c r="M96" i="14"/>
  <c r="L96" i="14"/>
  <c r="K96" i="14"/>
  <c r="M95" i="14"/>
  <c r="L95" i="14"/>
  <c r="K95" i="14"/>
  <c r="M94" i="14"/>
  <c r="L94" i="14"/>
  <c r="K94" i="14"/>
  <c r="M93" i="14"/>
  <c r="L93" i="14"/>
  <c r="K93" i="14"/>
  <c r="M92" i="14"/>
  <c r="L92" i="14"/>
  <c r="K92" i="14"/>
  <c r="M39" i="9"/>
  <c r="M39" i="6"/>
  <c r="M40" i="9" s="1"/>
  <c r="L39" i="6"/>
  <c r="L40" i="9" s="1"/>
  <c r="K39" i="6"/>
  <c r="K40" i="9" s="1"/>
  <c r="M38" i="6"/>
  <c r="L38" i="6"/>
  <c r="L39" i="9" s="1"/>
  <c r="K38" i="6"/>
  <c r="K39" i="9" s="1"/>
  <c r="M37" i="6"/>
  <c r="L37" i="6"/>
  <c r="K37" i="6"/>
  <c r="K38" i="9" s="1"/>
  <c r="M30" i="6"/>
  <c r="L30" i="6"/>
  <c r="K30" i="6"/>
  <c r="M29" i="6"/>
  <c r="L29" i="6"/>
  <c r="K29" i="6"/>
  <c r="M28" i="6"/>
  <c r="L28" i="6"/>
  <c r="K28" i="6"/>
  <c r="M27" i="6"/>
  <c r="L27" i="6"/>
  <c r="K27" i="6"/>
  <c r="M24" i="6"/>
  <c r="L24" i="6"/>
  <c r="K24" i="6"/>
  <c r="M23" i="6"/>
  <c r="L23" i="6"/>
  <c r="L25" i="6" s="1"/>
  <c r="K23" i="6"/>
  <c r="K25" i="6" s="1"/>
  <c r="M20" i="6"/>
  <c r="L20" i="6"/>
  <c r="K20" i="6"/>
  <c r="M19" i="6"/>
  <c r="M21" i="6" s="1"/>
  <c r="L19" i="6"/>
  <c r="L21" i="6" s="1"/>
  <c r="K19" i="6"/>
  <c r="M16" i="6"/>
  <c r="L16" i="6"/>
  <c r="K16" i="6"/>
  <c r="M15" i="6"/>
  <c r="L15" i="6"/>
  <c r="L17" i="6" s="1"/>
  <c r="K15" i="6"/>
  <c r="M12" i="6"/>
  <c r="L12" i="6"/>
  <c r="K12" i="6"/>
  <c r="M11" i="6"/>
  <c r="L11" i="6"/>
  <c r="K11" i="6"/>
  <c r="L9" i="6"/>
  <c r="M8" i="6"/>
  <c r="M9" i="6" s="1"/>
  <c r="L8" i="6"/>
  <c r="K8" i="6"/>
  <c r="K9" i="6" s="1"/>
  <c r="M15" i="25"/>
  <c r="L15" i="25" s="1"/>
  <c r="N15" i="25" s="1"/>
  <c r="M14" i="25"/>
  <c r="L14" i="25" s="1"/>
  <c r="N14" i="25" s="1"/>
  <c r="M13" i="25"/>
  <c r="L13" i="25" s="1"/>
  <c r="N13" i="25" s="1"/>
  <c r="M12" i="25"/>
  <c r="N50" i="16"/>
  <c r="M50" i="16"/>
  <c r="L50" i="16"/>
  <c r="N24" i="16"/>
  <c r="M24" i="16"/>
  <c r="L24" i="16"/>
  <c r="N5" i="2"/>
  <c r="N7" i="16" s="1"/>
  <c r="N31" i="16" s="1"/>
  <c r="M5" i="2"/>
  <c r="L7" i="9" s="1"/>
  <c r="L37" i="9" s="1"/>
  <c r="L5" i="2"/>
  <c r="L7" i="16" s="1"/>
  <c r="L31" i="16" s="1"/>
  <c r="T68" i="14" l="1"/>
  <c r="S84" i="14"/>
  <c r="L7" i="6"/>
  <c r="L36" i="6" s="1"/>
  <c r="K13" i="6"/>
  <c r="M17" i="6"/>
  <c r="L41" i="6"/>
  <c r="M25" i="6"/>
  <c r="M41" i="6"/>
  <c r="L38" i="9"/>
  <c r="L42" i="9" s="1"/>
  <c r="L7" i="14"/>
  <c r="L44" i="14" s="1"/>
  <c r="K42" i="9"/>
  <c r="L13" i="6"/>
  <c r="M13" i="6"/>
  <c r="K21" i="6"/>
  <c r="K41" i="6"/>
  <c r="M38" i="9"/>
  <c r="M42" i="9" s="1"/>
  <c r="K17" i="6"/>
  <c r="R84" i="14"/>
  <c r="R72" i="14"/>
  <c r="S72" i="14"/>
  <c r="S68" i="14"/>
  <c r="O13" i="25"/>
  <c r="D21" i="3"/>
  <c r="O14" i="25"/>
  <c r="D22" i="3"/>
  <c r="O15" i="25"/>
  <c r="D23" i="3"/>
  <c r="R76" i="14"/>
  <c r="T72" i="14"/>
  <c r="K7" i="9"/>
  <c r="K37" i="9" s="1"/>
  <c r="K7" i="14"/>
  <c r="M7" i="6"/>
  <c r="M36" i="6" s="1"/>
  <c r="M7" i="9"/>
  <c r="M37" i="9" s="1"/>
  <c r="S65" i="14"/>
  <c r="M7" i="16"/>
  <c r="M31" i="16" s="1"/>
  <c r="M7" i="14"/>
  <c r="K7" i="6"/>
  <c r="K36" i="6" s="1"/>
  <c r="T84" i="14"/>
  <c r="T80" i="14"/>
  <c r="S80" i="14"/>
  <c r="T76" i="14"/>
  <c r="S76" i="14"/>
  <c r="R80" i="14"/>
  <c r="R68" i="14"/>
  <c r="K32" i="6"/>
  <c r="M32" i="6"/>
  <c r="M44" i="6" s="1"/>
  <c r="L32" i="6"/>
  <c r="L44" i="6" s="1"/>
  <c r="K23" i="14" l="1"/>
  <c r="L91" i="14"/>
  <c r="K44" i="6"/>
  <c r="K20" i="14"/>
  <c r="K12" i="14"/>
  <c r="K15" i="14"/>
  <c r="L24" i="14"/>
  <c r="K16" i="14"/>
  <c r="K11" i="14"/>
  <c r="K13" i="14" s="1"/>
  <c r="K29" i="14"/>
  <c r="K8" i="14"/>
  <c r="K9" i="14" s="1"/>
  <c r="K27" i="14"/>
  <c r="L29" i="14"/>
  <c r="L22" i="3"/>
  <c r="E22" i="3"/>
  <c r="M22" i="3" s="1"/>
  <c r="L28" i="14"/>
  <c r="K28" i="14"/>
  <c r="L27" i="14"/>
  <c r="L15" i="14"/>
  <c r="L16" i="14"/>
  <c r="L23" i="3"/>
  <c r="E23" i="3"/>
  <c r="M23" i="3" s="1"/>
  <c r="L21" i="3"/>
  <c r="E21" i="3"/>
  <c r="M21" i="3" s="1"/>
  <c r="L11" i="14"/>
  <c r="L20" i="14"/>
  <c r="L30" i="14"/>
  <c r="L19" i="14"/>
  <c r="L8" i="14"/>
  <c r="L9" i="14" s="1"/>
  <c r="K30" i="14"/>
  <c r="K24" i="14"/>
  <c r="K25" i="14" s="1"/>
  <c r="K19" i="14"/>
  <c r="K21" i="14" s="1"/>
  <c r="M28" i="14"/>
  <c r="M23" i="14"/>
  <c r="M15" i="14"/>
  <c r="M8" i="14"/>
  <c r="M9" i="14" s="1"/>
  <c r="M27" i="14"/>
  <c r="M20" i="14"/>
  <c r="M12" i="14"/>
  <c r="M30" i="14"/>
  <c r="M19" i="14"/>
  <c r="M11" i="14"/>
  <c r="M29" i="14"/>
  <c r="M24" i="14"/>
  <c r="M16" i="14"/>
  <c r="L12" i="14"/>
  <c r="L23" i="14"/>
  <c r="L25" i="14" s="1"/>
  <c r="M91" i="14"/>
  <c r="T65" i="14"/>
  <c r="M44" i="14"/>
  <c r="K91" i="14"/>
  <c r="K44" i="14"/>
  <c r="R65" i="14"/>
  <c r="K17" i="14" l="1"/>
  <c r="L21" i="14"/>
  <c r="M17" i="14"/>
  <c r="L17" i="14"/>
  <c r="M13" i="14"/>
  <c r="M21" i="14"/>
  <c r="M25" i="14"/>
  <c r="L13" i="14"/>
  <c r="K32" i="14"/>
  <c r="L32" i="14" l="1"/>
  <c r="L33" i="14" s="1"/>
  <c r="M32" i="14"/>
  <c r="M33" i="14" s="1"/>
  <c r="K33" i="14"/>
  <c r="M19" i="26" l="1"/>
  <c r="M18" i="26"/>
  <c r="M17" i="26"/>
  <c r="M16" i="26"/>
  <c r="M15" i="26"/>
  <c r="M14" i="26"/>
  <c r="M10" i="26"/>
  <c r="M9" i="26"/>
  <c r="M8" i="26"/>
  <c r="H11" i="3" l="1"/>
  <c r="F11" i="3"/>
  <c r="F23" i="3" l="1"/>
  <c r="N23" i="3" s="1"/>
  <c r="F21" i="3"/>
  <c r="N21" i="3" s="1"/>
  <c r="F22" i="3"/>
  <c r="N22" i="3" s="1"/>
  <c r="M11" i="25"/>
  <c r="M10" i="25"/>
  <c r="M9" i="25"/>
  <c r="M8" i="25"/>
  <c r="M7" i="25"/>
  <c r="M6" i="25"/>
  <c r="M5" i="25"/>
  <c r="M4" i="25"/>
  <c r="N8" i="26" l="1"/>
  <c r="N9" i="26"/>
  <c r="N10" i="26"/>
  <c r="N11" i="26"/>
  <c r="N12" i="26"/>
  <c r="N13" i="26"/>
  <c r="N14" i="26"/>
  <c r="N15" i="26"/>
  <c r="N16" i="26"/>
  <c r="N17" i="26"/>
  <c r="N18" i="26"/>
  <c r="N19" i="26"/>
  <c r="A5" i="25" l="1"/>
  <c r="A6" i="25" s="1"/>
  <c r="A7" i="25" s="1"/>
  <c r="A8" i="25" s="1"/>
  <c r="A9" i="25" s="1"/>
  <c r="A11" i="25" s="1"/>
  <c r="D24" i="16" l="1"/>
  <c r="J103" i="14" l="1"/>
  <c r="I103" i="14"/>
  <c r="H103" i="14"/>
  <c r="G103" i="14"/>
  <c r="F103" i="14"/>
  <c r="E103" i="14"/>
  <c r="D103" i="14"/>
  <c r="C103" i="14"/>
  <c r="B103" i="14"/>
  <c r="J102" i="14"/>
  <c r="I102" i="14"/>
  <c r="H102" i="14"/>
  <c r="G102" i="14"/>
  <c r="F102" i="14"/>
  <c r="E102" i="14"/>
  <c r="D102" i="14"/>
  <c r="C102" i="14"/>
  <c r="B102" i="14"/>
  <c r="J29" i="6"/>
  <c r="I29" i="6"/>
  <c r="H29" i="6"/>
  <c r="G29" i="6"/>
  <c r="F29" i="6"/>
  <c r="E29" i="6"/>
  <c r="D29" i="6"/>
  <c r="C29" i="6"/>
  <c r="B29" i="6"/>
  <c r="J28" i="6"/>
  <c r="I28" i="6"/>
  <c r="H28" i="6"/>
  <c r="G28" i="6"/>
  <c r="F28" i="6"/>
  <c r="E28" i="6"/>
  <c r="D28" i="6"/>
  <c r="C28" i="6"/>
  <c r="B28" i="6"/>
  <c r="N28" i="6" l="1"/>
  <c r="N29" i="6"/>
  <c r="J21" i="26"/>
  <c r="A12" i="25" l="1"/>
  <c r="A13" i="25" s="1"/>
  <c r="A14" i="25" s="1"/>
  <c r="A15" i="25" s="1"/>
  <c r="V57" i="3" l="1"/>
  <c r="R57" i="3"/>
  <c r="K24" i="16"/>
  <c r="Q71" i="14" l="1"/>
  <c r="P71" i="14"/>
  <c r="O71" i="14"/>
  <c r="N71" i="14"/>
  <c r="M71" i="14"/>
  <c r="L71" i="14"/>
  <c r="K71" i="14"/>
  <c r="J71" i="14"/>
  <c r="I71" i="14"/>
  <c r="Q70" i="14"/>
  <c r="P70" i="14"/>
  <c r="O70" i="14"/>
  <c r="N70" i="14"/>
  <c r="M70" i="14"/>
  <c r="L70" i="14"/>
  <c r="K70" i="14"/>
  <c r="J70" i="14"/>
  <c r="I70" i="14"/>
  <c r="J72" i="14" l="1"/>
  <c r="K72" i="14"/>
  <c r="P72" i="14"/>
  <c r="Q72" i="14"/>
  <c r="L72" i="14"/>
  <c r="I72" i="14"/>
  <c r="M72" i="14"/>
  <c r="N72" i="14"/>
  <c r="O72" i="14"/>
  <c r="K21" i="26"/>
  <c r="C7" i="26" l="1"/>
  <c r="D7" i="26" s="1"/>
  <c r="E7" i="26" s="1"/>
  <c r="F7" i="26" s="1"/>
  <c r="G7" i="26" s="1"/>
  <c r="H7" i="26" s="1"/>
  <c r="B21" i="26"/>
  <c r="C21" i="26"/>
  <c r="D21" i="26"/>
  <c r="E21" i="26"/>
  <c r="F21" i="26"/>
  <c r="G21" i="26"/>
  <c r="H21" i="26"/>
  <c r="C24" i="16" l="1"/>
  <c r="E24" i="16"/>
  <c r="F24" i="16"/>
  <c r="G24" i="16"/>
  <c r="H24" i="16"/>
  <c r="I21" i="26" l="1"/>
  <c r="L12" i="25" l="1"/>
  <c r="N12" i="25" s="1"/>
  <c r="O12" i="25" s="1"/>
  <c r="L11" i="25" l="1"/>
  <c r="N11" i="25" s="1"/>
  <c r="L10" i="25" l="1"/>
  <c r="N10" i="25" s="1"/>
  <c r="L9" i="25" l="1"/>
  <c r="N9" i="25" s="1"/>
  <c r="O9" i="25" s="1"/>
  <c r="L8" i="25" l="1"/>
  <c r="N8" i="25" s="1"/>
  <c r="L7" i="25" l="1"/>
  <c r="N7" i="25" s="1"/>
  <c r="L6" i="25" l="1"/>
  <c r="N6" i="25" s="1"/>
  <c r="L5" i="25" l="1"/>
  <c r="N5" i="25" s="1"/>
  <c r="L4" i="25" l="1"/>
  <c r="N4" i="25" s="1"/>
  <c r="N16" i="25" s="1"/>
  <c r="O21" i="26" l="1"/>
  <c r="J23" i="26" s="1"/>
  <c r="B23" i="26" l="1"/>
  <c r="F23" i="26"/>
  <c r="C50" i="16"/>
  <c r="D50" i="16"/>
  <c r="E50" i="16"/>
  <c r="F50" i="16"/>
  <c r="G50" i="16"/>
  <c r="H50" i="16"/>
  <c r="I50" i="16"/>
  <c r="J50" i="16"/>
  <c r="K50" i="16"/>
  <c r="I24" i="16"/>
  <c r="J24" i="16"/>
  <c r="B30" i="25" l="1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O6" i="25" l="1"/>
  <c r="O5" i="25"/>
  <c r="O4" i="25"/>
  <c r="O11" i="25"/>
  <c r="O10" i="25"/>
  <c r="O8" i="25"/>
  <c r="O7" i="25"/>
  <c r="B92" i="14"/>
  <c r="C92" i="14"/>
  <c r="D92" i="14"/>
  <c r="E92" i="14"/>
  <c r="F92" i="14"/>
  <c r="G92" i="14"/>
  <c r="H92" i="14"/>
  <c r="I92" i="14"/>
  <c r="J92" i="14"/>
  <c r="B93" i="14"/>
  <c r="C93" i="14"/>
  <c r="D93" i="14"/>
  <c r="E93" i="14"/>
  <c r="F93" i="14"/>
  <c r="G93" i="14"/>
  <c r="H93" i="14"/>
  <c r="I93" i="14"/>
  <c r="J93" i="14"/>
  <c r="B94" i="14"/>
  <c r="C94" i="14"/>
  <c r="D94" i="14"/>
  <c r="E94" i="14"/>
  <c r="F94" i="14"/>
  <c r="G94" i="14"/>
  <c r="H94" i="14"/>
  <c r="I94" i="14"/>
  <c r="J94" i="14"/>
  <c r="B95" i="14"/>
  <c r="C95" i="14"/>
  <c r="D95" i="14"/>
  <c r="E95" i="14"/>
  <c r="F95" i="14"/>
  <c r="G95" i="14"/>
  <c r="H95" i="14"/>
  <c r="I95" i="14"/>
  <c r="J95" i="14"/>
  <c r="B96" i="14"/>
  <c r="C96" i="14"/>
  <c r="D96" i="14"/>
  <c r="E96" i="14"/>
  <c r="F96" i="14"/>
  <c r="G96" i="14"/>
  <c r="H96" i="14"/>
  <c r="I96" i="14"/>
  <c r="J96" i="14"/>
  <c r="B97" i="14"/>
  <c r="C97" i="14"/>
  <c r="D97" i="14"/>
  <c r="E97" i="14"/>
  <c r="F97" i="14"/>
  <c r="G97" i="14"/>
  <c r="H97" i="14"/>
  <c r="I97" i="14"/>
  <c r="J97" i="14"/>
  <c r="B98" i="14"/>
  <c r="C98" i="14"/>
  <c r="D98" i="14"/>
  <c r="E98" i="14"/>
  <c r="F98" i="14"/>
  <c r="G98" i="14"/>
  <c r="H98" i="14"/>
  <c r="I98" i="14"/>
  <c r="J98" i="14"/>
  <c r="B99" i="14"/>
  <c r="C99" i="14"/>
  <c r="D99" i="14"/>
  <c r="E99" i="14"/>
  <c r="F99" i="14"/>
  <c r="G99" i="14"/>
  <c r="H99" i="14"/>
  <c r="I99" i="14"/>
  <c r="J99" i="14"/>
  <c r="B100" i="14"/>
  <c r="C100" i="14"/>
  <c r="D100" i="14"/>
  <c r="E100" i="14"/>
  <c r="F100" i="14"/>
  <c r="G100" i="14"/>
  <c r="H100" i="14"/>
  <c r="I100" i="14"/>
  <c r="J100" i="14"/>
  <c r="B101" i="14"/>
  <c r="C101" i="14"/>
  <c r="D101" i="14"/>
  <c r="E101" i="14"/>
  <c r="F101" i="14"/>
  <c r="G101" i="14"/>
  <c r="H101" i="14"/>
  <c r="I101" i="14"/>
  <c r="J101" i="14"/>
  <c r="B104" i="14"/>
  <c r="C104" i="14"/>
  <c r="D104" i="14"/>
  <c r="E104" i="14"/>
  <c r="F104" i="14"/>
  <c r="G104" i="14"/>
  <c r="H104" i="14"/>
  <c r="I104" i="14"/>
  <c r="J104" i="14"/>
  <c r="Q83" i="14" l="1"/>
  <c r="P83" i="14"/>
  <c r="O83" i="14"/>
  <c r="N83" i="14"/>
  <c r="M83" i="14"/>
  <c r="L83" i="14"/>
  <c r="K83" i="14"/>
  <c r="J83" i="14"/>
  <c r="I83" i="14"/>
  <c r="Q82" i="14"/>
  <c r="P82" i="14"/>
  <c r="O82" i="14"/>
  <c r="N82" i="14"/>
  <c r="M82" i="14"/>
  <c r="L82" i="14"/>
  <c r="K82" i="14"/>
  <c r="J82" i="14"/>
  <c r="I82" i="14"/>
  <c r="Q75" i="14"/>
  <c r="P75" i="14"/>
  <c r="O75" i="14"/>
  <c r="N75" i="14"/>
  <c r="M75" i="14"/>
  <c r="L75" i="14"/>
  <c r="K75" i="14"/>
  <c r="J75" i="14"/>
  <c r="I75" i="14"/>
  <c r="Q74" i="14"/>
  <c r="P74" i="14"/>
  <c r="O74" i="14"/>
  <c r="N74" i="14"/>
  <c r="M74" i="14"/>
  <c r="L74" i="14"/>
  <c r="K74" i="14"/>
  <c r="J74" i="14"/>
  <c r="I74" i="14"/>
  <c r="Q79" i="14"/>
  <c r="P79" i="14"/>
  <c r="O79" i="14"/>
  <c r="N79" i="14"/>
  <c r="M79" i="14"/>
  <c r="L79" i="14"/>
  <c r="K79" i="14"/>
  <c r="J79" i="14"/>
  <c r="I79" i="14"/>
  <c r="Q78" i="14"/>
  <c r="P78" i="14"/>
  <c r="O78" i="14"/>
  <c r="N78" i="14"/>
  <c r="M78" i="14"/>
  <c r="L78" i="14"/>
  <c r="K78" i="14"/>
  <c r="J78" i="14"/>
  <c r="I78" i="14"/>
  <c r="Q67" i="14"/>
  <c r="P67" i="14"/>
  <c r="O67" i="14"/>
  <c r="N67" i="14"/>
  <c r="M67" i="14"/>
  <c r="L67" i="14"/>
  <c r="K67" i="14"/>
  <c r="J67" i="14"/>
  <c r="I67" i="14"/>
  <c r="Q66" i="14"/>
  <c r="P66" i="14"/>
  <c r="O66" i="14"/>
  <c r="N66" i="14"/>
  <c r="M66" i="14"/>
  <c r="L66" i="14"/>
  <c r="K66" i="14"/>
  <c r="J66" i="14"/>
  <c r="I66" i="14"/>
  <c r="I7" i="26"/>
  <c r="J7" i="26" s="1"/>
  <c r="K7" i="26" s="1"/>
  <c r="L7" i="26" s="1"/>
  <c r="P29" i="3" l="1"/>
  <c r="P46" i="3" s="1"/>
  <c r="P63" i="3" s="1"/>
  <c r="P30" i="3"/>
  <c r="P47" i="3" s="1"/>
  <c r="P64" i="3" s="1"/>
  <c r="P31" i="3"/>
  <c r="P48" i="3" s="1"/>
  <c r="P65" i="3" s="1"/>
  <c r="P32" i="3"/>
  <c r="P49" i="3" s="1"/>
  <c r="P66" i="3" s="1"/>
  <c r="P33" i="3"/>
  <c r="P50" i="3" s="1"/>
  <c r="P67" i="3" s="1"/>
  <c r="P34" i="3"/>
  <c r="P51" i="3" s="1"/>
  <c r="P68" i="3" s="1"/>
  <c r="P35" i="3"/>
  <c r="P52" i="3" s="1"/>
  <c r="P69" i="3" s="1"/>
  <c r="P36" i="3"/>
  <c r="P53" i="3" s="1"/>
  <c r="P70" i="3" s="1"/>
  <c r="P37" i="3"/>
  <c r="P54" i="3" s="1"/>
  <c r="P71" i="3" s="1"/>
  <c r="P38" i="3"/>
  <c r="P55" i="3" s="1"/>
  <c r="P72" i="3" s="1"/>
  <c r="P39" i="3"/>
  <c r="P56" i="3" s="1"/>
  <c r="P73" i="3" s="1"/>
  <c r="P28" i="3"/>
  <c r="P45" i="3" s="1"/>
  <c r="P62" i="3" s="1"/>
  <c r="J12" i="3"/>
  <c r="J13" i="3"/>
  <c r="J14" i="3"/>
  <c r="J15" i="3"/>
  <c r="J16" i="3"/>
  <c r="J17" i="3"/>
  <c r="J18" i="3"/>
  <c r="J19" i="3"/>
  <c r="J20" i="3"/>
  <c r="M21" i="26"/>
  <c r="K23" i="26" s="1"/>
  <c r="C23" i="26" l="1"/>
  <c r="E23" i="26"/>
  <c r="G23" i="26"/>
  <c r="D23" i="26"/>
  <c r="H23" i="26"/>
  <c r="I23" i="26"/>
  <c r="D20" i="3"/>
  <c r="L20" i="3" s="1"/>
  <c r="D19" i="3"/>
  <c r="L19" i="3" s="1"/>
  <c r="D18" i="3"/>
  <c r="L18" i="3" s="1"/>
  <c r="D17" i="3"/>
  <c r="L17" i="3" s="1"/>
  <c r="D16" i="3"/>
  <c r="L16" i="3" s="1"/>
  <c r="D15" i="3"/>
  <c r="L15" i="3" s="1"/>
  <c r="D14" i="3"/>
  <c r="L14" i="3" s="1"/>
  <c r="D13" i="3"/>
  <c r="L13" i="3" s="1"/>
  <c r="D12" i="3"/>
  <c r="C20" i="3"/>
  <c r="K20" i="3" s="1"/>
  <c r="C19" i="3"/>
  <c r="K19" i="3" s="1"/>
  <c r="C18" i="3"/>
  <c r="K18" i="3" s="1"/>
  <c r="C17" i="3"/>
  <c r="K17" i="3" s="1"/>
  <c r="C16" i="3"/>
  <c r="K16" i="3" s="1"/>
  <c r="C15" i="3"/>
  <c r="K15" i="3" s="1"/>
  <c r="C14" i="3"/>
  <c r="K14" i="3" s="1"/>
  <c r="C13" i="3"/>
  <c r="K13" i="3" s="1"/>
  <c r="C12" i="3"/>
  <c r="L12" i="3" l="1"/>
  <c r="L24" i="3" s="1"/>
  <c r="D24" i="3"/>
  <c r="K12" i="3"/>
  <c r="K24" i="3" s="1"/>
  <c r="C24" i="3"/>
  <c r="Q84" i="14"/>
  <c r="P84" i="14"/>
  <c r="O84" i="14"/>
  <c r="N84" i="14"/>
  <c r="M84" i="14"/>
  <c r="L84" i="14"/>
  <c r="K84" i="14"/>
  <c r="J84" i="14"/>
  <c r="I84" i="14"/>
  <c r="Q80" i="14"/>
  <c r="P80" i="14"/>
  <c r="O80" i="14"/>
  <c r="N80" i="14"/>
  <c r="M80" i="14"/>
  <c r="L80" i="14"/>
  <c r="K80" i="14"/>
  <c r="J80" i="14"/>
  <c r="I80" i="14"/>
  <c r="Q76" i="14"/>
  <c r="P76" i="14"/>
  <c r="O76" i="14"/>
  <c r="N76" i="14"/>
  <c r="M76" i="14"/>
  <c r="L76" i="14"/>
  <c r="K76" i="14"/>
  <c r="J76" i="14"/>
  <c r="I76" i="14"/>
  <c r="I68" i="14"/>
  <c r="J68" i="14"/>
  <c r="K68" i="14"/>
  <c r="L68" i="14"/>
  <c r="M68" i="14"/>
  <c r="N68" i="14"/>
  <c r="O68" i="14"/>
  <c r="P68" i="14"/>
  <c r="Q68" i="14"/>
  <c r="J8" i="14" l="1"/>
  <c r="J9" i="14" s="1"/>
  <c r="F29" i="14"/>
  <c r="F28" i="14"/>
  <c r="F27" i="14"/>
  <c r="F16" i="14"/>
  <c r="F20" i="14"/>
  <c r="F12" i="14"/>
  <c r="F11" i="14"/>
  <c r="F30" i="14"/>
  <c r="F23" i="14"/>
  <c r="F19" i="14"/>
  <c r="F24" i="14"/>
  <c r="F8" i="14"/>
  <c r="F9" i="14" s="1"/>
  <c r="F15" i="14"/>
  <c r="E29" i="14"/>
  <c r="E28" i="14"/>
  <c r="E24" i="14"/>
  <c r="E19" i="14"/>
  <c r="E11" i="14"/>
  <c r="E27" i="14"/>
  <c r="E8" i="14"/>
  <c r="E9" i="14" s="1"/>
  <c r="E30" i="14"/>
  <c r="E20" i="14"/>
  <c r="E23" i="14"/>
  <c r="E16" i="14"/>
  <c r="E12" i="14"/>
  <c r="E15" i="14"/>
  <c r="D29" i="14"/>
  <c r="D28" i="14"/>
  <c r="D27" i="14"/>
  <c r="D19" i="14"/>
  <c r="D11" i="14"/>
  <c r="D20" i="14"/>
  <c r="D15" i="14"/>
  <c r="D16" i="14"/>
  <c r="D8" i="14"/>
  <c r="D9" i="14" s="1"/>
  <c r="D12" i="14"/>
  <c r="D23" i="14"/>
  <c r="D24" i="14"/>
  <c r="D30" i="14"/>
  <c r="G28" i="14"/>
  <c r="G29" i="14"/>
  <c r="G12" i="14"/>
  <c r="G19" i="14"/>
  <c r="G15" i="14"/>
  <c r="G24" i="14"/>
  <c r="G27" i="14"/>
  <c r="G30" i="14"/>
  <c r="G11" i="14"/>
  <c r="G16" i="14"/>
  <c r="G8" i="14"/>
  <c r="G9" i="14" s="1"/>
  <c r="G23" i="14"/>
  <c r="G20" i="14"/>
  <c r="B28" i="14"/>
  <c r="B29" i="14"/>
  <c r="B30" i="14"/>
  <c r="B15" i="14"/>
  <c r="B27" i="14"/>
  <c r="B16" i="14"/>
  <c r="B20" i="14"/>
  <c r="B11" i="14"/>
  <c r="B23" i="14"/>
  <c r="B24" i="14"/>
  <c r="B19" i="14"/>
  <c r="B8" i="14"/>
  <c r="B12" i="14"/>
  <c r="C29" i="14"/>
  <c r="C28" i="14"/>
  <c r="C30" i="14"/>
  <c r="C8" i="14"/>
  <c r="C9" i="14" s="1"/>
  <c r="C19" i="14"/>
  <c r="C12" i="14"/>
  <c r="C23" i="14"/>
  <c r="C20" i="14"/>
  <c r="C24" i="14"/>
  <c r="C27" i="14"/>
  <c r="C15" i="14"/>
  <c r="C16" i="14"/>
  <c r="C11" i="14"/>
  <c r="J24" i="14"/>
  <c r="J16" i="14"/>
  <c r="J29" i="14"/>
  <c r="J23" i="14"/>
  <c r="J15" i="14"/>
  <c r="J30" i="14"/>
  <c r="J28" i="14"/>
  <c r="J20" i="14"/>
  <c r="J12" i="14"/>
  <c r="J27" i="14"/>
  <c r="J19" i="14"/>
  <c r="J11" i="14"/>
  <c r="I29" i="14"/>
  <c r="I27" i="14"/>
  <c r="I23" i="14"/>
  <c r="I15" i="14"/>
  <c r="I11" i="14"/>
  <c r="I20" i="14"/>
  <c r="I30" i="14"/>
  <c r="I28" i="14"/>
  <c r="I24" i="14"/>
  <c r="I16" i="14"/>
  <c r="I12" i="14"/>
  <c r="I8" i="14"/>
  <c r="I9" i="14" s="1"/>
  <c r="I19" i="14"/>
  <c r="H30" i="14"/>
  <c r="H28" i="14"/>
  <c r="H20" i="14"/>
  <c r="H12" i="14"/>
  <c r="H27" i="14"/>
  <c r="H19" i="14"/>
  <c r="H11" i="14"/>
  <c r="H24" i="14"/>
  <c r="H16" i="14"/>
  <c r="H8" i="14"/>
  <c r="H9" i="14" s="1"/>
  <c r="H29" i="14"/>
  <c r="H23" i="14"/>
  <c r="H15" i="14"/>
  <c r="J8" i="6"/>
  <c r="J11" i="6"/>
  <c r="J12" i="6"/>
  <c r="J15" i="6"/>
  <c r="J16" i="6"/>
  <c r="J19" i="6"/>
  <c r="J20" i="6"/>
  <c r="J23" i="6"/>
  <c r="J24" i="6"/>
  <c r="J27" i="6"/>
  <c r="J30" i="6"/>
  <c r="B8" i="6"/>
  <c r="C8" i="6"/>
  <c r="D8" i="6"/>
  <c r="E8" i="6"/>
  <c r="F8" i="6"/>
  <c r="F9" i="6" s="1"/>
  <c r="G8" i="6"/>
  <c r="H8" i="6"/>
  <c r="H9" i="6" s="1"/>
  <c r="I8" i="6"/>
  <c r="B11" i="6"/>
  <c r="B12" i="6"/>
  <c r="C11" i="6"/>
  <c r="C12" i="6"/>
  <c r="D11" i="6"/>
  <c r="D12" i="6"/>
  <c r="E11" i="6"/>
  <c r="E12" i="6"/>
  <c r="F11" i="6"/>
  <c r="F12" i="6"/>
  <c r="G11" i="6"/>
  <c r="G12" i="6"/>
  <c r="H11" i="6"/>
  <c r="H12" i="6"/>
  <c r="I11" i="6"/>
  <c r="I12" i="6"/>
  <c r="B15" i="6"/>
  <c r="B16" i="6"/>
  <c r="C15" i="6"/>
  <c r="C16" i="6"/>
  <c r="D15" i="6"/>
  <c r="D16" i="6"/>
  <c r="E15" i="6"/>
  <c r="E16" i="6"/>
  <c r="F15" i="6"/>
  <c r="F16" i="6"/>
  <c r="G15" i="6"/>
  <c r="G16" i="6"/>
  <c r="H15" i="6"/>
  <c r="H16" i="6"/>
  <c r="I15" i="6"/>
  <c r="I16" i="6"/>
  <c r="B19" i="6"/>
  <c r="B20" i="6"/>
  <c r="C19" i="6"/>
  <c r="C20" i="6"/>
  <c r="D19" i="6"/>
  <c r="D20" i="6"/>
  <c r="E19" i="6"/>
  <c r="E20" i="6"/>
  <c r="F19" i="6"/>
  <c r="F20" i="6"/>
  <c r="G19" i="6"/>
  <c r="G20" i="6"/>
  <c r="H19" i="6"/>
  <c r="H20" i="6"/>
  <c r="I19" i="6"/>
  <c r="I20" i="6"/>
  <c r="B23" i="6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7" i="6"/>
  <c r="C27" i="6"/>
  <c r="D27" i="6"/>
  <c r="E27" i="6"/>
  <c r="F27" i="6"/>
  <c r="G27" i="6"/>
  <c r="H27" i="6"/>
  <c r="I27" i="6"/>
  <c r="B30" i="6"/>
  <c r="C30" i="6"/>
  <c r="D30" i="6"/>
  <c r="E30" i="6"/>
  <c r="F30" i="6"/>
  <c r="G30" i="6"/>
  <c r="H30" i="6"/>
  <c r="I30" i="6"/>
  <c r="E17" i="3"/>
  <c r="F17" i="3" s="1"/>
  <c r="E16" i="3"/>
  <c r="F16" i="3" s="1"/>
  <c r="E15" i="3"/>
  <c r="F15" i="3" s="1"/>
  <c r="E14" i="3"/>
  <c r="F14" i="3" s="1"/>
  <c r="E13" i="3"/>
  <c r="E12" i="3"/>
  <c r="E20" i="3"/>
  <c r="F20" i="3" s="1"/>
  <c r="E18" i="3"/>
  <c r="F18" i="3" s="1"/>
  <c r="E19" i="3"/>
  <c r="F19" i="3" s="1"/>
  <c r="C5" i="2"/>
  <c r="C7" i="16" s="1"/>
  <c r="D5" i="2"/>
  <c r="E5" i="2"/>
  <c r="E7" i="16" s="1"/>
  <c r="F5" i="2"/>
  <c r="E7" i="14" s="1"/>
  <c r="E44" i="14" s="1"/>
  <c r="G5" i="2"/>
  <c r="G7" i="16" s="1"/>
  <c r="H5" i="2"/>
  <c r="I5" i="2"/>
  <c r="J5" i="2"/>
  <c r="J7" i="16" s="1"/>
  <c r="J31" i="16" s="1"/>
  <c r="K5" i="2"/>
  <c r="A11" i="3"/>
  <c r="A12" i="3" s="1"/>
  <c r="B39" i="6"/>
  <c r="C39" i="6"/>
  <c r="D39" i="6"/>
  <c r="E39" i="6"/>
  <c r="F39" i="6"/>
  <c r="G39" i="6"/>
  <c r="G40" i="9" s="1"/>
  <c r="H39" i="6"/>
  <c r="H40" i="9" s="1"/>
  <c r="I39" i="6"/>
  <c r="I40" i="9" s="1"/>
  <c r="J39" i="6"/>
  <c r="J40" i="9" s="1"/>
  <c r="B38" i="6"/>
  <c r="C38" i="6"/>
  <c r="C39" i="9" s="1"/>
  <c r="D38" i="6"/>
  <c r="D39" i="9" s="1"/>
  <c r="E38" i="6"/>
  <c r="E39" i="9" s="1"/>
  <c r="F38" i="6"/>
  <c r="F39" i="9" s="1"/>
  <c r="G38" i="6"/>
  <c r="G39" i="9" s="1"/>
  <c r="H38" i="6"/>
  <c r="H39" i="9" s="1"/>
  <c r="I38" i="6"/>
  <c r="I39" i="9" s="1"/>
  <c r="J38" i="6"/>
  <c r="J39" i="9" s="1"/>
  <c r="B37" i="6"/>
  <c r="C37" i="6"/>
  <c r="D37" i="6"/>
  <c r="D38" i="9" s="1"/>
  <c r="E37" i="6"/>
  <c r="F37" i="6"/>
  <c r="F38" i="9" s="1"/>
  <c r="G37" i="6"/>
  <c r="H37" i="6"/>
  <c r="H38" i="9" s="1"/>
  <c r="I37" i="6"/>
  <c r="J37" i="6"/>
  <c r="J38" i="9" s="1"/>
  <c r="A2" i="2"/>
  <c r="A1" i="2"/>
  <c r="A3" i="2"/>
  <c r="A13" i="3" l="1"/>
  <c r="A14" i="3" s="1"/>
  <c r="A15" i="3" s="1"/>
  <c r="A16" i="3" s="1"/>
  <c r="A17" i="3" s="1"/>
  <c r="A18" i="3" s="1"/>
  <c r="A19" i="3" s="1"/>
  <c r="A20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I41" i="6"/>
  <c r="E41" i="6"/>
  <c r="N20" i="6"/>
  <c r="N16" i="6"/>
  <c r="N12" i="6"/>
  <c r="H42" i="9"/>
  <c r="B40" i="9"/>
  <c r="N39" i="6"/>
  <c r="N30" i="6"/>
  <c r="N27" i="6"/>
  <c r="N24" i="6"/>
  <c r="N23" i="6"/>
  <c r="N19" i="6"/>
  <c r="N15" i="6"/>
  <c r="N11" i="6"/>
  <c r="N8" i="6"/>
  <c r="G41" i="6"/>
  <c r="C41" i="6"/>
  <c r="B39" i="9"/>
  <c r="N39" i="9" s="1"/>
  <c r="N38" i="6"/>
  <c r="B38" i="9"/>
  <c r="N37" i="6"/>
  <c r="B9" i="14"/>
  <c r="N9" i="14" s="1"/>
  <c r="N8" i="14"/>
  <c r="N11" i="14"/>
  <c r="N15" i="14"/>
  <c r="N19" i="14"/>
  <c r="N20" i="14"/>
  <c r="N30" i="14"/>
  <c r="E24" i="3"/>
  <c r="N24" i="14"/>
  <c r="N16" i="14"/>
  <c r="N29" i="14"/>
  <c r="N12" i="14"/>
  <c r="N23" i="14"/>
  <c r="N27" i="14"/>
  <c r="N28" i="14"/>
  <c r="J25" i="14"/>
  <c r="I21" i="6"/>
  <c r="F7" i="16"/>
  <c r="F31" i="16" s="1"/>
  <c r="G7" i="14"/>
  <c r="G44" i="14" s="1"/>
  <c r="H7" i="16"/>
  <c r="H31" i="16" s="1"/>
  <c r="D7" i="16"/>
  <c r="D31" i="16" s="1"/>
  <c r="H25" i="14"/>
  <c r="H13" i="14"/>
  <c r="H17" i="14"/>
  <c r="J21" i="14"/>
  <c r="D17" i="6"/>
  <c r="G21" i="14"/>
  <c r="H21" i="14"/>
  <c r="E21" i="14"/>
  <c r="G7" i="9"/>
  <c r="G37" i="9" s="1"/>
  <c r="C17" i="14"/>
  <c r="C21" i="14"/>
  <c r="C13" i="14"/>
  <c r="C25" i="14"/>
  <c r="M14" i="3"/>
  <c r="N14" i="3"/>
  <c r="M16" i="3"/>
  <c r="N16" i="3"/>
  <c r="M18" i="3"/>
  <c r="M12" i="3"/>
  <c r="F12" i="3"/>
  <c r="M13" i="3"/>
  <c r="F13" i="3"/>
  <c r="N13" i="3" s="1"/>
  <c r="M15" i="3"/>
  <c r="N15" i="3"/>
  <c r="M17" i="3"/>
  <c r="N17" i="3"/>
  <c r="M20" i="3"/>
  <c r="N20" i="3"/>
  <c r="M19" i="3"/>
  <c r="N19" i="3"/>
  <c r="E40" i="9"/>
  <c r="C40" i="9"/>
  <c r="F40" i="9"/>
  <c r="F42" i="9" s="1"/>
  <c r="D40" i="9"/>
  <c r="D42" i="9" s="1"/>
  <c r="I21" i="14"/>
  <c r="D21" i="14"/>
  <c r="J17" i="14"/>
  <c r="E13" i="14"/>
  <c r="I13" i="14"/>
  <c r="D13" i="14"/>
  <c r="B13" i="14"/>
  <c r="J13" i="14"/>
  <c r="G13" i="14"/>
  <c r="D17" i="14"/>
  <c r="B17" i="14"/>
  <c r="B21" i="14"/>
  <c r="B25" i="14"/>
  <c r="D25" i="14"/>
  <c r="I17" i="14"/>
  <c r="I25" i="14"/>
  <c r="F25" i="14"/>
  <c r="F17" i="14"/>
  <c r="G25" i="14"/>
  <c r="G17" i="14"/>
  <c r="E25" i="14"/>
  <c r="E17" i="14"/>
  <c r="F21" i="14"/>
  <c r="F13" i="14"/>
  <c r="H25" i="6"/>
  <c r="D25" i="6"/>
  <c r="G21" i="6"/>
  <c r="E21" i="6"/>
  <c r="C21" i="6"/>
  <c r="B17" i="6"/>
  <c r="I13" i="6"/>
  <c r="G13" i="6"/>
  <c r="E13" i="6"/>
  <c r="J25" i="6"/>
  <c r="J17" i="6"/>
  <c r="J41" i="6"/>
  <c r="B41" i="6"/>
  <c r="I7" i="14"/>
  <c r="I44" i="14" s="1"/>
  <c r="C7" i="14"/>
  <c r="C44" i="14" s="1"/>
  <c r="I7" i="9"/>
  <c r="I37" i="9" s="1"/>
  <c r="E7" i="9"/>
  <c r="E37" i="9" s="1"/>
  <c r="D9" i="6"/>
  <c r="B9" i="6"/>
  <c r="J9" i="6"/>
  <c r="F41" i="6"/>
  <c r="H17" i="6"/>
  <c r="F17" i="6"/>
  <c r="C13" i="6"/>
  <c r="J42" i="9"/>
  <c r="H41" i="6"/>
  <c r="C7" i="9"/>
  <c r="C37" i="9" s="1"/>
  <c r="D41" i="6"/>
  <c r="B25" i="6"/>
  <c r="F25" i="6"/>
  <c r="I38" i="9"/>
  <c r="I42" i="9" s="1"/>
  <c r="G38" i="9"/>
  <c r="G42" i="9" s="1"/>
  <c r="E38" i="9"/>
  <c r="C38" i="9"/>
  <c r="N18" i="3"/>
  <c r="E91" i="14"/>
  <c r="L65" i="14"/>
  <c r="K7" i="16"/>
  <c r="K31" i="16" s="1"/>
  <c r="J7" i="6"/>
  <c r="J36" i="6" s="1"/>
  <c r="J7" i="9"/>
  <c r="J37" i="9" s="1"/>
  <c r="J7" i="14"/>
  <c r="I7" i="16"/>
  <c r="I31" i="16" s="1"/>
  <c r="H7" i="6"/>
  <c r="H36" i="6" s="1"/>
  <c r="H7" i="9"/>
  <c r="H37" i="9" s="1"/>
  <c r="H7" i="14"/>
  <c r="G31" i="16"/>
  <c r="F7" i="6"/>
  <c r="F36" i="6" s="1"/>
  <c r="F7" i="9"/>
  <c r="F37" i="9" s="1"/>
  <c r="F7" i="14"/>
  <c r="E31" i="16"/>
  <c r="D7" i="6"/>
  <c r="D36" i="6" s="1"/>
  <c r="D7" i="9"/>
  <c r="D37" i="9" s="1"/>
  <c r="D7" i="14"/>
  <c r="C31" i="16"/>
  <c r="B7" i="6"/>
  <c r="B36" i="6" s="1"/>
  <c r="B7" i="9"/>
  <c r="B37" i="9" s="1"/>
  <c r="B7" i="14"/>
  <c r="I7" i="6"/>
  <c r="I36" i="6" s="1"/>
  <c r="G7" i="6"/>
  <c r="G36" i="6" s="1"/>
  <c r="E7" i="6"/>
  <c r="E36" i="6" s="1"/>
  <c r="C7" i="6"/>
  <c r="C36" i="6" s="1"/>
  <c r="J21" i="6"/>
  <c r="J13" i="6"/>
  <c r="I25" i="6"/>
  <c r="I17" i="6"/>
  <c r="I9" i="6"/>
  <c r="H21" i="6"/>
  <c r="H13" i="6"/>
  <c r="G25" i="6"/>
  <c r="G17" i="6"/>
  <c r="G9" i="6"/>
  <c r="F21" i="6"/>
  <c r="F13" i="6"/>
  <c r="E25" i="6"/>
  <c r="E17" i="6"/>
  <c r="E9" i="6"/>
  <c r="D21" i="6"/>
  <c r="D13" i="6"/>
  <c r="C25" i="6"/>
  <c r="C17" i="6"/>
  <c r="C9" i="6"/>
  <c r="B21" i="6"/>
  <c r="B13" i="6"/>
  <c r="N9" i="6" l="1"/>
  <c r="B42" i="9"/>
  <c r="N38" i="9"/>
  <c r="N40" i="9"/>
  <c r="N25" i="14"/>
  <c r="M24" i="3"/>
  <c r="N21" i="14"/>
  <c r="N13" i="14"/>
  <c r="N17" i="14"/>
  <c r="N12" i="3"/>
  <c r="N24" i="3" s="1"/>
  <c r="F24" i="3"/>
  <c r="B36" i="14" s="1" a="1"/>
  <c r="G91" i="14"/>
  <c r="N65" i="14"/>
  <c r="C42" i="9"/>
  <c r="E42" i="9"/>
  <c r="P65" i="14"/>
  <c r="I91" i="14"/>
  <c r="N41" i="6"/>
  <c r="N25" i="6"/>
  <c r="J32" i="14"/>
  <c r="J65" i="14"/>
  <c r="C91" i="14"/>
  <c r="E32" i="14"/>
  <c r="G32" i="14"/>
  <c r="F32" i="14"/>
  <c r="D32" i="14"/>
  <c r="B44" i="14"/>
  <c r="I65" i="14"/>
  <c r="B91" i="14"/>
  <c r="F44" i="14"/>
  <c r="M65" i="14"/>
  <c r="F91" i="14"/>
  <c r="J44" i="14"/>
  <c r="J91" i="14"/>
  <c r="Q65" i="14"/>
  <c r="D44" i="14"/>
  <c r="K65" i="14"/>
  <c r="D91" i="14"/>
  <c r="H44" i="14"/>
  <c r="O65" i="14"/>
  <c r="H91" i="14"/>
  <c r="B32" i="6"/>
  <c r="F32" i="6"/>
  <c r="J32" i="6"/>
  <c r="D32" i="6"/>
  <c r="E32" i="6"/>
  <c r="H32" i="6"/>
  <c r="I32" i="6"/>
  <c r="C32" i="14"/>
  <c r="I32" i="14"/>
  <c r="B32" i="14"/>
  <c r="H32" i="14"/>
  <c r="C32" i="6"/>
  <c r="G32" i="6"/>
  <c r="B36" i="14" l="1"/>
  <c r="M36" i="14"/>
  <c r="E36" i="14"/>
  <c r="I36" i="14"/>
  <c r="D36" i="14"/>
  <c r="J36" i="14"/>
  <c r="C36" i="14"/>
  <c r="K36" i="14"/>
  <c r="F36" i="14"/>
  <c r="L36" i="14"/>
  <c r="G36" i="14"/>
  <c r="H36" i="14"/>
  <c r="N36" i="14"/>
  <c r="Z57" i="3"/>
  <c r="V23" i="3"/>
  <c r="N42" i="9"/>
  <c r="J33" i="14"/>
  <c r="G44" i="6"/>
  <c r="G33" i="14"/>
  <c r="H44" i="6"/>
  <c r="H33" i="14"/>
  <c r="I44" i="6"/>
  <c r="I33" i="14"/>
  <c r="E44" i="6"/>
  <c r="E33" i="14"/>
  <c r="F44" i="6"/>
  <c r="F33" i="14"/>
  <c r="D44" i="6"/>
  <c r="D33" i="14"/>
  <c r="C44" i="6"/>
  <c r="C33" i="14"/>
  <c r="B44" i="6"/>
  <c r="B33" i="14"/>
  <c r="J44" i="6"/>
  <c r="N32" i="14"/>
  <c r="N32" i="6"/>
  <c r="N44" i="6" s="1"/>
  <c r="N40" i="14" l="1"/>
  <c r="I40" i="14"/>
  <c r="I37" i="14"/>
  <c r="L40" i="14"/>
  <c r="L37" i="14"/>
  <c r="J37" i="14"/>
  <c r="J40" i="14"/>
  <c r="M40" i="14"/>
  <c r="M37" i="14"/>
  <c r="H40" i="14"/>
  <c r="H37" i="14"/>
  <c r="K40" i="14"/>
  <c r="K37" i="14"/>
  <c r="G40" i="14"/>
  <c r="G37" i="14"/>
  <c r="C40" i="14"/>
  <c r="C37" i="14"/>
  <c r="E37" i="14"/>
  <c r="E40" i="14"/>
  <c r="F40" i="14"/>
  <c r="F37" i="14"/>
  <c r="D37" i="14"/>
  <c r="D40" i="14"/>
  <c r="B40" i="14"/>
  <c r="B37" i="14"/>
  <c r="R72" i="3"/>
  <c r="R73" i="3"/>
  <c r="R66" i="3"/>
  <c r="R70" i="3"/>
  <c r="R64" i="3"/>
  <c r="R68" i="3"/>
  <c r="Z23" i="3"/>
  <c r="R69" i="3"/>
  <c r="R63" i="3"/>
  <c r="R67" i="3"/>
  <c r="R71" i="3"/>
  <c r="R23" i="3"/>
  <c r="R65" i="3"/>
  <c r="R62" i="3"/>
  <c r="O9" i="14"/>
  <c r="O25" i="14"/>
  <c r="O21" i="14"/>
  <c r="O13" i="14"/>
  <c r="O17" i="14"/>
  <c r="N33" i="14"/>
  <c r="O28" i="14"/>
  <c r="O30" i="14"/>
  <c r="O27" i="14"/>
  <c r="O29" i="14"/>
  <c r="K46" i="14" l="1"/>
  <c r="K57" i="14"/>
  <c r="K55" i="14"/>
  <c r="K47" i="14"/>
  <c r="K48" i="14"/>
  <c r="K52" i="14"/>
  <c r="K51" i="14"/>
  <c r="K53" i="14"/>
  <c r="K56" i="14"/>
  <c r="K54" i="14"/>
  <c r="K49" i="14"/>
  <c r="K50" i="14"/>
  <c r="K45" i="14"/>
  <c r="D56" i="14"/>
  <c r="D54" i="14"/>
  <c r="D45" i="14"/>
  <c r="D48" i="14"/>
  <c r="D47" i="14"/>
  <c r="D46" i="14"/>
  <c r="D52" i="14"/>
  <c r="D50" i="14"/>
  <c r="D55" i="14"/>
  <c r="D51" i="14"/>
  <c r="D53" i="14"/>
  <c r="D57" i="14"/>
  <c r="D49" i="14"/>
  <c r="J53" i="14"/>
  <c r="J55" i="14"/>
  <c r="J48" i="14"/>
  <c r="J52" i="14"/>
  <c r="J49" i="14"/>
  <c r="J47" i="14"/>
  <c r="J50" i="14"/>
  <c r="J45" i="14"/>
  <c r="J56" i="14"/>
  <c r="J46" i="14"/>
  <c r="J57" i="14"/>
  <c r="J54" i="14"/>
  <c r="J51" i="14"/>
  <c r="B47" i="14"/>
  <c r="B57" i="14"/>
  <c r="B48" i="14"/>
  <c r="B53" i="14"/>
  <c r="B55" i="14"/>
  <c r="B50" i="14"/>
  <c r="B51" i="14"/>
  <c r="B46" i="14"/>
  <c r="B49" i="14"/>
  <c r="B54" i="14"/>
  <c r="B52" i="14"/>
  <c r="B45" i="14"/>
  <c r="B56" i="14"/>
  <c r="F53" i="14"/>
  <c r="F46" i="14"/>
  <c r="F48" i="14"/>
  <c r="F56" i="14"/>
  <c r="F57" i="14"/>
  <c r="F52" i="14"/>
  <c r="F49" i="14"/>
  <c r="F51" i="14"/>
  <c r="F45" i="14"/>
  <c r="F54" i="14"/>
  <c r="F55" i="14"/>
  <c r="F50" i="14"/>
  <c r="F47" i="14"/>
  <c r="C50" i="14"/>
  <c r="C56" i="14"/>
  <c r="C48" i="14"/>
  <c r="C53" i="14"/>
  <c r="C49" i="14"/>
  <c r="C46" i="14"/>
  <c r="C45" i="14"/>
  <c r="C54" i="14"/>
  <c r="C52" i="14"/>
  <c r="C57" i="14"/>
  <c r="C51" i="14"/>
  <c r="C47" i="14"/>
  <c r="C55" i="14"/>
  <c r="M56" i="14"/>
  <c r="M45" i="14"/>
  <c r="M55" i="14"/>
  <c r="M53" i="14"/>
  <c r="M47" i="14"/>
  <c r="M57" i="14"/>
  <c r="M48" i="14"/>
  <c r="M50" i="14"/>
  <c r="M46" i="14"/>
  <c r="M49" i="14"/>
  <c r="M51" i="14"/>
  <c r="M54" i="14"/>
  <c r="M52" i="14"/>
  <c r="L51" i="14"/>
  <c r="L48" i="14"/>
  <c r="L50" i="14"/>
  <c r="L55" i="14"/>
  <c r="L54" i="14"/>
  <c r="L47" i="14"/>
  <c r="L53" i="14"/>
  <c r="L46" i="14"/>
  <c r="L56" i="14"/>
  <c r="L49" i="14"/>
  <c r="L57" i="14"/>
  <c r="L52" i="14"/>
  <c r="L45" i="14"/>
  <c r="E50" i="14"/>
  <c r="E57" i="14"/>
  <c r="E47" i="14"/>
  <c r="E52" i="14"/>
  <c r="E54" i="14"/>
  <c r="E48" i="14"/>
  <c r="E45" i="14"/>
  <c r="E55" i="14"/>
  <c r="E49" i="14"/>
  <c r="E51" i="14"/>
  <c r="E46" i="14"/>
  <c r="E53" i="14"/>
  <c r="E56" i="14"/>
  <c r="G50" i="14"/>
  <c r="G53" i="14"/>
  <c r="G47" i="14"/>
  <c r="G52" i="14"/>
  <c r="G54" i="14"/>
  <c r="G49" i="14"/>
  <c r="G55" i="14"/>
  <c r="G56" i="14"/>
  <c r="G57" i="14"/>
  <c r="G48" i="14"/>
  <c r="G46" i="14"/>
  <c r="G51" i="14"/>
  <c r="G45" i="14"/>
  <c r="H55" i="14"/>
  <c r="H52" i="14"/>
  <c r="H50" i="14"/>
  <c r="H45" i="14"/>
  <c r="H56" i="14"/>
  <c r="H54" i="14"/>
  <c r="H51" i="14"/>
  <c r="H48" i="14"/>
  <c r="H46" i="14"/>
  <c r="H47" i="14"/>
  <c r="H53" i="14"/>
  <c r="H57" i="14"/>
  <c r="H49" i="14"/>
  <c r="I56" i="14"/>
  <c r="I51" i="14"/>
  <c r="I57" i="14"/>
  <c r="I46" i="14"/>
  <c r="I49" i="14"/>
  <c r="I48" i="14"/>
  <c r="I50" i="14"/>
  <c r="I55" i="14"/>
  <c r="I54" i="14"/>
  <c r="I47" i="14"/>
  <c r="I45" i="14"/>
  <c r="I52" i="14"/>
  <c r="I53" i="14"/>
  <c r="O32" i="14"/>
  <c r="N17" i="25"/>
  <c r="L59" i="14" l="1"/>
  <c r="L61" i="14" s="1"/>
  <c r="C59" i="14"/>
  <c r="C61" i="14" s="1"/>
  <c r="M59" i="14"/>
  <c r="M61" i="14" s="1"/>
  <c r="D59" i="14"/>
  <c r="D61" i="14" s="1"/>
  <c r="I59" i="14"/>
  <c r="I61" i="14" s="1"/>
  <c r="G59" i="14"/>
  <c r="G61" i="14" s="1"/>
  <c r="J59" i="14"/>
  <c r="J61" i="14" s="1"/>
  <c r="E59" i="14"/>
  <c r="E61" i="14" s="1"/>
  <c r="H59" i="14"/>
  <c r="H61" i="14" s="1"/>
  <c r="F59" i="14"/>
  <c r="F61" i="14" s="1"/>
  <c r="K59" i="14"/>
  <c r="K61" i="14" s="1"/>
  <c r="N37" i="14"/>
  <c r="M12" i="9" l="1"/>
  <c r="M24" i="9"/>
  <c r="M16" i="9"/>
  <c r="M20" i="9"/>
  <c r="K16" i="9"/>
  <c r="K24" i="9"/>
  <c r="K12" i="9"/>
  <c r="K20" i="9"/>
  <c r="K19" i="9" l="1"/>
  <c r="K21" i="9" s="1"/>
  <c r="L25" i="2"/>
  <c r="L11" i="2" s="1"/>
  <c r="K29" i="9"/>
  <c r="L29" i="2"/>
  <c r="L15" i="2" s="1"/>
  <c r="K28" i="9"/>
  <c r="L28" i="2"/>
  <c r="L14" i="2" s="1"/>
  <c r="N27" i="2"/>
  <c r="N13" i="2" s="1"/>
  <c r="M23" i="9"/>
  <c r="M25" i="9" s="1"/>
  <c r="N25" i="2"/>
  <c r="N11" i="2" s="1"/>
  <c r="M19" i="9"/>
  <c r="M21" i="9" s="1"/>
  <c r="M27" i="9"/>
  <c r="N26" i="2"/>
  <c r="N12" i="2" s="1"/>
  <c r="K23" i="9"/>
  <c r="K25" i="9" s="1"/>
  <c r="L27" i="2"/>
  <c r="L13" i="2" s="1"/>
  <c r="K15" i="9"/>
  <c r="K17" i="9" s="1"/>
  <c r="L24" i="2"/>
  <c r="L10" i="2" s="1"/>
  <c r="K30" i="9"/>
  <c r="L30" i="2"/>
  <c r="L16" i="2" s="1"/>
  <c r="M11" i="9"/>
  <c r="M13" i="9" s="1"/>
  <c r="N23" i="2"/>
  <c r="N9" i="2" s="1"/>
  <c r="K27" i="9"/>
  <c r="L26" i="2"/>
  <c r="L12" i="2" s="1"/>
  <c r="L22" i="2"/>
  <c r="K8" i="9"/>
  <c r="K9" i="9" s="1"/>
  <c r="K11" i="9"/>
  <c r="K13" i="9" s="1"/>
  <c r="L23" i="2"/>
  <c r="L9" i="2" s="1"/>
  <c r="N28" i="2"/>
  <c r="N14" i="2" s="1"/>
  <c r="M28" i="9"/>
  <c r="M15" i="9"/>
  <c r="M17" i="9" s="1"/>
  <c r="N24" i="2"/>
  <c r="N10" i="2" s="1"/>
  <c r="M29" i="9"/>
  <c r="N29" i="2"/>
  <c r="N15" i="2" s="1"/>
  <c r="M8" i="9"/>
  <c r="M9" i="9" s="1"/>
  <c r="N22" i="2"/>
  <c r="N30" i="2"/>
  <c r="N16" i="2" s="1"/>
  <c r="M30" i="9"/>
  <c r="J24" i="9"/>
  <c r="J16" i="9"/>
  <c r="J29" i="9"/>
  <c r="J27" i="9"/>
  <c r="J20" i="9"/>
  <c r="J12" i="9"/>
  <c r="J30" i="9"/>
  <c r="J28" i="9"/>
  <c r="J8" i="9"/>
  <c r="I24" i="9"/>
  <c r="I12" i="9"/>
  <c r="I20" i="9"/>
  <c r="I29" i="9"/>
  <c r="I27" i="9"/>
  <c r="I16" i="9"/>
  <c r="I30" i="9"/>
  <c r="I28" i="9"/>
  <c r="I8" i="9"/>
  <c r="H30" i="9"/>
  <c r="H28" i="9"/>
  <c r="H8" i="9"/>
  <c r="H20" i="9"/>
  <c r="H12" i="9"/>
  <c r="H24" i="9"/>
  <c r="H16" i="9"/>
  <c r="H29" i="9"/>
  <c r="H27" i="9"/>
  <c r="G30" i="9"/>
  <c r="G28" i="9"/>
  <c r="G8" i="9"/>
  <c r="G24" i="9"/>
  <c r="G16" i="9"/>
  <c r="G20" i="9"/>
  <c r="G12" i="9"/>
  <c r="G29" i="9"/>
  <c r="G27" i="9"/>
  <c r="F29" i="9"/>
  <c r="F27" i="9"/>
  <c r="F20" i="9"/>
  <c r="F12" i="9"/>
  <c r="F24" i="9"/>
  <c r="F16" i="9"/>
  <c r="F30" i="9"/>
  <c r="F28" i="9"/>
  <c r="F8" i="9"/>
  <c r="E29" i="9"/>
  <c r="E27" i="9"/>
  <c r="E24" i="9"/>
  <c r="E16" i="9"/>
  <c r="E20" i="9"/>
  <c r="E12" i="9"/>
  <c r="E30" i="9"/>
  <c r="E28" i="9"/>
  <c r="E8" i="9"/>
  <c r="D20" i="9"/>
  <c r="D12" i="9"/>
  <c r="D24" i="9"/>
  <c r="D16" i="9"/>
  <c r="D30" i="9"/>
  <c r="D28" i="9"/>
  <c r="D8" i="9"/>
  <c r="D29" i="9"/>
  <c r="D27" i="9"/>
  <c r="C30" i="9"/>
  <c r="C28" i="9"/>
  <c r="C8" i="9"/>
  <c r="C24" i="9"/>
  <c r="C16" i="9"/>
  <c r="C20" i="9"/>
  <c r="C12" i="9"/>
  <c r="C29" i="9"/>
  <c r="C27" i="9"/>
  <c r="H22" i="2"/>
  <c r="J28" i="2" l="1"/>
  <c r="J14" i="2" s="1"/>
  <c r="K32" i="9"/>
  <c r="K45" i="9" s="1"/>
  <c r="B27" i="9"/>
  <c r="B16" i="9"/>
  <c r="N32" i="2"/>
  <c r="N8" i="2"/>
  <c r="N18" i="2" s="1"/>
  <c r="B8" i="9"/>
  <c r="B29" i="9"/>
  <c r="B24" i="9"/>
  <c r="L8" i="2"/>
  <c r="L18" i="2" s="1"/>
  <c r="L32" i="2"/>
  <c r="B28" i="9"/>
  <c r="B12" i="9"/>
  <c r="M32" i="9"/>
  <c r="B30" i="9"/>
  <c r="B20" i="9"/>
  <c r="I26" i="2"/>
  <c r="I12" i="2" s="1"/>
  <c r="I28" i="2"/>
  <c r="I14" i="2" s="1"/>
  <c r="C22" i="2"/>
  <c r="F29" i="2"/>
  <c r="F15" i="2" s="1"/>
  <c r="H29" i="2"/>
  <c r="H15" i="2" s="1"/>
  <c r="C26" i="2"/>
  <c r="K26" i="2"/>
  <c r="K12" i="2" s="1"/>
  <c r="K22" i="2"/>
  <c r="K8" i="2" s="1"/>
  <c r="J30" i="2"/>
  <c r="J16" i="2" s="1"/>
  <c r="G26" i="2"/>
  <c r="G12" i="2" s="1"/>
  <c r="F30" i="2"/>
  <c r="F16" i="2" s="1"/>
  <c r="G22" i="2"/>
  <c r="G8" i="2" s="1"/>
  <c r="E28" i="2"/>
  <c r="E14" i="2" s="1"/>
  <c r="F28" i="2"/>
  <c r="F14" i="2" s="1"/>
  <c r="E26" i="2"/>
  <c r="E12" i="2" s="1"/>
  <c r="E30" i="2"/>
  <c r="E16" i="2" s="1"/>
  <c r="I30" i="2"/>
  <c r="I16" i="2" s="1"/>
  <c r="D29" i="2"/>
  <c r="D15" i="2" s="1"/>
  <c r="D22" i="2"/>
  <c r="D8" i="2" s="1"/>
  <c r="E22" i="2"/>
  <c r="E8" i="2" s="1"/>
  <c r="H26" i="2"/>
  <c r="H12" i="2" s="1"/>
  <c r="F26" i="2"/>
  <c r="F12" i="2" s="1"/>
  <c r="K29" i="2"/>
  <c r="K15" i="2" s="1"/>
  <c r="D26" i="2"/>
  <c r="D12" i="2" s="1"/>
  <c r="G30" i="2"/>
  <c r="G16" i="2" s="1"/>
  <c r="G28" i="2"/>
  <c r="G14" i="2" s="1"/>
  <c r="J26" i="2"/>
  <c r="J12" i="2" s="1"/>
  <c r="I29" i="2"/>
  <c r="I15" i="2" s="1"/>
  <c r="J22" i="2"/>
  <c r="J8" i="2" s="1"/>
  <c r="F22" i="2"/>
  <c r="F8" i="2" s="1"/>
  <c r="H30" i="2"/>
  <c r="H16" i="2" s="1"/>
  <c r="C30" i="2"/>
  <c r="E29" i="2"/>
  <c r="E15" i="2" s="1"/>
  <c r="K30" i="2"/>
  <c r="K16" i="2" s="1"/>
  <c r="K28" i="2"/>
  <c r="K14" i="2" s="1"/>
  <c r="H28" i="2"/>
  <c r="H14" i="2" s="1"/>
  <c r="D28" i="2"/>
  <c r="D14" i="2" s="1"/>
  <c r="I22" i="2"/>
  <c r="I8" i="2" s="1"/>
  <c r="K25" i="2"/>
  <c r="K11" i="2" s="1"/>
  <c r="J19" i="9"/>
  <c r="K24" i="2"/>
  <c r="K10" i="2" s="1"/>
  <c r="J15" i="9"/>
  <c r="J17" i="9" s="1"/>
  <c r="K23" i="2"/>
  <c r="K9" i="2" s="1"/>
  <c r="J11" i="9"/>
  <c r="K27" i="2"/>
  <c r="K13" i="2" s="1"/>
  <c r="J23" i="9"/>
  <c r="J23" i="2"/>
  <c r="J9" i="2" s="1"/>
  <c r="I11" i="9"/>
  <c r="J27" i="2"/>
  <c r="J13" i="2" s="1"/>
  <c r="I23" i="9"/>
  <c r="I25" i="9" s="1"/>
  <c r="J25" i="2"/>
  <c r="J11" i="2" s="1"/>
  <c r="I19" i="9"/>
  <c r="J24" i="2"/>
  <c r="J10" i="2" s="1"/>
  <c r="I15" i="9"/>
  <c r="I17" i="9" s="1"/>
  <c r="J29" i="2"/>
  <c r="J15" i="2" s="1"/>
  <c r="I23" i="2"/>
  <c r="I9" i="2" s="1"/>
  <c r="H11" i="9"/>
  <c r="I27" i="2"/>
  <c r="I13" i="2" s="1"/>
  <c r="H23" i="9"/>
  <c r="I25" i="2"/>
  <c r="I11" i="2" s="1"/>
  <c r="H19" i="9"/>
  <c r="I24" i="2"/>
  <c r="I10" i="2" s="1"/>
  <c r="H15" i="9"/>
  <c r="H24" i="2"/>
  <c r="H10" i="2" s="1"/>
  <c r="G15" i="9"/>
  <c r="H25" i="2"/>
  <c r="H11" i="2" s="1"/>
  <c r="G19" i="9"/>
  <c r="H23" i="2"/>
  <c r="H9" i="2" s="1"/>
  <c r="G11" i="9"/>
  <c r="H27" i="2"/>
  <c r="H13" i="2" s="1"/>
  <c r="G23" i="9"/>
  <c r="G23" i="2"/>
  <c r="G9" i="2" s="1"/>
  <c r="F11" i="9"/>
  <c r="G27" i="2"/>
  <c r="G13" i="2" s="1"/>
  <c r="F23" i="9"/>
  <c r="G25" i="2"/>
  <c r="G11" i="2" s="1"/>
  <c r="F19" i="9"/>
  <c r="G24" i="2"/>
  <c r="G10" i="2" s="1"/>
  <c r="F15" i="9"/>
  <c r="G29" i="2"/>
  <c r="G15" i="2" s="1"/>
  <c r="F23" i="2"/>
  <c r="F9" i="2" s="1"/>
  <c r="E11" i="9"/>
  <c r="F27" i="2"/>
  <c r="F13" i="2" s="1"/>
  <c r="E23" i="9"/>
  <c r="F24" i="2"/>
  <c r="F10" i="2" s="1"/>
  <c r="E15" i="9"/>
  <c r="F25" i="2"/>
  <c r="F11" i="2" s="1"/>
  <c r="E19" i="9"/>
  <c r="E25" i="2"/>
  <c r="E11" i="2" s="1"/>
  <c r="D19" i="9"/>
  <c r="E24" i="2"/>
  <c r="E10" i="2" s="1"/>
  <c r="D15" i="9"/>
  <c r="E23" i="2"/>
  <c r="E9" i="2" s="1"/>
  <c r="D11" i="9"/>
  <c r="E27" i="2"/>
  <c r="E13" i="2" s="1"/>
  <c r="D23" i="9"/>
  <c r="D24" i="2"/>
  <c r="D10" i="2" s="1"/>
  <c r="C15" i="9"/>
  <c r="D25" i="2"/>
  <c r="D11" i="2" s="1"/>
  <c r="C19" i="9"/>
  <c r="D23" i="2"/>
  <c r="D9" i="2" s="1"/>
  <c r="C11" i="9"/>
  <c r="D27" i="2"/>
  <c r="D13" i="2" s="1"/>
  <c r="C23" i="9"/>
  <c r="D30" i="2"/>
  <c r="D16" i="2" s="1"/>
  <c r="C29" i="2"/>
  <c r="C28" i="2"/>
  <c r="C25" i="2"/>
  <c r="B19" i="9"/>
  <c r="C24" i="2"/>
  <c r="B15" i="9"/>
  <c r="C23" i="2"/>
  <c r="B11" i="9"/>
  <c r="C27" i="2"/>
  <c r="B23" i="9"/>
  <c r="J9" i="9"/>
  <c r="B59" i="14"/>
  <c r="B61" i="14" s="1"/>
  <c r="H8" i="2"/>
  <c r="C13" i="2" l="1"/>
  <c r="C9" i="2"/>
  <c r="C11" i="2"/>
  <c r="C16" i="2"/>
  <c r="C8" i="2"/>
  <c r="C10" i="2"/>
  <c r="C14" i="2"/>
  <c r="C12" i="2"/>
  <c r="K34" i="9"/>
  <c r="C15" i="2"/>
  <c r="M34" i="9"/>
  <c r="M45" i="9"/>
  <c r="G18" i="2"/>
  <c r="H32" i="2"/>
  <c r="F32" i="2"/>
  <c r="E18" i="2"/>
  <c r="I18" i="2"/>
  <c r="K18" i="2"/>
  <c r="D32" i="2"/>
  <c r="J32" i="2"/>
  <c r="I32" i="2"/>
  <c r="F18" i="2"/>
  <c r="E32" i="2"/>
  <c r="J18" i="2"/>
  <c r="K32" i="2"/>
  <c r="D18" i="2"/>
  <c r="H18" i="2"/>
  <c r="C32" i="2"/>
  <c r="G32" i="2"/>
  <c r="D21" i="9"/>
  <c r="B25" i="9"/>
  <c r="C21" i="9"/>
  <c r="E21" i="9"/>
  <c r="J21" i="9"/>
  <c r="J13" i="9"/>
  <c r="J25" i="9"/>
  <c r="C17" i="9"/>
  <c r="D25" i="9"/>
  <c r="I21" i="9"/>
  <c r="H25" i="9"/>
  <c r="I9" i="9"/>
  <c r="F9" i="9"/>
  <c r="C9" i="9"/>
  <c r="G9" i="9"/>
  <c r="G25" i="9"/>
  <c r="H21" i="9"/>
  <c r="H17" i="9"/>
  <c r="F25" i="9"/>
  <c r="F13" i="9"/>
  <c r="C25" i="9"/>
  <c r="G17" i="9"/>
  <c r="G21" i="9"/>
  <c r="E9" i="9"/>
  <c r="D9" i="9"/>
  <c r="B13" i="9"/>
  <c r="B9" i="9"/>
  <c r="H13" i="9"/>
  <c r="H9" i="9"/>
  <c r="F17" i="9"/>
  <c r="F21" i="9"/>
  <c r="I13" i="9"/>
  <c r="C18" i="2" l="1"/>
  <c r="E17" i="9"/>
  <c r="E25" i="9"/>
  <c r="E13" i="9"/>
  <c r="G13" i="9"/>
  <c r="G32" i="9" s="1"/>
  <c r="B21" i="9"/>
  <c r="D17" i="9"/>
  <c r="I32" i="9"/>
  <c r="B17" i="9"/>
  <c r="D13" i="9"/>
  <c r="C13" i="9"/>
  <c r="H32" i="9"/>
  <c r="H34" i="9" s="1"/>
  <c r="J32" i="9"/>
  <c r="J34" i="9" s="1"/>
  <c r="F32" i="9"/>
  <c r="C32" i="9" l="1"/>
  <c r="C34" i="9" s="1"/>
  <c r="I45" i="9"/>
  <c r="I34" i="9"/>
  <c r="G45" i="9"/>
  <c r="G34" i="9"/>
  <c r="F45" i="9"/>
  <c r="F34" i="9"/>
  <c r="E32" i="9"/>
  <c r="E34" i="9" s="1"/>
  <c r="B32" i="9"/>
  <c r="D32" i="9"/>
  <c r="D34" i="9" s="1"/>
  <c r="J45" i="9"/>
  <c r="H45" i="9"/>
  <c r="E45" i="9" l="1"/>
  <c r="C45" i="9"/>
  <c r="B45" i="9"/>
  <c r="B34" i="9"/>
  <c r="D45" i="9"/>
  <c r="N46" i="14" l="1"/>
  <c r="N50" i="14"/>
  <c r="N48" i="14"/>
  <c r="N52" i="14"/>
  <c r="N55" i="14"/>
  <c r="N57" i="14"/>
  <c r="N56" i="14"/>
  <c r="N54" i="14"/>
  <c r="M22" i="2" l="1"/>
  <c r="N45" i="14"/>
  <c r="L16" i="9"/>
  <c r="N16" i="9" s="1"/>
  <c r="P16" i="9" s="1"/>
  <c r="N49" i="14"/>
  <c r="L12" i="9"/>
  <c r="N12" i="9" s="1"/>
  <c r="P12" i="9" s="1"/>
  <c r="N47" i="14"/>
  <c r="L20" i="9"/>
  <c r="N20" i="9" s="1"/>
  <c r="P20" i="9" s="1"/>
  <c r="N51" i="14"/>
  <c r="L24" i="9"/>
  <c r="N24" i="9" s="1"/>
  <c r="P24" i="9" s="1"/>
  <c r="N53" i="14"/>
  <c r="L28" i="9"/>
  <c r="S45" i="3" s="1" a="1"/>
  <c r="M28" i="2"/>
  <c r="L19" i="9"/>
  <c r="M25" i="2"/>
  <c r="L29" i="9"/>
  <c r="W45" i="3" s="1" a="1"/>
  <c r="M29" i="2"/>
  <c r="L23" i="9"/>
  <c r="M27" i="2"/>
  <c r="L30" i="9"/>
  <c r="AA45" i="3" s="1" a="1"/>
  <c r="M30" i="2"/>
  <c r="L15" i="9"/>
  <c r="M24" i="2"/>
  <c r="L27" i="9"/>
  <c r="AA28" i="3" s="1" a="1"/>
  <c r="M26" i="2"/>
  <c r="L11" i="9"/>
  <c r="M23" i="2"/>
  <c r="B23" i="2" s="1"/>
  <c r="E27" i="3" s="1"/>
  <c r="L8" i="9"/>
  <c r="AA28" i="3" l="1"/>
  <c r="AA31" i="3"/>
  <c r="AA35" i="3"/>
  <c r="AA39" i="3"/>
  <c r="AA38" i="3"/>
  <c r="AA33" i="3"/>
  <c r="AA34" i="3"/>
  <c r="AA29" i="3"/>
  <c r="AA30" i="3"/>
  <c r="AA36" i="3"/>
  <c r="AA37" i="3"/>
  <c r="AA32" i="3"/>
  <c r="AA48" i="3"/>
  <c r="AA55" i="3"/>
  <c r="AA50" i="3"/>
  <c r="AA45" i="3"/>
  <c r="AA53" i="3"/>
  <c r="AA54" i="3"/>
  <c r="AA51" i="3"/>
  <c r="AA46" i="3"/>
  <c r="AA56" i="3"/>
  <c r="AA47" i="3"/>
  <c r="AA52" i="3"/>
  <c r="AA49" i="3"/>
  <c r="S48" i="3"/>
  <c r="S55" i="3"/>
  <c r="S50" i="3"/>
  <c r="T50" i="3" s="1"/>
  <c r="S45" i="3"/>
  <c r="S47" i="3"/>
  <c r="S52" i="3"/>
  <c r="S54" i="3"/>
  <c r="S51" i="3"/>
  <c r="S46" i="3"/>
  <c r="S56" i="3"/>
  <c r="S53" i="3"/>
  <c r="S49" i="3"/>
  <c r="W47" i="3"/>
  <c r="W46" i="3"/>
  <c r="W56" i="3"/>
  <c r="W51" i="3"/>
  <c r="W48" i="3"/>
  <c r="W50" i="3"/>
  <c r="W45" i="3"/>
  <c r="W55" i="3"/>
  <c r="W53" i="3"/>
  <c r="W52" i="3"/>
  <c r="W54" i="3"/>
  <c r="X54" i="3" s="1"/>
  <c r="W49" i="3"/>
  <c r="M12" i="2"/>
  <c r="B12" i="2" s="1"/>
  <c r="F30" i="3" s="1"/>
  <c r="B26" i="2"/>
  <c r="E30" i="3" s="1"/>
  <c r="M16" i="2"/>
  <c r="B16" i="2" s="1"/>
  <c r="F34" i="3" s="1"/>
  <c r="B30" i="2"/>
  <c r="E34" i="3" s="1"/>
  <c r="M15" i="2"/>
  <c r="B15" i="2" s="1"/>
  <c r="F33" i="3" s="1"/>
  <c r="B29" i="2"/>
  <c r="E33" i="3" s="1"/>
  <c r="M14" i="2"/>
  <c r="B14" i="2" s="1"/>
  <c r="F32" i="3" s="1"/>
  <c r="B28" i="2"/>
  <c r="E32" i="3" s="1"/>
  <c r="M10" i="2"/>
  <c r="B10" i="2" s="1"/>
  <c r="F28" i="3" s="1"/>
  <c r="B24" i="2"/>
  <c r="E28" i="3" s="1"/>
  <c r="M13" i="2"/>
  <c r="B13" i="2" s="1"/>
  <c r="F31" i="3" s="1"/>
  <c r="B27" i="2"/>
  <c r="E31" i="3" s="1"/>
  <c r="M11" i="2"/>
  <c r="B11" i="2" s="1"/>
  <c r="F29" i="3" s="1"/>
  <c r="B25" i="2"/>
  <c r="E29" i="3" s="1"/>
  <c r="M8" i="2"/>
  <c r="B8" i="2" s="1"/>
  <c r="B22" i="2"/>
  <c r="Q16" i="9"/>
  <c r="Q24" i="9"/>
  <c r="N27" i="9"/>
  <c r="P27" i="9" s="1"/>
  <c r="Q27" i="9" s="1"/>
  <c r="N30" i="9"/>
  <c r="P30" i="9" s="1"/>
  <c r="Q30" i="9" s="1"/>
  <c r="N28" i="9"/>
  <c r="P28" i="9" s="1"/>
  <c r="Q28" i="9" s="1"/>
  <c r="Q20" i="9"/>
  <c r="N59" i="14"/>
  <c r="L9" i="9"/>
  <c r="S11" i="3" s="1" a="1"/>
  <c r="N8" i="9"/>
  <c r="N29" i="9"/>
  <c r="P29" i="9" s="1"/>
  <c r="Q29" i="9" s="1"/>
  <c r="Q12" i="9"/>
  <c r="L13" i="9"/>
  <c r="W11" i="3" s="1" a="1"/>
  <c r="N11" i="9"/>
  <c r="P11" i="9" s="1"/>
  <c r="Q11" i="9" s="1"/>
  <c r="L17" i="9"/>
  <c r="AA11" i="3" s="1" a="1"/>
  <c r="N15" i="9"/>
  <c r="P15" i="9" s="1"/>
  <c r="Q15" i="9" s="1"/>
  <c r="L25" i="9"/>
  <c r="W28" i="3" s="1" a="1"/>
  <c r="N23" i="9"/>
  <c r="P23" i="9" s="1"/>
  <c r="Q23" i="9" s="1"/>
  <c r="L21" i="9"/>
  <c r="S28" i="3" s="1" a="1"/>
  <c r="N19" i="9"/>
  <c r="P19" i="9" s="1"/>
  <c r="Q19" i="9" s="1"/>
  <c r="M32" i="2"/>
  <c r="M9" i="2"/>
  <c r="AA40" i="3" l="1"/>
  <c r="S14" i="3"/>
  <c r="S13" i="3"/>
  <c r="S19" i="3"/>
  <c r="S18" i="3"/>
  <c r="S22" i="3"/>
  <c r="S20" i="3"/>
  <c r="S15" i="3"/>
  <c r="S21" i="3"/>
  <c r="S16" i="3"/>
  <c r="S11" i="3"/>
  <c r="S17" i="3"/>
  <c r="S12" i="3"/>
  <c r="W11" i="3"/>
  <c r="W18" i="3"/>
  <c r="W22" i="3"/>
  <c r="W14" i="3"/>
  <c r="W17" i="3"/>
  <c r="W12" i="3"/>
  <c r="W13" i="3"/>
  <c r="W19" i="3"/>
  <c r="W20" i="3"/>
  <c r="W15" i="3"/>
  <c r="W21" i="3"/>
  <c r="W16" i="3"/>
  <c r="AA14" i="3"/>
  <c r="AA20" i="3"/>
  <c r="AA15" i="3"/>
  <c r="AA12" i="3"/>
  <c r="AA19" i="3"/>
  <c r="AA21" i="3"/>
  <c r="AA16" i="3"/>
  <c r="AA11" i="3"/>
  <c r="AA17" i="3"/>
  <c r="AA22" i="3"/>
  <c r="AA13" i="3"/>
  <c r="AA18" i="3"/>
  <c r="W30" i="3"/>
  <c r="W33" i="3"/>
  <c r="W28" i="3"/>
  <c r="W38" i="3"/>
  <c r="W29" i="3"/>
  <c r="W39" i="3"/>
  <c r="W34" i="3"/>
  <c r="W36" i="3"/>
  <c r="W35" i="3"/>
  <c r="W37" i="3"/>
  <c r="W32" i="3"/>
  <c r="W31" i="3"/>
  <c r="S28" i="3"/>
  <c r="S38" i="3"/>
  <c r="S33" i="3"/>
  <c r="S39" i="3"/>
  <c r="S34" i="3"/>
  <c r="S29" i="3"/>
  <c r="S35" i="3"/>
  <c r="S30" i="3"/>
  <c r="S36" i="3"/>
  <c r="S31" i="3"/>
  <c r="S37" i="3"/>
  <c r="S32" i="3"/>
  <c r="O45" i="14"/>
  <c r="N61" i="14"/>
  <c r="X55" i="3"/>
  <c r="X53" i="3"/>
  <c r="AB29" i="3"/>
  <c r="F26" i="3"/>
  <c r="B32" i="2"/>
  <c r="E26" i="3"/>
  <c r="E35" i="3" s="1"/>
  <c r="M18" i="2"/>
  <c r="B9" i="2"/>
  <c r="F27" i="3" s="1"/>
  <c r="AB46" i="3"/>
  <c r="T51" i="3"/>
  <c r="AB31" i="3"/>
  <c r="T56" i="3"/>
  <c r="AB37" i="3"/>
  <c r="T53" i="3"/>
  <c r="T45" i="3"/>
  <c r="X56" i="3"/>
  <c r="X46" i="3"/>
  <c r="X47" i="3"/>
  <c r="AB36" i="3"/>
  <c r="O49" i="14"/>
  <c r="T52" i="3"/>
  <c r="T47" i="3"/>
  <c r="X51" i="3"/>
  <c r="AB33" i="3"/>
  <c r="AB30" i="3"/>
  <c r="AB28" i="3"/>
  <c r="L32" i="9"/>
  <c r="L45" i="9" s="1"/>
  <c r="O51" i="14"/>
  <c r="T49" i="3"/>
  <c r="T46" i="3"/>
  <c r="X52" i="3"/>
  <c r="AB34" i="3"/>
  <c r="AB35" i="3"/>
  <c r="AB32" i="3"/>
  <c r="O47" i="14"/>
  <c r="AB53" i="3"/>
  <c r="AB54" i="3"/>
  <c r="AB50" i="3"/>
  <c r="T55" i="3"/>
  <c r="T54" i="3"/>
  <c r="T48" i="3"/>
  <c r="X50" i="3"/>
  <c r="X49" i="3"/>
  <c r="AB38" i="3"/>
  <c r="AB39" i="3"/>
  <c r="O53" i="14"/>
  <c r="AB49" i="3"/>
  <c r="AB48" i="3"/>
  <c r="X48" i="3"/>
  <c r="N9" i="9"/>
  <c r="N21" i="9"/>
  <c r="AB51" i="3"/>
  <c r="AB55" i="3"/>
  <c r="AB47" i="3"/>
  <c r="N17" i="9"/>
  <c r="AB52" i="3"/>
  <c r="AB56" i="3"/>
  <c r="N25" i="9"/>
  <c r="N13" i="9"/>
  <c r="O52" i="14"/>
  <c r="O54" i="14"/>
  <c r="O55" i="14"/>
  <c r="O56" i="14"/>
  <c r="O57" i="14"/>
  <c r="O48" i="14"/>
  <c r="O46" i="14"/>
  <c r="O50" i="14"/>
  <c r="S40" i="3" l="1"/>
  <c r="W40" i="3"/>
  <c r="AB40" i="3"/>
  <c r="T57" i="3"/>
  <c r="S57" i="3"/>
  <c r="AB45" i="3"/>
  <c r="AB57" i="3" s="1"/>
  <c r="AA57" i="3"/>
  <c r="X45" i="3"/>
  <c r="X57" i="3" s="1"/>
  <c r="W57" i="3"/>
  <c r="F35" i="3"/>
  <c r="B18" i="2"/>
  <c r="L34" i="9"/>
  <c r="O59" i="14"/>
  <c r="X33" i="3"/>
  <c r="X38" i="3"/>
  <c r="X30" i="3"/>
  <c r="X34" i="3"/>
  <c r="X29" i="3"/>
  <c r="X32" i="3"/>
  <c r="X37" i="3"/>
  <c r="X28" i="3"/>
  <c r="X39" i="3"/>
  <c r="X36" i="3"/>
  <c r="X35" i="3"/>
  <c r="AB18" i="3"/>
  <c r="AB13" i="3"/>
  <c r="AB16" i="3"/>
  <c r="AB21" i="3"/>
  <c r="AB19" i="3"/>
  <c r="AB12" i="3"/>
  <c r="AB20" i="3"/>
  <c r="AB15" i="3"/>
  <c r="AB11" i="3"/>
  <c r="AB17" i="3"/>
  <c r="AB22" i="3"/>
  <c r="T39" i="3"/>
  <c r="T32" i="3"/>
  <c r="T30" i="3"/>
  <c r="T38" i="3"/>
  <c r="T35" i="3"/>
  <c r="T29" i="3"/>
  <c r="T37" i="3"/>
  <c r="T34" i="3"/>
  <c r="T28" i="3"/>
  <c r="T36" i="3"/>
  <c r="T33" i="3"/>
  <c r="X11" i="3"/>
  <c r="X19" i="3"/>
  <c r="X16" i="3"/>
  <c r="X17" i="3"/>
  <c r="X22" i="3"/>
  <c r="X15" i="3"/>
  <c r="X13" i="3"/>
  <c r="X21" i="3"/>
  <c r="X18" i="3"/>
  <c r="X12" i="3"/>
  <c r="X20" i="3"/>
  <c r="N32" i="9"/>
  <c r="P9" i="9"/>
  <c r="Q9" i="9" s="1"/>
  <c r="Q32" i="9" s="1"/>
  <c r="T15" i="3" l="1"/>
  <c r="T66" i="3" s="1"/>
  <c r="S66" i="3"/>
  <c r="S72" i="3"/>
  <c r="T21" i="3"/>
  <c r="T72" i="3" s="1"/>
  <c r="S67" i="3"/>
  <c r="T16" i="3"/>
  <c r="T67" i="3" s="1"/>
  <c r="T31" i="3"/>
  <c r="T40" i="3" s="1"/>
  <c r="P32" i="9"/>
  <c r="P34" i="9" s="1"/>
  <c r="N34" i="9"/>
  <c r="N45" i="9"/>
  <c r="X31" i="3"/>
  <c r="X40" i="3" s="1"/>
  <c r="S73" i="3"/>
  <c r="T22" i="3"/>
  <c r="T73" i="3" s="1"/>
  <c r="X14" i="3"/>
  <c r="X23" i="3" s="1"/>
  <c r="W23" i="3"/>
  <c r="T20" i="3"/>
  <c r="T71" i="3" s="1"/>
  <c r="S71" i="3"/>
  <c r="T13" i="3"/>
  <c r="T64" i="3" s="1"/>
  <c r="S64" i="3"/>
  <c r="S63" i="3"/>
  <c r="T12" i="3"/>
  <c r="T63" i="3" s="1"/>
  <c r="T19" i="3"/>
  <c r="T70" i="3" s="1"/>
  <c r="S70" i="3"/>
  <c r="AB14" i="3"/>
  <c r="AB23" i="3" s="1"/>
  <c r="AA23" i="3"/>
  <c r="T17" i="3"/>
  <c r="T68" i="3" s="1"/>
  <c r="S68" i="3"/>
  <c r="S23" i="3"/>
  <c r="S65" i="3"/>
  <c r="T14" i="3"/>
  <c r="S69" i="3"/>
  <c r="T18" i="3"/>
  <c r="T69" i="3" s="1"/>
  <c r="T11" i="3"/>
  <c r="T62" i="3" s="1"/>
  <c r="S62" i="3"/>
  <c r="T65" i="3" l="1"/>
  <c r="T23" i="3"/>
</calcChain>
</file>

<file path=xl/sharedStrings.xml><?xml version="1.0" encoding="utf-8"?>
<sst xmlns="http://schemas.openxmlformats.org/spreadsheetml/2006/main" count="421" uniqueCount="197">
  <si>
    <t>Revenue Adj</t>
  </si>
  <si>
    <t>Schedule 7</t>
  </si>
  <si>
    <t>Schedule 24</t>
  </si>
  <si>
    <t>Schedule 25</t>
  </si>
  <si>
    <t>Schedule 26</t>
  </si>
  <si>
    <t>Schedule 29</t>
  </si>
  <si>
    <t>Schedule 31</t>
  </si>
  <si>
    <t>Schedule 35</t>
  </si>
  <si>
    <t>Schedule 43</t>
  </si>
  <si>
    <t>Firm Resale</t>
  </si>
  <si>
    <t>Total Temp Adj</t>
  </si>
  <si>
    <t>kWh - Commission Basis</t>
  </si>
  <si>
    <t xml:space="preserve">TEMPERATURE NORMALIZATION </t>
  </si>
  <si>
    <t>LINE</t>
  </si>
  <si>
    <t>NO.</t>
  </si>
  <si>
    <t>DESCRIPTION</t>
  </si>
  <si>
    <t>ACTUAL</t>
  </si>
  <si>
    <t>TEMP ADJ</t>
  </si>
  <si>
    <t>ADJ FOR LOSSES</t>
  </si>
  <si>
    <t>CHANGE</t>
  </si>
  <si>
    <t>TY_Total</t>
  </si>
  <si>
    <t>Total</t>
  </si>
  <si>
    <t>Lighting</t>
  </si>
  <si>
    <t>Grand Total</t>
  </si>
  <si>
    <t>Schedule 40</t>
  </si>
  <si>
    <t>Temperature Sensitive Rate Schedules</t>
  </si>
  <si>
    <t>Class</t>
  </si>
  <si>
    <t>Resale</t>
  </si>
  <si>
    <t xml:space="preserve">Total kWh Usage by Rate Schedule </t>
  </si>
  <si>
    <t>Test Year ACTUAL</t>
  </si>
  <si>
    <t>Total Residential</t>
  </si>
  <si>
    <t>Total Schedule 24</t>
  </si>
  <si>
    <t>Total Schedule 25</t>
  </si>
  <si>
    <t>Total Schedule 26</t>
  </si>
  <si>
    <t>Total Schedule 31</t>
  </si>
  <si>
    <t>Rate Schedules Not Sensitive to Temperature</t>
  </si>
  <si>
    <t>Schedule 8</t>
  </si>
  <si>
    <t>Schedule 11</t>
  </si>
  <si>
    <t>Schedule 12</t>
  </si>
  <si>
    <t>Schedule 10</t>
  </si>
  <si>
    <t>High Voltage (46/49)</t>
  </si>
  <si>
    <t>Test Year NORMAL</t>
  </si>
  <si>
    <t>Difference Between Normal and Actual Usage (Normal - Actual)</t>
  </si>
  <si>
    <t xml:space="preserve">kWh Temperature Adjustment by Rate Schedule </t>
  </si>
  <si>
    <t>Total kWh</t>
  </si>
  <si>
    <t>System Temperature Adjustment (from Summary Sheet)</t>
  </si>
  <si>
    <t>% Diff from Actual (Total)</t>
  </si>
  <si>
    <t>Reconcile Schedule Adjustment to System Adjustment Monthly Totals</t>
  </si>
  <si>
    <t>System - Rate Model</t>
  </si>
  <si>
    <t>Check</t>
  </si>
  <si>
    <t xml:space="preserve">% of </t>
  </si>
  <si>
    <t>TY Total</t>
  </si>
  <si>
    <t xml:space="preserve">Difference Between System Model and Rate Schedule Model </t>
  </si>
  <si>
    <t>Allocate System kWh Adjustment to Rate Schedules</t>
  </si>
  <si>
    <t>Total Residential 7</t>
  </si>
  <si>
    <t>Resale (5)</t>
  </si>
  <si>
    <t>LTG</t>
  </si>
  <si>
    <t>HV</t>
  </si>
  <si>
    <t>Schedule</t>
  </si>
  <si>
    <t>Resale 5</t>
  </si>
  <si>
    <t>(This sheet is calculations only - no modifications required)</t>
  </si>
  <si>
    <t>INPUT DATA IN YELLOW AREA</t>
  </si>
  <si>
    <t>Weather Variables</t>
  </si>
  <si>
    <t>Year</t>
  </si>
  <si>
    <t>Month</t>
  </si>
  <si>
    <t>HDD65N (A)</t>
  </si>
  <si>
    <t>CDD65N (B)</t>
  </si>
  <si>
    <t>CDD65 (D)</t>
  </si>
  <si>
    <t>HDD45N (E)</t>
  </si>
  <si>
    <t>HDD45 (F)</t>
  </si>
  <si>
    <t>CDD60N (G)</t>
  </si>
  <si>
    <t>CDD60 (H)</t>
  </si>
  <si>
    <t>Actual GPI (I)</t>
  </si>
  <si>
    <t>Actual UPC (J) = (I)/(K)*1000</t>
  </si>
  <si>
    <t>Customers (K)</t>
  </si>
  <si>
    <t>Normalized GPI (See note)</t>
  </si>
  <si>
    <t>HDD65Coeff</t>
  </si>
  <si>
    <t>HDD45Coef</t>
  </si>
  <si>
    <t>CDD65Coef</t>
  </si>
  <si>
    <t>CDD60Coeff</t>
  </si>
  <si>
    <t xml:space="preserve">Note: </t>
  </si>
  <si>
    <t>Normalized GPI = ( J + (A-C)*HDD65Coe + (E-F)*HDD45Coe + (B-D)*CDD65Coe + (G-H)*CDD60Coe ) * K / 1000</t>
  </si>
  <si>
    <t>(Normalized GPI per customer = actual UPC + the relevant co-efficients x the difference between normal HDD and HDD at 65, 45 and normal CDD and CDD at 65, 60)</t>
  </si>
  <si>
    <t>(Normalized GPI for all customers =Normalized GPI per customer x Customers / 1000)</t>
  </si>
  <si>
    <t>%</t>
  </si>
  <si>
    <t>Rate Schedules</t>
  </si>
  <si>
    <t>GPI Adjustment</t>
  </si>
  <si>
    <t>WeatherAdjustment, MWHs</t>
  </si>
  <si>
    <t>leap 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</si>
  <si>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</si>
  <si>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</si>
  <si>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</si>
  <si>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</si>
  <si>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</si>
  <si>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</si>
  <si>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</si>
  <si>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</si>
  <si>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</si>
  <si>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</si>
  <si>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</si>
  <si>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</si>
  <si>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% Diff. from Normal</t>
  </si>
  <si>
    <t>HDD65 (C)</t>
  </si>
  <si>
    <t>Rate Schedule</t>
  </si>
  <si>
    <t>Actual and Normal HDDs and CDDs</t>
  </si>
  <si>
    <t>Difference</t>
  </si>
  <si>
    <t>Normal HDD65</t>
  </si>
  <si>
    <t>Actual HDD65</t>
  </si>
  <si>
    <t>Normal HDD45</t>
  </si>
  <si>
    <t>Actual HDD45</t>
  </si>
  <si>
    <t>Normal CDD65</t>
  </si>
  <si>
    <t>Actual CDD65</t>
  </si>
  <si>
    <t>Normal CDD60</t>
  </si>
  <si>
    <t>Actual CDD60</t>
  </si>
  <si>
    <t>GPI KWH</t>
  </si>
  <si>
    <t>HDD45Coeff</t>
  </si>
  <si>
    <t>CDD65Coeff</t>
  </si>
  <si>
    <t xml:space="preserve"> 30-Year Normal* </t>
  </si>
  <si>
    <t xml:space="preserve">Table 2 </t>
  </si>
  <si>
    <t xml:space="preserve">Temperature Adjustment of Test Year Electric GPI </t>
  </si>
  <si>
    <t>GPI (MWH)</t>
  </si>
  <si>
    <t>Actual</t>
  </si>
  <si>
    <t>Temp. Adj.</t>
  </si>
  <si>
    <t>Adj. (MWH)</t>
  </si>
  <si>
    <t>(4)=(3)-(2)</t>
  </si>
  <si>
    <t>(1)</t>
  </si>
  <si>
    <t>(2)</t>
  </si>
  <si>
    <t>(3)</t>
  </si>
  <si>
    <t>net of Losses</t>
  </si>
  <si>
    <t>Table 3</t>
  </si>
  <si>
    <t>Normalized</t>
  </si>
  <si>
    <t>Adj.</t>
  </si>
  <si>
    <t>Residential</t>
  </si>
  <si>
    <t>(Sch. 7, 17, 27, 37 &amp; 47)</t>
  </si>
  <si>
    <t>(Sch. 8 &amp; 24)</t>
  </si>
  <si>
    <t>(Sch. 7A, 11 &amp; 25)</t>
  </si>
  <si>
    <t>Temperature Adjustment of Test Year Electric Sales by Rate Schedule (MWH)</t>
  </si>
  <si>
    <t>(Sch. 10 &amp; 31)</t>
  </si>
  <si>
    <t>Seasonal Irrigation</t>
  </si>
  <si>
    <t>(Sch. 29)</t>
  </si>
  <si>
    <t>Interrupt. Primary GS for Schools</t>
  </si>
  <si>
    <t>(Sch. 43)</t>
  </si>
  <si>
    <t>General Service (GS)</t>
  </si>
  <si>
    <t>(Sch. 40)</t>
  </si>
  <si>
    <t>(Sch. 5)</t>
  </si>
  <si>
    <t>Large Demand GS</t>
  </si>
  <si>
    <t>Small Demand GS</t>
  </si>
  <si>
    <t>Primary GS</t>
  </si>
  <si>
    <t xml:space="preserve">Customer Counts by Rate Schedule </t>
  </si>
  <si>
    <t>Schedule 449</t>
  </si>
  <si>
    <t>Schedule 459</t>
  </si>
  <si>
    <t>PUGET SOUND ENERGY-ELECTRIC SYSTEM</t>
  </si>
  <si>
    <t>Actual Rates in Effect</t>
  </si>
  <si>
    <t>KWH</t>
  </si>
  <si>
    <t>Schedule 24 &amp; 24L</t>
  </si>
  <si>
    <t>Schedule 25, 25L &amp; 7A</t>
  </si>
  <si>
    <t>Schedule 26 &amp; 26L</t>
  </si>
  <si>
    <t>Schedule 7, 17, 27, 37 &amp; 47</t>
  </si>
  <si>
    <t>Lighting (STLT &amp; ARLT)</t>
  </si>
  <si>
    <t>High Voltage (46 &amp; 49)</t>
  </si>
  <si>
    <t xml:space="preserve">Schedule 24 </t>
  </si>
  <si>
    <t>(Sch. 12 &amp; 26)</t>
  </si>
  <si>
    <t>Schedule 24 &amp;24L</t>
  </si>
  <si>
    <t>Source: SAP BW customer counts</t>
  </si>
  <si>
    <t>YTD SALES &amp; REVENUE ADJUSTMENT:</t>
  </si>
  <si>
    <t>(by Rate Schedule)</t>
  </si>
  <si>
    <t>HDD55Coeff</t>
  </si>
  <si>
    <t>Normal HDD55</t>
  </si>
  <si>
    <t>Actual HDD55</t>
  </si>
  <si>
    <t>HDD55N</t>
  </si>
  <si>
    <t>HDD55</t>
  </si>
  <si>
    <t>Source: Booked kWh Sales from SAP BW Billing Data</t>
  </si>
  <si>
    <t>Note: 1)  The actual monthly GPI's are the final figures provided by Energy Accounting.</t>
  </si>
  <si>
    <t>*February normal value is shown for a non-leap year.  Percent differences from normal for 2008, 2012 and 2016 are based on the leap-year normal value of 4,809 HDD's.</t>
  </si>
  <si>
    <t>Campus Service</t>
  </si>
  <si>
    <t>Schedule 8, 24</t>
  </si>
  <si>
    <t>Schedule 12, 26</t>
  </si>
  <si>
    <t>Schedule 10, 31</t>
  </si>
  <si>
    <t>Schedule 7A, 11, 25</t>
  </si>
  <si>
    <t>or</t>
  </si>
  <si>
    <t>1/2018 - 12/2018</t>
  </si>
  <si>
    <t>2018 System Temperature-Sensitivity Model Coefficients - Modeling Data Sample Period: 1/1/2014 - 12/31/2017</t>
  </si>
  <si>
    <t>2018 System Model Coefficients:</t>
  </si>
  <si>
    <t>Normal weather values are 30-year average values for 1988-2017.</t>
  </si>
  <si>
    <t>(5)=(4)*(1-0.071)</t>
  </si>
  <si>
    <t>Effective December 19, 2017
New Variable PCA Rates Only
(Decoupling Covers Fixed Production &amp; Margin Revenue)</t>
  </si>
  <si>
    <t xml:space="preserve">          2)  Line loss factor was estimated to be 7.1% from September 2017.</t>
  </si>
  <si>
    <t>2018 Rate schedule Temperature-Sensitivity Model Coefficients</t>
  </si>
  <si>
    <t>Based on 2018 Rate Schedule Model % Schedules to Total</t>
  </si>
  <si>
    <t>2018 Monthly Number of Customers by Rate Schedule</t>
  </si>
  <si>
    <t>% Diff from Normal (1/2018-12/2018)</t>
  </si>
  <si>
    <t>Monthly History of HDD65, Jan. 2008 - Dec. 2018</t>
  </si>
  <si>
    <t xml:space="preserve">Note: The rates shown for Dec. 2017 are prorated with: </t>
  </si>
  <si>
    <t>FOR THE TWELVE MONTHS ENDED JUNE, 2018</t>
  </si>
  <si>
    <t xml:space="preserve">        2) the new rates for the variable component of PCA only for Dec. 19, 2017 forward</t>
  </si>
  <si>
    <t xml:space="preserve">           the proration is necessary, because the final order for 2017 GRC (UE-170033) was effective Dec. 19, 2017.  Please refer to Temp Adjust Pricing (ERF CBR YE 6-2018).xlsx for the rate proration</t>
  </si>
  <si>
    <t xml:space="preserve">              1) the old rates including both the fixed and the variable components of PCA rates for Dec. 1-18, 2019;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</si>
</sst>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00"/>
    <numFmt numFmtId="166" formatCode="0.0%"/>
    <numFmt numFmtId="167" formatCode="_(&quot;$&quot;* #,##0_);_(&quot;$&quot;* \(#,##0\);_(&quot;$&quot;* &quot;-&quot;??_);_(@_)"/>
    <numFmt numFmtId="168" formatCode="_(&quot;$&quot;* #,##0.000000_);_(&quot;$&quot;* \(#,##0.000000\);_(&quot;$&quot;* &quot;-&quot;??_);_(@_)"/>
    <numFmt numFmtId="169" formatCode="#,##0.0"/>
    <numFmt numFmtId="170" formatCode="#,##0.0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doubleAccounting"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4"/>
      <color indexed="18"/>
      <name val="Arial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u/>
      <sz val="10"/>
      <name val="MS Sans Serif"/>
      <family val="2"/>
    </font>
    <font>
      <sz val="8.5"/>
      <name val="MS Sans Serif"/>
      <family val="2"/>
    </font>
    <font>
      <i/>
      <sz val="10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u/>
      <sz val="8"/>
      <name val="MS Sans Serif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.5"/>
      <color rgb="FFFF0000"/>
      <name val="MS Sans Serif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4">
    <xf numFmtId="0" fontId="0" fillId="0" borderId="0" xfId="0"/>
    <xf numFmtId="0" fontId="0" fillId="0" borderId="0" xfId="0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0" fillId="0" borderId="0" xfId="0" applyAlignment="1">
      <alignment horizontal="right"/>
    </xf>
    <xf numFmtId="164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3" xfId="0" applyFill="1" applyBorder="1"/>
    <xf numFmtId="0" fontId="0" fillId="0" borderId="2" xfId="0" applyFill="1" applyBorder="1"/>
    <xf numFmtId="0" fontId="0" fillId="0" borderId="5" xfId="0" applyFill="1" applyBorder="1"/>
    <xf numFmtId="164" fontId="0" fillId="0" borderId="0" xfId="0" applyNumberFormat="1" applyFill="1" applyBorder="1"/>
    <xf numFmtId="164" fontId="0" fillId="0" borderId="6" xfId="0" applyNumberFormat="1" applyFill="1" applyBorder="1"/>
    <xf numFmtId="0" fontId="0" fillId="0" borderId="5" xfId="0" quotePrefix="1" applyFill="1" applyBorder="1" applyAlignment="1">
      <alignment horizontal="left" indent="2"/>
    </xf>
    <xf numFmtId="167" fontId="1" fillId="0" borderId="0" xfId="0" applyNumberFormat="1" applyFont="1" applyFill="1" applyBorder="1"/>
    <xf numFmtId="167" fontId="1" fillId="0" borderId="6" xfId="0" applyNumberFormat="1" applyFont="1" applyFill="1" applyBorder="1"/>
    <xf numFmtId="0" fontId="0" fillId="0" borderId="5" xfId="0" applyFill="1" applyBorder="1" applyAlignment="1">
      <alignment horizontal="left" indent="2"/>
    </xf>
    <xf numFmtId="0" fontId="0" fillId="0" borderId="7" xfId="0" applyFill="1" applyBorder="1"/>
    <xf numFmtId="167" fontId="1" fillId="0" borderId="8" xfId="0" applyNumberFormat="1" applyFont="1" applyFill="1" applyBorder="1"/>
    <xf numFmtId="167" fontId="1" fillId="0" borderId="9" xfId="0" applyNumberFormat="1" applyFont="1" applyFill="1" applyBorder="1"/>
    <xf numFmtId="0" fontId="0" fillId="0" borderId="3" xfId="0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 wrapText="1"/>
    </xf>
    <xf numFmtId="17" fontId="0" fillId="0" borderId="2" xfId="0" applyNumberFormat="1" applyFill="1" applyBorder="1" applyAlignment="1">
      <alignment horizontal="center" wrapText="1"/>
    </xf>
    <xf numFmtId="17" fontId="0" fillId="0" borderId="4" xfId="0" applyNumberFormat="1" applyFill="1" applyBorder="1" applyAlignment="1">
      <alignment horizontal="center" wrapText="1"/>
    </xf>
    <xf numFmtId="164" fontId="1" fillId="0" borderId="0" xfId="0" applyNumberFormat="1" applyFont="1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5" xfId="0" quotePrefix="1" applyFill="1" applyBorder="1" applyAlignment="1">
      <alignment horizontal="left"/>
    </xf>
    <xf numFmtId="17" fontId="0" fillId="0" borderId="0" xfId="0" applyNumberFormat="1" applyFill="1" applyBorder="1" applyAlignment="1">
      <alignment horizontal="center" wrapText="1"/>
    </xf>
    <xf numFmtId="164" fontId="1" fillId="0" borderId="0" xfId="0" applyNumberFormat="1" applyFont="1" applyBorder="1"/>
    <xf numFmtId="0" fontId="0" fillId="0" borderId="0" xfId="0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 applyProtection="1">
      <alignment horizontal="centerContinuous"/>
      <protection locked="0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0" borderId="0" xfId="0" applyBorder="1"/>
    <xf numFmtId="0" fontId="4" fillId="0" borderId="8" xfId="0" applyFont="1" applyBorder="1" applyAlignment="1" applyProtection="1">
      <alignment horizontal="center"/>
      <protection locked="0"/>
    </xf>
    <xf numFmtId="0" fontId="4" fillId="0" borderId="8" xfId="0" applyFont="1" applyBorder="1"/>
    <xf numFmtId="0" fontId="3" fillId="0" borderId="8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quotePrefix="1" applyFont="1" applyAlignment="1">
      <alignment horizontal="center"/>
    </xf>
    <xf numFmtId="0" fontId="8" fillId="0" borderId="0" xfId="0" applyFont="1" applyBorder="1" applyAlignment="1">
      <alignment horizontal="center"/>
    </xf>
    <xf numFmtId="37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17" fontId="3" fillId="0" borderId="0" xfId="0" applyNumberFormat="1" applyFont="1"/>
    <xf numFmtId="3" fontId="5" fillId="0" borderId="0" xfId="0" applyNumberFormat="1" applyFont="1" applyFill="1"/>
    <xf numFmtId="0" fontId="5" fillId="0" borderId="0" xfId="0" applyFont="1" applyFill="1"/>
    <xf numFmtId="0" fontId="3" fillId="0" borderId="0" xfId="0" applyFont="1" applyFill="1"/>
    <xf numFmtId="37" fontId="3" fillId="0" borderId="0" xfId="0" applyNumberFormat="1" applyFont="1" applyFill="1"/>
    <xf numFmtId="42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42" fontId="4" fillId="0" borderId="0" xfId="0" applyNumberFormat="1" applyFont="1" applyFill="1"/>
    <xf numFmtId="42" fontId="0" fillId="0" borderId="0" xfId="0" applyNumberFormat="1"/>
    <xf numFmtId="0" fontId="3" fillId="0" borderId="0" xfId="0" applyFont="1" applyAlignment="1" applyProtection="1">
      <alignment horizontal="center"/>
      <protection locked="0"/>
    </xf>
    <xf numFmtId="17" fontId="4" fillId="0" borderId="0" xfId="0" applyNumberFormat="1" applyFont="1" applyAlignment="1">
      <alignment horizontal="center"/>
    </xf>
    <xf numFmtId="17" fontId="0" fillId="0" borderId="0" xfId="0" applyNumberFormat="1"/>
    <xf numFmtId="164" fontId="0" fillId="0" borderId="0" xfId="0" applyNumberFormat="1" applyFont="1"/>
    <xf numFmtId="3" fontId="0" fillId="0" borderId="0" xfId="0" applyNumberFormat="1"/>
    <xf numFmtId="0" fontId="4" fillId="0" borderId="0" xfId="0" applyFont="1"/>
    <xf numFmtId="0" fontId="0" fillId="0" borderId="0" xfId="0" applyAlignment="1">
      <alignment horizontal="left" indent="1"/>
    </xf>
    <xf numFmtId="164" fontId="12" fillId="0" borderId="0" xfId="0" applyNumberFormat="1" applyFont="1"/>
    <xf numFmtId="9" fontId="0" fillId="0" borderId="0" xfId="0" applyNumberFormat="1"/>
    <xf numFmtId="37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/>
    <xf numFmtId="42" fontId="3" fillId="0" borderId="0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9" fontId="3" fillId="0" borderId="0" xfId="0" applyNumberFormat="1" applyFont="1" applyFill="1" applyBorder="1" applyAlignment="1">
      <alignment horizontal="right"/>
    </xf>
    <xf numFmtId="42" fontId="4" fillId="0" borderId="0" xfId="0" applyNumberFormat="1" applyFont="1" applyFill="1" applyBorder="1" applyAlignment="1">
      <alignment horizontal="right"/>
    </xf>
    <xf numFmtId="0" fontId="3" fillId="0" borderId="0" xfId="0" quotePrefix="1" applyFont="1" applyFill="1" applyAlignment="1">
      <alignment horizontal="left"/>
    </xf>
    <xf numFmtId="37" fontId="0" fillId="0" borderId="0" xfId="0" applyNumberFormat="1"/>
    <xf numFmtId="37" fontId="3" fillId="0" borderId="0" xfId="0" applyNumberFormat="1" applyFont="1" applyFill="1"/>
    <xf numFmtId="166" fontId="1" fillId="0" borderId="0" xfId="0" applyNumberFormat="1" applyFont="1"/>
    <xf numFmtId="0" fontId="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3" fontId="15" fillId="0" borderId="0" xfId="0" applyNumberFormat="1" applyFont="1"/>
    <xf numFmtId="0" fontId="1" fillId="0" borderId="0" xfId="0" applyFont="1" applyAlignment="1">
      <alignment horizontal="left" indent="1"/>
    </xf>
    <xf numFmtId="0" fontId="1" fillId="0" borderId="0" xfId="0" applyFont="1"/>
    <xf numFmtId="164" fontId="1" fillId="0" borderId="0" xfId="0" applyNumberFormat="1" applyFont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Fill="1" applyAlignment="1">
      <alignment horizontal="left" indent="2"/>
    </xf>
    <xf numFmtId="0" fontId="0" fillId="0" borderId="0" xfId="0" applyFill="1"/>
    <xf numFmtId="164" fontId="0" fillId="0" borderId="0" xfId="0" applyNumberFormat="1" applyFont="1" applyFill="1"/>
    <xf numFmtId="9" fontId="1" fillId="0" borderId="0" xfId="0" applyNumberFormat="1" applyFont="1"/>
    <xf numFmtId="0" fontId="1" fillId="0" borderId="0" xfId="0" applyFont="1" applyFill="1" applyAlignment="1">
      <alignment horizontal="left" indent="1"/>
    </xf>
    <xf numFmtId="9" fontId="0" fillId="0" borderId="0" xfId="0" applyNumberFormat="1" applyFont="1"/>
    <xf numFmtId="9" fontId="4" fillId="0" borderId="0" xfId="0" applyNumberFormat="1" applyFont="1" applyAlignment="1">
      <alignment horizontal="center"/>
    </xf>
    <xf numFmtId="164" fontId="1" fillId="0" borderId="6" xfId="0" applyNumberFormat="1" applyFont="1" applyBorder="1"/>
    <xf numFmtId="0" fontId="1" fillId="0" borderId="0" xfId="0" applyFont="1" applyBorder="1" applyAlignment="1">
      <alignment horizontal="left" indent="1"/>
    </xf>
    <xf numFmtId="0" fontId="16" fillId="0" borderId="0" xfId="0" applyFont="1" applyBorder="1"/>
    <xf numFmtId="0" fontId="16" fillId="0" borderId="0" xfId="0" applyFont="1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/>
    <xf numFmtId="0" fontId="4" fillId="0" borderId="0" xfId="0" applyFont="1" applyBorder="1"/>
    <xf numFmtId="17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164" fontId="0" fillId="0" borderId="0" xfId="0" applyNumberFormat="1" applyFont="1" applyBorder="1"/>
    <xf numFmtId="164" fontId="1" fillId="0" borderId="10" xfId="0" applyNumberFormat="1" applyFont="1" applyBorder="1"/>
    <xf numFmtId="164" fontId="0" fillId="0" borderId="10" xfId="0" applyNumberFormat="1" applyFont="1" applyBorder="1"/>
    <xf numFmtId="164" fontId="3" fillId="0" borderId="11" xfId="0" applyNumberFormat="1" applyFont="1" applyBorder="1"/>
    <xf numFmtId="164" fontId="1" fillId="0" borderId="10" xfId="0" applyNumberFormat="1" applyFont="1" applyBorder="1"/>
    <xf numFmtId="164" fontId="1" fillId="0" borderId="0" xfId="0" applyNumberFormat="1" applyFont="1" applyBorder="1"/>
    <xf numFmtId="9" fontId="16" fillId="0" borderId="0" xfId="0" applyNumberFormat="1" applyFont="1"/>
    <xf numFmtId="164" fontId="16" fillId="0" borderId="0" xfId="0" applyNumberFormat="1" applyFont="1"/>
    <xf numFmtId="164" fontId="16" fillId="0" borderId="0" xfId="0" applyNumberFormat="1" applyFont="1" applyFill="1"/>
    <xf numFmtId="0" fontId="16" fillId="0" borderId="0" xfId="0" applyFont="1"/>
    <xf numFmtId="164" fontId="16" fillId="0" borderId="0" xfId="0" applyNumberFormat="1" applyFont="1"/>
    <xf numFmtId="9" fontId="1" fillId="0" borderId="10" xfId="0" applyNumberFormat="1" applyFont="1" applyBorder="1"/>
    <xf numFmtId="0" fontId="4" fillId="0" borderId="0" xfId="0" applyFont="1" applyFill="1"/>
    <xf numFmtId="0" fontId="1" fillId="0" borderId="0" xfId="0" applyFont="1"/>
    <xf numFmtId="0" fontId="4" fillId="0" borderId="3" xfId="0" applyFont="1" applyBorder="1" applyAlignment="1">
      <alignment horizontal="center" vertical="justify" wrapText="1"/>
    </xf>
    <xf numFmtId="0" fontId="4" fillId="0" borderId="4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center" vertical="justify" wrapText="1"/>
    </xf>
    <xf numFmtId="0" fontId="4" fillId="0" borderId="1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justify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Fill="1" applyBorder="1"/>
    <xf numFmtId="0" fontId="1" fillId="0" borderId="6" xfId="0" applyFont="1" applyFill="1" applyBorder="1"/>
    <xf numFmtId="1" fontId="1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12" xfId="0" applyFont="1" applyFill="1" applyBorder="1"/>
    <xf numFmtId="0" fontId="4" fillId="0" borderId="10" xfId="0" applyFont="1" applyFill="1" applyBorder="1"/>
    <xf numFmtId="0" fontId="4" fillId="0" borderId="0" xfId="0" applyFont="1" applyFill="1"/>
    <xf numFmtId="0" fontId="1" fillId="0" borderId="0" xfId="0" applyFont="1" applyFill="1"/>
    <xf numFmtId="0" fontId="4" fillId="0" borderId="0" xfId="0" applyFont="1"/>
    <xf numFmtId="49" fontId="18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justify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8" fillId="0" borderId="0" xfId="0" applyFont="1"/>
    <xf numFmtId="10" fontId="16" fillId="0" borderId="0" xfId="0" applyNumberFormat="1" applyFont="1"/>
    <xf numFmtId="164" fontId="1" fillId="0" borderId="2" xfId="0" applyNumberFormat="1" applyFont="1" applyBorder="1"/>
    <xf numFmtId="10" fontId="16" fillId="0" borderId="0" xfId="0" applyNumberFormat="1" applyFont="1" applyBorder="1"/>
    <xf numFmtId="9" fontId="1" fillId="0" borderId="2" xfId="0" applyNumberFormat="1" applyFont="1" applyBorder="1"/>
    <xf numFmtId="9" fontId="16" fillId="0" borderId="0" xfId="0" applyNumberFormat="1" applyFont="1" applyBorder="1"/>
    <xf numFmtId="168" fontId="0" fillId="0" borderId="0" xfId="0" applyNumberFormat="1" applyFont="1" applyFill="1" applyBorder="1"/>
    <xf numFmtId="0" fontId="9" fillId="0" borderId="0" xfId="0" quotePrefix="1" applyFont="1" applyBorder="1" applyAlignment="1">
      <alignment horizontal="center"/>
    </xf>
    <xf numFmtId="3" fontId="1" fillId="0" borderId="0" xfId="0" applyNumberFormat="1" applyFont="1" applyFill="1" applyBorder="1"/>
    <xf numFmtId="37" fontId="1" fillId="0" borderId="0" xfId="0" applyNumberFormat="1" applyFont="1"/>
    <xf numFmtId="43" fontId="1" fillId="0" borderId="0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15" xfId="0" applyFont="1" applyBorder="1"/>
    <xf numFmtId="0" fontId="19" fillId="0" borderId="0" xfId="0" applyFont="1"/>
    <xf numFmtId="17" fontId="0" fillId="0" borderId="0" xfId="0" applyNumberFormat="1" applyBorder="1"/>
    <xf numFmtId="164" fontId="12" fillId="0" borderId="0" xfId="0" applyNumberFormat="1" applyFont="1" applyBorder="1"/>
    <xf numFmtId="168" fontId="0" fillId="0" borderId="0" xfId="0" applyNumberFormat="1"/>
    <xf numFmtId="0" fontId="1" fillId="0" borderId="0" xfId="0" applyNumberFormat="1" applyFont="1" applyAlignment="1"/>
    <xf numFmtId="38" fontId="1" fillId="0" borderId="0" xfId="0" applyNumberFormat="1" applyFont="1" applyBorder="1" applyAlignment="1"/>
    <xf numFmtId="37" fontId="3" fillId="0" borderId="0" xfId="0" applyNumberFormat="1" applyFont="1" applyAlignment="1"/>
    <xf numFmtId="39" fontId="3" fillId="0" borderId="0" xfId="0" applyNumberFormat="1" applyFont="1" applyAlignment="1">
      <alignment horizontal="right"/>
    </xf>
    <xf numFmtId="0" fontId="1" fillId="0" borderId="14" xfId="0" applyNumberFormat="1" applyFont="1" applyBorder="1" applyAlignment="1"/>
    <xf numFmtId="3" fontId="21" fillId="0" borderId="0" xfId="0" applyNumberFormat="1" applyFont="1" applyBorder="1"/>
    <xf numFmtId="166" fontId="21" fillId="0" borderId="0" xfId="0" applyNumberFormat="1" applyFont="1" applyBorder="1"/>
    <xf numFmtId="0" fontId="18" fillId="0" borderId="0" xfId="0" applyFont="1"/>
    <xf numFmtId="0" fontId="0" fillId="0" borderId="14" xfId="0" applyBorder="1" applyAlignment="1">
      <alignment horizontal="left" indent="2"/>
    </xf>
    <xf numFmtId="0" fontId="1" fillId="0" borderId="14" xfId="0" applyFont="1" applyBorder="1" applyAlignment="1">
      <alignment horizontal="left" indent="2"/>
    </xf>
    <xf numFmtId="0" fontId="1" fillId="0" borderId="14" xfId="0" applyFont="1" applyFill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10" fillId="0" borderId="0" xfId="0" applyFont="1" applyBorder="1" applyAlignment="1">
      <alignment horizontal="center" vertical="center" wrapText="1"/>
    </xf>
    <xf numFmtId="17" fontId="10" fillId="0" borderId="0" xfId="0" applyNumberFormat="1" applyFont="1" applyAlignment="1">
      <alignment horizontal="center"/>
    </xf>
    <xf numFmtId="3" fontId="0" fillId="0" borderId="0" xfId="0" applyNumberFormat="1" applyFont="1"/>
    <xf numFmtId="169" fontId="0" fillId="0" borderId="0" xfId="0" applyNumberFormat="1"/>
    <xf numFmtId="169" fontId="0" fillId="0" borderId="0" xfId="0" applyNumberFormat="1" applyFont="1"/>
    <xf numFmtId="169" fontId="0" fillId="0" borderId="8" xfId="0" applyNumberFormat="1" applyBorder="1"/>
    <xf numFmtId="169" fontId="0" fillId="0" borderId="8" xfId="0" applyNumberFormat="1" applyFont="1" applyBorder="1"/>
    <xf numFmtId="37" fontId="4" fillId="0" borderId="2" xfId="0" applyNumberFormat="1" applyFont="1" applyFill="1" applyBorder="1"/>
    <xf numFmtId="166" fontId="0" fillId="0" borderId="0" xfId="0" applyNumberFormat="1" applyFont="1"/>
    <xf numFmtId="0" fontId="22" fillId="0" borderId="0" xfId="0" applyFont="1"/>
    <xf numFmtId="0" fontId="22" fillId="0" borderId="0" xfId="0" applyFont="1" applyBorder="1"/>
    <xf numFmtId="0" fontId="22" fillId="0" borderId="0" xfId="0" applyFont="1" applyBorder="1" applyAlignment="1">
      <alignment horizontal="right"/>
    </xf>
    <xf numFmtId="0" fontId="22" fillId="0" borderId="3" xfId="0" applyFont="1" applyBorder="1"/>
    <xf numFmtId="0" fontId="22" fillId="0" borderId="2" xfId="0" applyFont="1" applyBorder="1"/>
    <xf numFmtId="0" fontId="22" fillId="0" borderId="4" xfId="0" applyFont="1" applyBorder="1"/>
    <xf numFmtId="0" fontId="22" fillId="0" borderId="5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right" wrapText="1"/>
    </xf>
    <xf numFmtId="3" fontId="22" fillId="0" borderId="0" xfId="0" applyNumberFormat="1" applyFont="1" applyBorder="1"/>
    <xf numFmtId="1" fontId="3" fillId="0" borderId="0" xfId="0" applyNumberFormat="1" applyFont="1" applyFill="1" applyBorder="1"/>
    <xf numFmtId="166" fontId="3" fillId="0" borderId="6" xfId="0" applyNumberFormat="1" applyFont="1" applyFill="1" applyBorder="1"/>
    <xf numFmtId="1" fontId="22" fillId="0" borderId="0" xfId="0" applyNumberFormat="1" applyFont="1"/>
    <xf numFmtId="1" fontId="3" fillId="0" borderId="0" xfId="0" applyNumberFormat="1" applyFont="1" applyFill="1" applyBorder="1" applyAlignment="1">
      <alignment horizontal="right"/>
    </xf>
    <xf numFmtId="3" fontId="25" fillId="0" borderId="0" xfId="0" applyNumberFormat="1" applyFont="1" applyBorder="1"/>
    <xf numFmtId="3" fontId="25" fillId="0" borderId="6" xfId="0" applyNumberFormat="1" applyFont="1" applyBorder="1"/>
    <xf numFmtId="166" fontId="22" fillId="0" borderId="8" xfId="0" applyNumberFormat="1" applyFont="1" applyBorder="1"/>
    <xf numFmtId="0" fontId="22" fillId="0" borderId="8" xfId="0" applyFont="1" applyBorder="1"/>
    <xf numFmtId="0" fontId="22" fillId="0" borderId="9" xfId="0" applyFont="1" applyBorder="1"/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4" fillId="0" borderId="0" xfId="0" applyFont="1" applyBorder="1" applyAlignment="1">
      <alignment wrapText="1"/>
    </xf>
    <xf numFmtId="166" fontId="22" fillId="0" borderId="0" xfId="0" applyNumberFormat="1" applyFont="1" applyBorder="1"/>
    <xf numFmtId="3" fontId="22" fillId="0" borderId="0" xfId="0" applyNumberFormat="1" applyFont="1"/>
    <xf numFmtId="166" fontId="22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10" xfId="0" applyNumberFormat="1" applyFont="1" applyBorder="1"/>
    <xf numFmtId="164" fontId="3" fillId="0" borderId="0" xfId="0" applyNumberFormat="1" applyFont="1"/>
    <xf numFmtId="164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 indent="2"/>
    </xf>
    <xf numFmtId="164" fontId="3" fillId="0" borderId="2" xfId="0" applyNumberFormat="1" applyFont="1" applyBorder="1"/>
    <xf numFmtId="164" fontId="3" fillId="0" borderId="0" xfId="0" applyNumberFormat="1" applyFont="1"/>
    <xf numFmtId="1" fontId="26" fillId="0" borderId="0" xfId="0" applyNumberFormat="1" applyFont="1"/>
    <xf numFmtId="164" fontId="26" fillId="0" borderId="0" xfId="0" applyNumberFormat="1" applyFont="1"/>
    <xf numFmtId="0" fontId="26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164" fontId="3" fillId="0" borderId="0" xfId="0" applyNumberFormat="1" applyFont="1" applyFill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37" fontId="1" fillId="0" borderId="0" xfId="0" applyNumberFormat="1" applyFont="1"/>
    <xf numFmtId="0" fontId="7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0" fontId="0" fillId="0" borderId="0" xfId="0" applyAlignment="1">
      <alignment vertical="top"/>
    </xf>
    <xf numFmtId="0" fontId="4" fillId="0" borderId="8" xfId="0" applyFont="1" applyBorder="1" applyAlignment="1">
      <alignment horizontal="centerContinuous" vertical="top"/>
    </xf>
    <xf numFmtId="0" fontId="0" fillId="0" borderId="8" xfId="0" applyBorder="1" applyAlignment="1">
      <alignment horizontal="centerContinuous" vertical="top"/>
    </xf>
    <xf numFmtId="3" fontId="1" fillId="0" borderId="0" xfId="0" applyNumberFormat="1" applyFont="1" applyFill="1" applyBorder="1"/>
    <xf numFmtId="0" fontId="27" fillId="0" borderId="0" xfId="0" applyFont="1"/>
    <xf numFmtId="3" fontId="0" fillId="0" borderId="0" xfId="0" applyNumberFormat="1" applyFill="1"/>
    <xf numFmtId="0" fontId="4" fillId="0" borderId="0" xfId="0" applyFont="1" applyFill="1" applyBorder="1" applyAlignment="1">
      <alignment horizontal="center"/>
    </xf>
    <xf numFmtId="0" fontId="1" fillId="0" borderId="7" xfId="0" applyFont="1" applyFill="1" applyBorder="1"/>
    <xf numFmtId="1" fontId="1" fillId="0" borderId="0" xfId="0" quotePrefix="1" applyNumberFormat="1" applyFont="1" applyBorder="1" applyAlignment="1"/>
    <xf numFmtId="3" fontId="1" fillId="0" borderId="0" xfId="0" quotePrefix="1" applyNumberFormat="1" applyFont="1" applyBorder="1" applyAlignment="1"/>
    <xf numFmtId="1" fontId="1" fillId="0" borderId="8" xfId="0" applyNumberFormat="1" applyFont="1" applyFill="1" applyBorder="1"/>
    <xf numFmtId="3" fontId="1" fillId="0" borderId="8" xfId="0" applyNumberFormat="1" applyFont="1" applyFill="1" applyBorder="1"/>
    <xf numFmtId="0" fontId="1" fillId="0" borderId="0" xfId="0" applyFont="1" applyFill="1" applyBorder="1"/>
    <xf numFmtId="3" fontId="4" fillId="0" borderId="0" xfId="0" applyNumberFormat="1" applyFont="1" applyFill="1" applyBorder="1"/>
    <xf numFmtId="3" fontId="4" fillId="0" borderId="0" xfId="0" applyNumberFormat="1" applyFont="1" applyFill="1" applyBorder="1"/>
    <xf numFmtId="164" fontId="1" fillId="0" borderId="0" xfId="0" applyNumberFormat="1" applyFont="1" applyBorder="1"/>
    <xf numFmtId="3" fontId="4" fillId="0" borderId="0" xfId="0" applyNumberFormat="1" applyFont="1" applyBorder="1"/>
    <xf numFmtId="3" fontId="1" fillId="0" borderId="0" xfId="0" applyNumberFormat="1" applyFont="1" applyFill="1" applyBorder="1" applyAlignment="1"/>
    <xf numFmtId="0" fontId="4" fillId="0" borderId="13" xfId="0" applyFont="1" applyFill="1" applyBorder="1"/>
    <xf numFmtId="3" fontId="1" fillId="0" borderId="0" xfId="0" quotePrefix="1" applyNumberFormat="1" applyFont="1" applyBorder="1" applyAlignment="1">
      <alignment wrapText="1"/>
    </xf>
    <xf numFmtId="3" fontId="4" fillId="0" borderId="10" xfId="0" applyNumberFormat="1" applyFont="1" applyFill="1" applyBorder="1"/>
    <xf numFmtId="0" fontId="26" fillId="0" borderId="0" xfId="0" applyFont="1"/>
    <xf numFmtId="37" fontId="1" fillId="0" borderId="6" xfId="0" applyNumberFormat="1" applyFont="1" applyFill="1" applyBorder="1"/>
    <xf numFmtId="37" fontId="4" fillId="0" borderId="10" xfId="0" applyNumberFormat="1" applyFont="1" applyFill="1" applyBorder="1"/>
    <xf numFmtId="37" fontId="4" fillId="0" borderId="13" xfId="0" applyNumberFormat="1" applyFont="1" applyFill="1" applyBorder="1"/>
    <xf numFmtId="37" fontId="4" fillId="0" borderId="9" xfId="0" applyNumberFormat="1" applyFont="1" applyFill="1" applyBorder="1"/>
    <xf numFmtId="37" fontId="1" fillId="0" borderId="0" xfId="0" applyNumberFormat="1" applyFont="1" applyFill="1"/>
    <xf numFmtId="37" fontId="4" fillId="0" borderId="1" xfId="0" applyNumberFormat="1" applyFont="1" applyFill="1" applyBorder="1"/>
    <xf numFmtId="3" fontId="13" fillId="0" borderId="0" xfId="0" applyNumberFormat="1" applyFont="1" applyBorder="1"/>
    <xf numFmtId="0" fontId="28" fillId="0" borderId="6" xfId="0" applyFont="1" applyBorder="1" applyAlignment="1">
      <alignment horizontal="center" wrapText="1"/>
    </xf>
    <xf numFmtId="0" fontId="21" fillId="0" borderId="0" xfId="0" applyFont="1" applyBorder="1"/>
    <xf numFmtId="0" fontId="13" fillId="0" borderId="0" xfId="0" applyFont="1" applyBorder="1"/>
    <xf numFmtId="0" fontId="26" fillId="0" borderId="0" xfId="0" applyFont="1" applyBorder="1" applyAlignment="1">
      <alignment horizontal="center"/>
    </xf>
    <xf numFmtId="0" fontId="0" fillId="0" borderId="0" xfId="0" quotePrefix="1" applyFill="1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37" fontId="1" fillId="0" borderId="9" xfId="0" applyNumberFormat="1" applyFont="1" applyFill="1" applyBorder="1"/>
    <xf numFmtId="0" fontId="0" fillId="0" borderId="0" xfId="0" applyFill="1" applyAlignment="1">
      <alignment horizontal="center" wrapText="1"/>
    </xf>
    <xf numFmtId="0" fontId="29" fillId="0" borderId="0" xfId="0" quotePrefix="1" applyFont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30" fillId="0" borderId="0" xfId="0" applyFont="1"/>
    <xf numFmtId="0" fontId="31" fillId="0" borderId="0" xfId="0" applyFont="1" applyBorder="1" applyAlignment="1">
      <alignment horizontal="left"/>
    </xf>
    <xf numFmtId="0" fontId="31" fillId="0" borderId="0" xfId="0" quotePrefix="1" applyFont="1" applyBorder="1" applyAlignment="1"/>
    <xf numFmtId="0" fontId="0" fillId="0" borderId="23" xfId="0" quotePrefix="1" applyFill="1" applyBorder="1" applyAlignment="1">
      <alignment horizontal="center" wrapText="1"/>
    </xf>
    <xf numFmtId="0" fontId="1" fillId="0" borderId="21" xfId="0" quotePrefix="1" applyFont="1" applyFill="1" applyBorder="1" applyAlignment="1">
      <alignment horizontal="left" wrapText="1"/>
    </xf>
    <xf numFmtId="164" fontId="0" fillId="0" borderId="0" xfId="0" applyNumberFormat="1" applyFill="1"/>
    <xf numFmtId="164" fontId="3" fillId="0" borderId="0" xfId="0" applyNumberFormat="1" applyFont="1" applyAlignment="1">
      <alignment horizontal="right"/>
    </xf>
    <xf numFmtId="164" fontId="0" fillId="0" borderId="0" xfId="0" applyNumberFormat="1"/>
    <xf numFmtId="164" fontId="0" fillId="0" borderId="0" xfId="0" applyNumberFormat="1" applyBorder="1"/>
    <xf numFmtId="164" fontId="0" fillId="0" borderId="8" xfId="0" applyNumberFormat="1" applyBorder="1"/>
    <xf numFmtId="0" fontId="1" fillId="0" borderId="6" xfId="0" applyFont="1" applyBorder="1" applyAlignment="1">
      <alignment horizontal="left" indent="2"/>
    </xf>
    <xf numFmtId="166" fontId="26" fillId="0" borderId="0" xfId="0" applyNumberFormat="1" applyFont="1"/>
    <xf numFmtId="0" fontId="0" fillId="0" borderId="8" xfId="0" applyFill="1" applyBorder="1"/>
    <xf numFmtId="0" fontId="0" fillId="0" borderId="9" xfId="0" applyFill="1" applyBorder="1"/>
    <xf numFmtId="164" fontId="1" fillId="0" borderId="14" xfId="0" applyNumberFormat="1" applyFont="1" applyBorder="1"/>
    <xf numFmtId="0" fontId="29" fillId="0" borderId="0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3" fillId="0" borderId="0" xfId="0" applyNumberFormat="1" applyFont="1" applyFill="1" applyBorder="1"/>
    <xf numFmtId="164" fontId="4" fillId="0" borderId="0" xfId="0" applyNumberFormat="1" applyFont="1" applyFill="1" applyBorder="1"/>
    <xf numFmtId="164" fontId="1" fillId="0" borderId="8" xfId="0" applyNumberFormat="1" applyFont="1" applyFill="1" applyBorder="1"/>
    <xf numFmtId="164" fontId="4" fillId="0" borderId="8" xfId="0" applyNumberFormat="1" applyFont="1" applyFill="1" applyBorder="1"/>
    <xf numFmtId="37" fontId="4" fillId="3" borderId="5" xfId="0" applyNumberFormat="1" applyFont="1" applyFill="1" applyBorder="1"/>
    <xf numFmtId="37" fontId="4" fillId="3" borderId="0" xfId="0" applyNumberFormat="1" applyFont="1" applyFill="1" applyBorder="1"/>
    <xf numFmtId="37" fontId="1" fillId="3" borderId="0" xfId="0" applyNumberFormat="1" applyFont="1" applyFill="1" applyBorder="1"/>
    <xf numFmtId="37" fontId="4" fillId="3" borderId="14" xfId="0" applyNumberFormat="1" applyFont="1" applyFill="1" applyBorder="1"/>
    <xf numFmtId="164" fontId="0" fillId="3" borderId="0" xfId="0" applyNumberFormat="1" applyFont="1" applyFill="1"/>
    <xf numFmtId="164" fontId="0" fillId="3" borderId="0" xfId="0" applyNumberFormat="1" applyFont="1" applyFill="1" applyBorder="1"/>
    <xf numFmtId="164" fontId="0" fillId="3" borderId="0" xfId="0" applyNumberFormat="1" applyFill="1"/>
    <xf numFmtId="1" fontId="1" fillId="3" borderId="0" xfId="0" quotePrefix="1" applyNumberFormat="1" applyFont="1" applyFill="1" applyBorder="1" applyAlignment="1"/>
    <xf numFmtId="1" fontId="1" fillId="3" borderId="0" xfId="0" applyNumberFormat="1" applyFont="1" applyFill="1" applyBorder="1"/>
    <xf numFmtId="1" fontId="1" fillId="3" borderId="8" xfId="0" applyNumberFormat="1" applyFont="1" applyFill="1" applyBorder="1"/>
    <xf numFmtId="3" fontId="1" fillId="3" borderId="0" xfId="0" quotePrefix="1" applyNumberFormat="1" applyFont="1" applyFill="1" applyBorder="1" applyAlignment="1"/>
    <xf numFmtId="3" fontId="1" fillId="3" borderId="0" xfId="0" applyNumberFormat="1" applyFont="1" applyFill="1" applyBorder="1"/>
    <xf numFmtId="3" fontId="1" fillId="3" borderId="6" xfId="0" applyNumberFormat="1" applyFont="1" applyFill="1" applyBorder="1"/>
    <xf numFmtId="0" fontId="1" fillId="0" borderId="0" xfId="0" applyFont="1" applyFill="1" applyBorder="1" applyAlignment="1">
      <alignment horizontal="left" indent="2"/>
    </xf>
    <xf numFmtId="0" fontId="1" fillId="0" borderId="0" xfId="0" applyFont="1" applyFill="1"/>
    <xf numFmtId="0" fontId="3" fillId="0" borderId="8" xfId="0" applyFont="1" applyFill="1" applyBorder="1"/>
    <xf numFmtId="164" fontId="3" fillId="0" borderId="8" xfId="0" applyNumberFormat="1" applyFont="1" applyBorder="1" applyAlignment="1">
      <alignment horizontal="right"/>
    </xf>
    <xf numFmtId="42" fontId="3" fillId="0" borderId="8" xfId="0" applyNumberFormat="1" applyFont="1" applyFill="1" applyBorder="1"/>
    <xf numFmtId="0" fontId="1" fillId="0" borderId="0" xfId="0" applyFont="1" applyFill="1" applyAlignment="1">
      <alignment horizontal="center"/>
    </xf>
    <xf numFmtId="0" fontId="1" fillId="0" borderId="8" xfId="0" applyFont="1" applyBorder="1"/>
    <xf numFmtId="0" fontId="10" fillId="0" borderId="0" xfId="0" applyNumberFormat="1" applyFont="1" applyAlignment="1">
      <alignment horizontal="center"/>
    </xf>
    <xf numFmtId="3" fontId="1" fillId="0" borderId="0" xfId="0" applyNumberFormat="1" applyFont="1" applyAlignment="1"/>
    <xf numFmtId="3" fontId="1" fillId="3" borderId="0" xfId="0" applyNumberFormat="1" applyFont="1" applyFill="1" applyAlignment="1"/>
    <xf numFmtId="43" fontId="1" fillId="0" borderId="0" xfId="0" applyNumberFormat="1" applyFont="1"/>
    <xf numFmtId="43" fontId="16" fillId="0" borderId="0" xfId="0" applyNumberFormat="1" applyFont="1"/>
    <xf numFmtId="0" fontId="22" fillId="0" borderId="2" xfId="0" applyFont="1" applyBorder="1" applyAlignment="1">
      <alignment horizontal="center"/>
    </xf>
    <xf numFmtId="166" fontId="13" fillId="0" borderId="6" xfId="0" applyNumberFormat="1" applyFont="1" applyFill="1" applyBorder="1"/>
    <xf numFmtId="1" fontId="21" fillId="0" borderId="0" xfId="0" applyNumberFormat="1" applyFont="1" applyFill="1" applyBorder="1"/>
    <xf numFmtId="1" fontId="13" fillId="0" borderId="0" xfId="0" applyNumberFormat="1" applyFont="1" applyBorder="1"/>
    <xf numFmtId="1" fontId="22" fillId="0" borderId="0" xfId="0" applyNumberFormat="1" applyFont="1" applyBorder="1"/>
    <xf numFmtId="0" fontId="1" fillId="0" borderId="0" xfId="0" applyFont="1" applyFill="1" applyBorder="1" applyAlignment="1">
      <alignment horizontal="left" indent="1"/>
    </xf>
    <xf numFmtId="170" fontId="0" fillId="0" borderId="0" xfId="0" applyNumberFormat="1" applyBorder="1"/>
    <xf numFmtId="0" fontId="1" fillId="0" borderId="5" xfId="0" applyFont="1" applyFill="1" applyBorder="1" applyAlignment="1">
      <alignment horizontal="left" indent="2"/>
    </xf>
    <xf numFmtId="37" fontId="4" fillId="0" borderId="0" xfId="0" applyNumberFormat="1" applyFont="1" applyFill="1" applyBorder="1"/>
    <xf numFmtId="42" fontId="3" fillId="0" borderId="0" xfId="0" applyNumberFormat="1" applyFont="1" applyFill="1" applyBorder="1"/>
    <xf numFmtId="166" fontId="10" fillId="2" borderId="0" xfId="0" applyNumberFormat="1" applyFont="1" applyFill="1" applyAlignment="1">
      <alignment horizontal="right"/>
    </xf>
    <xf numFmtId="166" fontId="10" fillId="2" borderId="0" xfId="0" applyNumberFormat="1" applyFont="1" applyFill="1" applyAlignment="1">
      <alignment horizontal="center"/>
    </xf>
    <xf numFmtId="164" fontId="4" fillId="0" borderId="0" xfId="0" applyNumberFormat="1" applyFont="1" applyFill="1" applyBorder="1" applyAlignment="1">
      <alignment horizontal="left"/>
    </xf>
    <xf numFmtId="166" fontId="10" fillId="2" borderId="0" xfId="0" applyNumberFormat="1" applyFont="1" applyFill="1" applyAlignment="1">
      <alignment horizontal="left"/>
    </xf>
    <xf numFmtId="164" fontId="26" fillId="0" borderId="0" xfId="0" applyNumberFormat="1" applyFont="1" applyFill="1" applyBorder="1"/>
    <xf numFmtId="0" fontId="29" fillId="0" borderId="0" xfId="0" quotePrefix="1" applyFont="1" applyFill="1" applyBorder="1" applyAlignment="1">
      <alignment horizontal="left" indent="2"/>
    </xf>
    <xf numFmtId="170" fontId="3" fillId="0" borderId="14" xfId="0" applyNumberFormat="1" applyFont="1" applyFill="1" applyBorder="1" applyAlignment="1">
      <alignment vertical="center" wrapText="1"/>
    </xf>
    <xf numFmtId="170" fontId="0" fillId="0" borderId="16" xfId="0" applyNumberFormat="1" applyFill="1" applyBorder="1"/>
    <xf numFmtId="170" fontId="0" fillId="0" borderId="0" xfId="0" applyNumberFormat="1" applyFill="1"/>
    <xf numFmtId="170" fontId="0" fillId="0" borderId="14" xfId="0" applyNumberFormat="1" applyFill="1" applyBorder="1"/>
    <xf numFmtId="170" fontId="0" fillId="0" borderId="15" xfId="0" applyNumberFormat="1" applyFill="1" applyBorder="1"/>
    <xf numFmtId="0" fontId="22" fillId="0" borderId="2" xfId="0" applyFon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37" fontId="4" fillId="3" borderId="8" xfId="0" applyNumberFormat="1" applyFont="1" applyFill="1" applyBorder="1"/>
    <xf numFmtId="164" fontId="1" fillId="0" borderId="0" xfId="0" applyNumberFormat="1" applyFont="1" applyFill="1" applyBorder="1"/>
    <xf numFmtId="37" fontId="1" fillId="3" borderId="15" xfId="0" applyNumberFormat="1" applyFont="1" applyFill="1" applyBorder="1"/>
    <xf numFmtId="3" fontId="1" fillId="3" borderId="9" xfId="0" applyNumberFormat="1" applyFont="1" applyFill="1" applyBorder="1"/>
    <xf numFmtId="37" fontId="4" fillId="3" borderId="15" xfId="0" applyNumberFormat="1" applyFont="1" applyFill="1" applyBorder="1"/>
    <xf numFmtId="164" fontId="1" fillId="0" borderId="9" xfId="0" applyNumberFormat="1" applyFont="1" applyFill="1" applyBorder="1"/>
    <xf numFmtId="164" fontId="3" fillId="0" borderId="0" xfId="0" applyNumberFormat="1" applyFont="1" applyBorder="1" applyAlignment="1">
      <alignment horizontal="right"/>
    </xf>
    <xf numFmtId="37" fontId="0" fillId="0" borderId="0" xfId="0" applyNumberFormat="1" applyBorder="1"/>
    <xf numFmtId="43" fontId="16" fillId="0" borderId="0" xfId="0" applyNumberFormat="1" applyFont="1" applyFill="1"/>
    <xf numFmtId="17" fontId="0" fillId="0" borderId="8" xfId="0" applyNumberFormat="1" applyFill="1" applyBorder="1" applyAlignment="1">
      <alignment horizontal="center" wrapText="1"/>
    </xf>
    <xf numFmtId="17" fontId="0" fillId="0" borderId="2" xfId="0" applyNumberFormat="1" applyBorder="1" applyAlignment="1">
      <alignment horizontal="center"/>
    </xf>
    <xf numFmtId="17" fontId="0" fillId="0" borderId="2" xfId="0" applyNumberFormat="1" applyBorder="1"/>
    <xf numFmtId="37" fontId="0" fillId="0" borderId="2" xfId="0" applyNumberFormat="1" applyBorder="1"/>
    <xf numFmtId="0" fontId="0" fillId="0" borderId="2" xfId="0" applyBorder="1"/>
    <xf numFmtId="168" fontId="0" fillId="0" borderId="23" xfId="0" applyNumberFormat="1" applyFont="1" applyFill="1" applyBorder="1"/>
    <xf numFmtId="168" fontId="0" fillId="4" borderId="23" xfId="0" applyNumberFormat="1" applyFont="1" applyFill="1" applyBorder="1"/>
    <xf numFmtId="168" fontId="0" fillId="0" borderId="22" xfId="0" applyNumberFormat="1" applyFont="1" applyFill="1" applyBorder="1"/>
    <xf numFmtId="168" fontId="0" fillId="4" borderId="0" xfId="0" applyNumberFormat="1" applyFont="1" applyFill="1" applyBorder="1"/>
    <xf numFmtId="168" fontId="0" fillId="0" borderId="17" xfId="0" applyNumberFormat="1" applyFont="1" applyFill="1" applyBorder="1"/>
    <xf numFmtId="0" fontId="18" fillId="0" borderId="0" xfId="0" applyFont="1" applyAlignment="1">
      <alignment horizontal="center"/>
    </xf>
    <xf numFmtId="0" fontId="0" fillId="0" borderId="5" xfId="0" quotePrefix="1" applyFill="1" applyBorder="1" applyAlignment="1">
      <alignment horizontal="left"/>
    </xf>
    <xf numFmtId="0" fontId="0" fillId="0" borderId="0" xfId="0" quotePrefix="1" applyFill="1" applyBorder="1" applyAlignment="1">
      <alignment horizontal="left"/>
    </xf>
    <xf numFmtId="0" fontId="4" fillId="0" borderId="21" xfId="0" quotePrefix="1" applyFont="1" applyFill="1" applyBorder="1" applyAlignment="1">
      <alignment horizontal="center" vertical="center" wrapText="1"/>
    </xf>
    <xf numFmtId="0" fontId="4" fillId="0" borderId="23" xfId="0" quotePrefix="1" applyFont="1" applyFill="1" applyBorder="1" applyAlignment="1">
      <alignment horizontal="center" vertical="center" wrapText="1"/>
    </xf>
    <xf numFmtId="0" fontId="4" fillId="0" borderId="22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/>
    </xf>
    <xf numFmtId="0" fontId="4" fillId="0" borderId="13" xfId="0" quotePrefix="1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-4-Elec-Weather-Normalization-Pricing-TYJun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GRC-TRF Sales &amp; Rev Adj"/>
      <sheetName val="UE-180282 TRF Power Costs"/>
      <sheetName val="UE-180282 TRF Exhibit A-1"/>
      <sheetName val="UE-180282 TRF Prop Rev"/>
      <sheetName val="2017 Sales &amp; Revenue Adj"/>
      <sheetName val="UE-170033 2017 GRC COS Pow Cost"/>
      <sheetName val="UE-170033 2017 GRC Exh A-1"/>
      <sheetName val="UE-170033 2017 GRC Prop Rev"/>
      <sheetName val="2016 PCA Sales &amp; Revenue Adj."/>
      <sheetName val="Summary 2016 PCORC Rev Req"/>
      <sheetName val="2016 PCORC Exh A-1"/>
      <sheetName val="2016 PCORC Rate Spread"/>
      <sheetName val="2014 PCA Sales &amp; Revenue Adj."/>
      <sheetName val="Summary 2014 PCORC Rev Req"/>
      <sheetName val="2014 PCORC Exh A-1"/>
      <sheetName val="2014 PCORC Rate Spread (JAP-3)"/>
      <sheetName val="Summary 2013 PCORC Rev Req"/>
      <sheetName val="p14 2011 GRC ERF - COS"/>
      <sheetName val="2013 PCORC Att A p 2 (ExA1)"/>
      <sheetName val="2013 PCORC Rate Spread (JAP-3)"/>
    </sheetNames>
    <sheetDataSet>
      <sheetData sheetId="0">
        <row r="37">
          <cell r="C37">
            <v>3.9306000000000001E-2</v>
          </cell>
          <cell r="D37">
            <v>3.9306000000000001E-2</v>
          </cell>
          <cell r="E37">
            <v>3.9306000000000001E-2</v>
          </cell>
          <cell r="F37">
            <v>3.9306000000000001E-2</v>
          </cell>
          <cell r="G37">
            <v>3.9306000000000001E-2</v>
          </cell>
          <cell r="H37">
            <v>3.9306000000000001E-2</v>
          </cell>
        </row>
        <row r="38">
          <cell r="C38">
            <v>3.6097999999999998E-2</v>
          </cell>
          <cell r="D38">
            <v>3.6097999999999998E-2</v>
          </cell>
          <cell r="E38">
            <v>3.6097999999999998E-2</v>
          </cell>
          <cell r="F38">
            <v>3.6097999999999998E-2</v>
          </cell>
          <cell r="G38">
            <v>3.6097999999999998E-2</v>
          </cell>
          <cell r="H38">
            <v>3.6097999999999998E-2</v>
          </cell>
        </row>
        <row r="39">
          <cell r="C39">
            <v>3.5601000000000001E-2</v>
          </cell>
          <cell r="D39">
            <v>3.5601000000000001E-2</v>
          </cell>
          <cell r="E39">
            <v>3.5601000000000001E-2</v>
          </cell>
          <cell r="F39">
            <v>3.5601000000000001E-2</v>
          </cell>
          <cell r="G39">
            <v>3.5601000000000001E-2</v>
          </cell>
          <cell r="H39">
            <v>3.5601000000000001E-2</v>
          </cell>
        </row>
        <row r="40">
          <cell r="C40">
            <v>3.4729000000000003E-2</v>
          </cell>
          <cell r="D40">
            <v>3.4729000000000003E-2</v>
          </cell>
          <cell r="E40">
            <v>3.4729000000000003E-2</v>
          </cell>
          <cell r="F40">
            <v>3.4729000000000003E-2</v>
          </cell>
          <cell r="G40">
            <v>3.4729000000000003E-2</v>
          </cell>
          <cell r="H40">
            <v>3.4729000000000003E-2</v>
          </cell>
        </row>
        <row r="41">
          <cell r="C41">
            <v>3.5601000000000001E-2</v>
          </cell>
          <cell r="D41">
            <v>3.5601000000000001E-2</v>
          </cell>
          <cell r="E41">
            <v>3.5601000000000001E-2</v>
          </cell>
          <cell r="F41">
            <v>3.5601000000000001E-2</v>
          </cell>
          <cell r="G41">
            <v>3.5601000000000001E-2</v>
          </cell>
          <cell r="H41">
            <v>3.5601000000000001E-2</v>
          </cell>
        </row>
        <row r="42">
          <cell r="C42">
            <v>3.3796E-2</v>
          </cell>
          <cell r="D42">
            <v>3.3796E-2</v>
          </cell>
          <cell r="E42">
            <v>3.3796E-2</v>
          </cell>
          <cell r="F42">
            <v>3.3796E-2</v>
          </cell>
          <cell r="G42">
            <v>3.3796E-2</v>
          </cell>
          <cell r="H42">
            <v>3.3796E-2</v>
          </cell>
        </row>
        <row r="43">
          <cell r="C43">
            <v>3.2871999999999998E-2</v>
          </cell>
          <cell r="D43">
            <v>3.2871999999999998E-2</v>
          </cell>
          <cell r="E43">
            <v>3.2871999999999998E-2</v>
          </cell>
          <cell r="F43">
            <v>3.2871999999999998E-2</v>
          </cell>
          <cell r="G43">
            <v>3.2871999999999998E-2</v>
          </cell>
          <cell r="H43">
            <v>3.2871999999999998E-2</v>
          </cell>
        </row>
        <row r="44">
          <cell r="C44">
            <v>2.6970999999999998E-2</v>
          </cell>
          <cell r="D44">
            <v>2.6970999999999998E-2</v>
          </cell>
          <cell r="E44">
            <v>2.6970999999999998E-2</v>
          </cell>
          <cell r="F44">
            <v>2.6970999999999998E-2</v>
          </cell>
          <cell r="G44">
            <v>2.6970999999999998E-2</v>
          </cell>
          <cell r="H44">
            <v>2.6970999999999998E-2</v>
          </cell>
        </row>
        <row r="45">
          <cell r="C45">
            <v>3.5139999999999998E-2</v>
          </cell>
          <cell r="D45">
            <v>3.5139999999999998E-2</v>
          </cell>
          <cell r="E45">
            <v>3.5139999999999998E-2</v>
          </cell>
          <cell r="F45">
            <v>3.5139999999999998E-2</v>
          </cell>
          <cell r="G45">
            <v>3.5139999999999998E-2</v>
          </cell>
          <cell r="H45">
            <v>3.5139999999999998E-2</v>
          </cell>
        </row>
      </sheetData>
      <sheetData sheetId="1"/>
      <sheetData sheetId="2"/>
      <sheetData sheetId="3"/>
      <sheetData sheetId="4">
        <row r="37">
          <cell r="I37">
            <v>6.8902000000000005E-2</v>
          </cell>
          <cell r="J37">
            <v>6.8902000000000005E-2</v>
          </cell>
          <cell r="K37">
            <v>6.8902000000000005E-2</v>
          </cell>
          <cell r="L37">
            <v>6.8902000000000005E-2</v>
          </cell>
          <cell r="M37">
            <v>6.8902000000000005E-2</v>
          </cell>
          <cell r="N37">
            <v>5.6490774193548393E-2</v>
          </cell>
        </row>
        <row r="38">
          <cell r="I38">
            <v>6.3548999999999994E-2</v>
          </cell>
          <cell r="J38">
            <v>6.3548999999999994E-2</v>
          </cell>
          <cell r="K38">
            <v>6.3548999999999994E-2</v>
          </cell>
          <cell r="L38">
            <v>6.3548999999999994E-2</v>
          </cell>
          <cell r="M38">
            <v>6.3548999999999994E-2</v>
          </cell>
          <cell r="N38">
            <v>5.203729032258065E-2</v>
          </cell>
        </row>
        <row r="39">
          <cell r="I39">
            <v>6.3299999999999995E-2</v>
          </cell>
          <cell r="J39">
            <v>6.3299999999999995E-2</v>
          </cell>
          <cell r="K39">
            <v>6.3299999999999995E-2</v>
          </cell>
          <cell r="L39">
            <v>6.3299999999999995E-2</v>
          </cell>
          <cell r="M39">
            <v>6.3299999999999995E-2</v>
          </cell>
          <cell r="N39">
            <v>5.168429032258065E-2</v>
          </cell>
        </row>
        <row r="40">
          <cell r="I40">
            <v>6.5309000000000006E-2</v>
          </cell>
          <cell r="J40">
            <v>6.5309000000000006E-2</v>
          </cell>
          <cell r="K40">
            <v>6.5309000000000006E-2</v>
          </cell>
          <cell r="L40">
            <v>6.5309000000000006E-2</v>
          </cell>
          <cell r="M40">
            <v>6.5309000000000006E-2</v>
          </cell>
          <cell r="N40">
            <v>5.2485129032258077E-2</v>
          </cell>
        </row>
        <row r="41">
          <cell r="I41">
            <v>6.3299999999999995E-2</v>
          </cell>
          <cell r="J41">
            <v>6.3299999999999995E-2</v>
          </cell>
          <cell r="K41">
            <v>6.3299999999999995E-2</v>
          </cell>
          <cell r="L41">
            <v>6.3299999999999995E-2</v>
          </cell>
          <cell r="M41">
            <v>6.3299999999999995E-2</v>
          </cell>
          <cell r="N41">
            <v>5.168429032258065E-2</v>
          </cell>
        </row>
        <row r="42">
          <cell r="I42">
            <v>5.9146999999999998E-2</v>
          </cell>
          <cell r="J42">
            <v>5.9146999999999998E-2</v>
          </cell>
          <cell r="K42">
            <v>5.9146999999999998E-2</v>
          </cell>
          <cell r="L42">
            <v>5.9146999999999998E-2</v>
          </cell>
          <cell r="M42">
            <v>5.9146999999999998E-2</v>
          </cell>
          <cell r="N42">
            <v>4.8515935483870967E-2</v>
          </cell>
        </row>
        <row r="43">
          <cell r="I43">
            <v>6.5490000000000007E-2</v>
          </cell>
          <cell r="J43">
            <v>6.5490000000000007E-2</v>
          </cell>
          <cell r="K43">
            <v>6.5490000000000007E-2</v>
          </cell>
          <cell r="L43">
            <v>6.5490000000000007E-2</v>
          </cell>
          <cell r="M43">
            <v>6.5490000000000007E-2</v>
          </cell>
          <cell r="N43">
            <v>5.1811483870967755E-2</v>
          </cell>
        </row>
        <row r="44">
          <cell r="I44">
            <v>5.8022999999999998E-2</v>
          </cell>
          <cell r="J44">
            <v>5.8022999999999998E-2</v>
          </cell>
          <cell r="K44">
            <v>5.8022999999999998E-2</v>
          </cell>
          <cell r="L44">
            <v>5.8022999999999998E-2</v>
          </cell>
          <cell r="M44">
            <v>5.8022999999999998E-2</v>
          </cell>
          <cell r="N44">
            <v>4.5001193548387101E-2</v>
          </cell>
        </row>
        <row r="45">
          <cell r="I45">
            <v>3.5139999999999998E-2</v>
          </cell>
          <cell r="J45">
            <v>3.5139999999999998E-2</v>
          </cell>
          <cell r="K45">
            <v>3.5139999999999998E-2</v>
          </cell>
          <cell r="L45">
            <v>3.5139999999999998E-2</v>
          </cell>
          <cell r="M45">
            <v>3.5139999999999998E-2</v>
          </cell>
          <cell r="N45">
            <v>3.5139999999999998E-2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showGridLines="0" workbookViewId="0">
      <selection activeCell="G11" sqref="G11"/>
    </sheetView>
  </sheetViews>
  <sheetFormatPr defaultRowHeight="13.2" x14ac:dyDescent="0.25"/>
  <cols>
    <col min="1" max="1" width="9.33203125" style="29" bestFit="1" customWidth="1"/>
    <col min="2" max="2" width="40.33203125" bestFit="1" customWidth="1"/>
    <col min="3" max="4" width="14.44140625" bestFit="1" customWidth="1"/>
    <col min="5" max="5" width="15.33203125" customWidth="1"/>
    <col min="6" max="6" width="16.44140625" customWidth="1"/>
    <col min="7" max="7" width="3.33203125" customWidth="1"/>
    <col min="8" max="8" width="6" customWidth="1"/>
    <col min="9" max="9" width="9.5546875" customWidth="1"/>
    <col min="10" max="10" width="10.33203125" customWidth="1"/>
    <col min="11" max="11" width="12.5546875" customWidth="1"/>
    <col min="12" max="12" width="13.33203125" customWidth="1"/>
    <col min="13" max="13" width="12.44140625" customWidth="1"/>
    <col min="14" max="14" width="13.33203125" customWidth="1"/>
    <col min="17" max="17" width="1" customWidth="1"/>
    <col min="18" max="19" width="10.6640625" customWidth="1"/>
    <col min="20" max="20" width="9.6640625" customWidth="1"/>
    <col min="21" max="21" width="0.6640625" customWidth="1"/>
    <col min="22" max="23" width="10.6640625" customWidth="1"/>
    <col min="24" max="24" width="10.6640625" bestFit="1" customWidth="1"/>
    <col min="25" max="25" width="0.6640625" customWidth="1"/>
    <col min="26" max="27" width="10.6640625" customWidth="1"/>
  </cols>
  <sheetData>
    <row r="1" spans="1:28" x14ac:dyDescent="0.25">
      <c r="B1" s="29"/>
      <c r="C1" s="29"/>
      <c r="D1" s="29"/>
      <c r="E1" s="29"/>
      <c r="F1" s="249"/>
      <c r="G1" s="249"/>
    </row>
    <row r="2" spans="1:28" x14ac:dyDescent="0.25">
      <c r="A2" s="30" t="s">
        <v>151</v>
      </c>
      <c r="B2" s="30"/>
      <c r="C2" s="30"/>
      <c r="D2" s="30"/>
      <c r="E2" s="30"/>
      <c r="F2" s="30"/>
      <c r="G2" s="30"/>
    </row>
    <row r="3" spans="1:28" x14ac:dyDescent="0.25">
      <c r="A3" s="30" t="s">
        <v>12</v>
      </c>
      <c r="B3" s="30"/>
      <c r="C3" s="30"/>
      <c r="D3" s="30"/>
      <c r="E3" s="30"/>
      <c r="F3" s="30"/>
      <c r="G3" s="30"/>
    </row>
    <row r="4" spans="1:28" x14ac:dyDescent="0.25">
      <c r="A4" s="31" t="s">
        <v>193</v>
      </c>
      <c r="B4" s="31"/>
      <c r="C4" s="31"/>
      <c r="D4" s="31"/>
      <c r="E4" s="31"/>
      <c r="F4" s="31"/>
      <c r="G4" s="31"/>
    </row>
    <row r="5" spans="1:28" ht="15.75" customHeight="1" x14ac:dyDescent="0.3">
      <c r="A5" s="30"/>
      <c r="B5" s="30"/>
      <c r="C5" s="30"/>
      <c r="D5" s="30"/>
      <c r="E5" s="30"/>
      <c r="F5" s="30"/>
      <c r="G5" s="30"/>
      <c r="P5" s="372" t="s">
        <v>129</v>
      </c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</row>
    <row r="6" spans="1:28" ht="15.6" x14ac:dyDescent="0.3">
      <c r="A6" s="32"/>
      <c r="B6" s="29"/>
      <c r="C6" s="29"/>
      <c r="D6" s="29"/>
      <c r="E6" s="29"/>
      <c r="F6" s="29"/>
      <c r="G6" s="29"/>
      <c r="J6" s="372" t="s">
        <v>118</v>
      </c>
      <c r="K6" s="372"/>
      <c r="L6" s="372"/>
      <c r="M6" s="372"/>
      <c r="N6" s="372"/>
      <c r="P6" s="372" t="s">
        <v>136</v>
      </c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</row>
    <row r="7" spans="1:28" ht="15.6" x14ac:dyDescent="0.3">
      <c r="A7" s="33" t="s">
        <v>13</v>
      </c>
      <c r="B7" s="34"/>
      <c r="C7" s="34"/>
      <c r="D7" s="34"/>
      <c r="E7" s="29"/>
      <c r="F7" s="29"/>
      <c r="G7" s="29"/>
      <c r="H7" s="35"/>
      <c r="J7" s="372" t="s">
        <v>119</v>
      </c>
      <c r="K7" s="372"/>
      <c r="L7" s="372"/>
      <c r="M7" s="372"/>
      <c r="N7" s="372"/>
    </row>
    <row r="8" spans="1:28" x14ac:dyDescent="0.25">
      <c r="A8" s="36" t="s">
        <v>14</v>
      </c>
      <c r="B8" s="37" t="s">
        <v>15</v>
      </c>
      <c r="C8" s="37"/>
      <c r="D8" s="37"/>
      <c r="E8" s="38"/>
      <c r="F8" s="38"/>
      <c r="G8" s="94"/>
      <c r="H8" s="35"/>
      <c r="R8" s="241" t="s">
        <v>132</v>
      </c>
      <c r="S8" s="242"/>
      <c r="T8" s="242"/>
      <c r="U8" s="243"/>
      <c r="V8" s="241" t="s">
        <v>142</v>
      </c>
      <c r="W8" s="242"/>
      <c r="X8" s="242"/>
      <c r="Y8" s="243"/>
      <c r="Z8" s="241" t="s">
        <v>146</v>
      </c>
      <c r="AA8" s="242"/>
      <c r="AB8" s="242"/>
    </row>
    <row r="9" spans="1:28" x14ac:dyDescent="0.25">
      <c r="A9" s="32"/>
      <c r="B9" s="39"/>
      <c r="C9" s="40"/>
      <c r="D9" s="41"/>
      <c r="E9" s="39"/>
      <c r="F9" s="39"/>
      <c r="G9" s="39"/>
      <c r="H9" s="35"/>
      <c r="J9" s="232"/>
      <c r="K9" s="32" t="s">
        <v>121</v>
      </c>
      <c r="L9" s="32" t="s">
        <v>122</v>
      </c>
      <c r="M9" s="232"/>
      <c r="N9" s="32" t="s">
        <v>123</v>
      </c>
      <c r="R9" s="244" t="s">
        <v>133</v>
      </c>
      <c r="S9" s="245"/>
      <c r="T9" s="245"/>
      <c r="U9" s="243"/>
      <c r="V9" s="244" t="s">
        <v>134</v>
      </c>
      <c r="W9" s="245"/>
      <c r="X9" s="245"/>
      <c r="Y9" s="243"/>
      <c r="Z9" s="244" t="s">
        <v>135</v>
      </c>
      <c r="AA9" s="245"/>
      <c r="AB9" s="245"/>
    </row>
    <row r="10" spans="1:28" x14ac:dyDescent="0.25">
      <c r="A10" s="42">
        <v>1</v>
      </c>
      <c r="B10" s="43"/>
      <c r="C10" s="44" t="s">
        <v>16</v>
      </c>
      <c r="D10" s="45" t="s">
        <v>17</v>
      </c>
      <c r="E10" s="46" t="s">
        <v>153</v>
      </c>
      <c r="F10" s="47" t="s">
        <v>18</v>
      </c>
      <c r="G10" s="47"/>
      <c r="H10" s="45"/>
      <c r="J10" s="233" t="s">
        <v>64</v>
      </c>
      <c r="K10" s="233" t="s">
        <v>120</v>
      </c>
      <c r="L10" s="233" t="s">
        <v>120</v>
      </c>
      <c r="M10" s="233" t="s">
        <v>123</v>
      </c>
      <c r="N10" s="233" t="s">
        <v>128</v>
      </c>
      <c r="P10" s="233" t="s">
        <v>64</v>
      </c>
      <c r="Q10" s="233"/>
      <c r="R10" s="233" t="s">
        <v>121</v>
      </c>
      <c r="S10" s="233" t="s">
        <v>130</v>
      </c>
      <c r="T10" s="233" t="s">
        <v>131</v>
      </c>
      <c r="U10" s="29"/>
      <c r="V10" s="233" t="s">
        <v>121</v>
      </c>
      <c r="W10" s="233" t="s">
        <v>130</v>
      </c>
      <c r="X10" s="233" t="s">
        <v>131</v>
      </c>
      <c r="Y10" s="29"/>
      <c r="Z10" s="233" t="s">
        <v>121</v>
      </c>
      <c r="AA10" s="233" t="s">
        <v>130</v>
      </c>
      <c r="AB10" s="233" t="s">
        <v>131</v>
      </c>
    </row>
    <row r="11" spans="1:28" x14ac:dyDescent="0.25">
      <c r="A11" s="42">
        <f t="shared" ref="A11:A35" si="0">A10+1</f>
        <v>2</v>
      </c>
      <c r="B11" s="43"/>
      <c r="C11" s="166" t="s">
        <v>114</v>
      </c>
      <c r="D11" s="48" t="s">
        <v>114</v>
      </c>
      <c r="E11" s="49" t="s">
        <v>19</v>
      </c>
      <c r="F11" s="340">
        <f>0.073</f>
        <v>7.2999999999999995E-2</v>
      </c>
      <c r="G11" s="341" t="s">
        <v>179</v>
      </c>
      <c r="H11" s="343">
        <f>0.071</f>
        <v>7.0999999999999994E-2</v>
      </c>
      <c r="I11" s="126"/>
      <c r="J11" s="239" t="s">
        <v>125</v>
      </c>
      <c r="K11" s="239" t="s">
        <v>126</v>
      </c>
      <c r="L11" s="239" t="s">
        <v>127</v>
      </c>
      <c r="M11" s="240" t="s">
        <v>124</v>
      </c>
      <c r="N11" s="240" t="s">
        <v>184</v>
      </c>
      <c r="P11" s="234">
        <f>B12</f>
        <v>42917</v>
      </c>
      <c r="Q11" s="63"/>
      <c r="R11" s="291">
        <f t="array" ref="R11:R22">TRANSPOSE('Actual Total Usage'!B9:M9)/1000</f>
        <v>664888.03856400005</v>
      </c>
      <c r="S11" s="291">
        <f t="array" ref="S11:S22">TRANSPOSE('Normalized Total Usage'!B9:M9)/1000</f>
        <v>658894.04162972223</v>
      </c>
      <c r="T11" s="291">
        <f>S11-R11</f>
        <v>-5993.9969342778204</v>
      </c>
      <c r="U11" s="291"/>
      <c r="V11" s="291">
        <f t="array" ref="V11:V22">TRANSPOSE('Actual Total Usage'!B13:M13)/1000</f>
        <v>215765.657297</v>
      </c>
      <c r="W11" s="291">
        <f t="array" ref="W11:W22">TRANSPOSE('Normalized Total Usage'!B13:M13)/1000</f>
        <v>214607.03687780316</v>
      </c>
      <c r="X11" s="291">
        <f>W11-V11</f>
        <v>-1158.6204191968427</v>
      </c>
      <c r="Y11" s="291"/>
      <c r="Z11" s="291">
        <f t="array" ref="Z11:Z22">TRANSPOSE('Actual Total Usage'!B17:M17)/1000</f>
        <v>233500.03685600002</v>
      </c>
      <c r="AA11" s="291">
        <f t="array" ref="AA11:AA22">TRANSPOSE('Normalized Total Usage'!B17:M17)/1000</f>
        <v>232471.22228618769</v>
      </c>
      <c r="AB11" s="291">
        <f>AA11-Z11</f>
        <v>-1028.8145698123262</v>
      </c>
    </row>
    <row r="12" spans="1:28" x14ac:dyDescent="0.25">
      <c r="A12" s="42">
        <f>A11+1</f>
        <v>3</v>
      </c>
      <c r="B12" s="50">
        <v>42917</v>
      </c>
      <c r="C12" s="301">
        <f>'System Model '!K4*1000</f>
        <v>1674840812</v>
      </c>
      <c r="D12" s="302">
        <f>'System Model '!N4*1000</f>
        <v>1664895712.9958138</v>
      </c>
      <c r="E12" s="290">
        <f t="shared" ref="E12:E20" si="1">+D12-C12</f>
        <v>-9945099.0041861534</v>
      </c>
      <c r="F12" s="290">
        <f t="shared" ref="F12:F13" si="2">E12*(1-$F$11)</f>
        <v>-9219106.7768805642</v>
      </c>
      <c r="G12" s="290"/>
      <c r="I12" s="342"/>
      <c r="J12" s="234">
        <f t="shared" ref="J12:J23" si="3">B12</f>
        <v>42917</v>
      </c>
      <c r="K12" s="291">
        <f t="shared" ref="K12:K20" si="4">C12/1000</f>
        <v>1674840.8119999999</v>
      </c>
      <c r="L12" s="291">
        <f t="shared" ref="L12:L20" si="5">D12/1000</f>
        <v>1664895.7129958139</v>
      </c>
      <c r="M12" s="291">
        <f t="shared" ref="M12:M20" si="6">E12/1000</f>
        <v>-9945.0990041861533</v>
      </c>
      <c r="N12" s="291">
        <f t="shared" ref="N12:N20" si="7">F12/1000</f>
        <v>-9219.1067768805642</v>
      </c>
      <c r="P12" s="234">
        <f t="shared" ref="P12:P22" si="8">B13</f>
        <v>42948</v>
      </c>
      <c r="Q12" s="63"/>
      <c r="R12" s="291">
        <v>690580.77447000006</v>
      </c>
      <c r="S12" s="291">
        <v>656660.58587971679</v>
      </c>
      <c r="T12" s="291">
        <f t="shared" ref="T12:T22" si="9">S12-R12</f>
        <v>-33920.188590283273</v>
      </c>
      <c r="U12" s="291"/>
      <c r="V12" s="291">
        <v>228940.40205599999</v>
      </c>
      <c r="W12" s="291">
        <v>222367.76767849713</v>
      </c>
      <c r="X12" s="291">
        <f t="shared" ref="X12:X22" si="10">W12-V12</f>
        <v>-6572.6343775028654</v>
      </c>
      <c r="Y12" s="291"/>
      <c r="Z12" s="291">
        <v>242573.92411000002</v>
      </c>
      <c r="AA12" s="291">
        <v>236750.39213843542</v>
      </c>
      <c r="AB12" s="291">
        <f t="shared" ref="AB12:AB22" si="11">AA12-Z12</f>
        <v>-5823.5319715646037</v>
      </c>
    </row>
    <row r="13" spans="1:28" x14ac:dyDescent="0.25">
      <c r="A13" s="42">
        <f t="shared" si="0"/>
        <v>4</v>
      </c>
      <c r="B13" s="50">
        <v>42948</v>
      </c>
      <c r="C13" s="301">
        <f>'System Model '!K5*1000</f>
        <v>1762350614</v>
      </c>
      <c r="D13" s="302">
        <f>'System Model '!N5*1000</f>
        <v>1706028678.2529953</v>
      </c>
      <c r="E13" s="290">
        <f t="shared" si="1"/>
        <v>-56321935.747004747</v>
      </c>
      <c r="F13" s="290">
        <f t="shared" si="2"/>
        <v>-52210434.437473401</v>
      </c>
      <c r="G13" s="290"/>
      <c r="I13" s="144"/>
      <c r="J13" s="234">
        <f t="shared" si="3"/>
        <v>42948</v>
      </c>
      <c r="K13" s="291">
        <f t="shared" si="4"/>
        <v>1762350.6140000001</v>
      </c>
      <c r="L13" s="291">
        <f t="shared" si="5"/>
        <v>1706028.6782529952</v>
      </c>
      <c r="M13" s="291">
        <f t="shared" si="6"/>
        <v>-56321.935747004747</v>
      </c>
      <c r="N13" s="291">
        <f t="shared" si="7"/>
        <v>-52210.434437473399</v>
      </c>
      <c r="P13" s="234">
        <f t="shared" si="8"/>
        <v>42979</v>
      </c>
      <c r="Q13" s="63"/>
      <c r="R13" s="291">
        <v>690326.368441</v>
      </c>
      <c r="S13" s="291">
        <v>680605.31562592089</v>
      </c>
      <c r="T13" s="291">
        <f t="shared" si="9"/>
        <v>-9721.0528150791069</v>
      </c>
      <c r="U13" s="291"/>
      <c r="V13" s="291">
        <v>225770.07298500001</v>
      </c>
      <c r="W13" s="291">
        <v>223888.39408274987</v>
      </c>
      <c r="X13" s="291">
        <f t="shared" si="10"/>
        <v>-1881.6789022501325</v>
      </c>
      <c r="Y13" s="291"/>
      <c r="Z13" s="291">
        <v>241874.90104199998</v>
      </c>
      <c r="AA13" s="291">
        <v>240206.79875859831</v>
      </c>
      <c r="AB13" s="291">
        <f t="shared" si="11"/>
        <v>-1668.1022834016767</v>
      </c>
    </row>
    <row r="14" spans="1:28" x14ac:dyDescent="0.25">
      <c r="A14" s="42">
        <f t="shared" si="0"/>
        <v>5</v>
      </c>
      <c r="B14" s="50">
        <v>42979</v>
      </c>
      <c r="C14" s="301">
        <f>'System Model '!K6*1000</f>
        <v>1614649543</v>
      </c>
      <c r="D14" s="302">
        <f>'System Model '!N6*1000</f>
        <v>1598552638.8488054</v>
      </c>
      <c r="E14" s="290">
        <f t="shared" si="1"/>
        <v>-16096904.151194572</v>
      </c>
      <c r="F14" s="290">
        <f>E14*(1-$H$11)</f>
        <v>-14954023.956459759</v>
      </c>
      <c r="G14" s="290"/>
      <c r="I14" s="144"/>
      <c r="J14" s="234">
        <f t="shared" si="3"/>
        <v>42979</v>
      </c>
      <c r="K14" s="291">
        <f t="shared" si="4"/>
        <v>1614649.5430000001</v>
      </c>
      <c r="L14" s="291">
        <f t="shared" si="5"/>
        <v>1598552.6388488053</v>
      </c>
      <c r="M14" s="291">
        <f t="shared" si="6"/>
        <v>-16096.904151194572</v>
      </c>
      <c r="N14" s="291">
        <f t="shared" si="7"/>
        <v>-14954.02395645976</v>
      </c>
      <c r="P14" s="234">
        <f t="shared" si="8"/>
        <v>43009</v>
      </c>
      <c r="Q14" s="63"/>
      <c r="R14" s="291">
        <v>721568.62923800002</v>
      </c>
      <c r="S14" s="291">
        <v>723424.99780796666</v>
      </c>
      <c r="T14" s="291">
        <f t="shared" si="9"/>
        <v>1856.3685699666385</v>
      </c>
      <c r="U14" s="291"/>
      <c r="V14" s="291">
        <v>216448.91655899998</v>
      </c>
      <c r="W14" s="291">
        <v>215762.17801344104</v>
      </c>
      <c r="X14" s="291">
        <f t="shared" si="10"/>
        <v>-686.73854555893922</v>
      </c>
      <c r="Y14" s="291"/>
      <c r="Z14" s="291">
        <v>234941.386035</v>
      </c>
      <c r="AA14" s="291">
        <v>234018.95913832099</v>
      </c>
      <c r="AB14" s="291">
        <f t="shared" si="11"/>
        <v>-922.42689667901141</v>
      </c>
    </row>
    <row r="15" spans="1:28" x14ac:dyDescent="0.25">
      <c r="A15" s="42">
        <f t="shared" si="0"/>
        <v>6</v>
      </c>
      <c r="B15" s="50">
        <v>43009</v>
      </c>
      <c r="C15" s="301">
        <f>'System Model '!K7*1000</f>
        <v>1788067702</v>
      </c>
      <c r="D15" s="302">
        <f>'System Model '!N7*1000</f>
        <v>1786848284.08025</v>
      </c>
      <c r="E15" s="290">
        <f t="shared" si="1"/>
        <v>-1219417.9197499752</v>
      </c>
      <c r="F15" s="290">
        <f t="shared" ref="F15:F20" si="12">E15*(1-$H$11)</f>
        <v>-1132839.247447727</v>
      </c>
      <c r="G15" s="290"/>
      <c r="I15" s="144"/>
      <c r="J15" s="234">
        <f t="shared" si="3"/>
        <v>43009</v>
      </c>
      <c r="K15" s="291">
        <f t="shared" si="4"/>
        <v>1788067.702</v>
      </c>
      <c r="L15" s="291">
        <f t="shared" si="5"/>
        <v>1786848.28408025</v>
      </c>
      <c r="M15" s="291">
        <f t="shared" si="6"/>
        <v>-1219.4179197499752</v>
      </c>
      <c r="N15" s="291">
        <f t="shared" si="7"/>
        <v>-1132.8392474477271</v>
      </c>
      <c r="P15" s="234">
        <f t="shared" si="8"/>
        <v>43040</v>
      </c>
      <c r="Q15" s="63"/>
      <c r="R15" s="291">
        <v>914087.28324000002</v>
      </c>
      <c r="S15" s="291">
        <v>930248.80123494088</v>
      </c>
      <c r="T15" s="291">
        <f t="shared" si="9"/>
        <v>16161.517994940863</v>
      </c>
      <c r="U15" s="291"/>
      <c r="V15" s="291">
        <v>230376.04601799999</v>
      </c>
      <c r="W15" s="291">
        <v>232537.31396561017</v>
      </c>
      <c r="X15" s="291">
        <f t="shared" si="10"/>
        <v>2161.2679476101766</v>
      </c>
      <c r="Y15" s="291"/>
      <c r="Z15" s="291">
        <v>237782.21942899999</v>
      </c>
      <c r="AA15" s="291">
        <v>239195.93559859678</v>
      </c>
      <c r="AB15" s="291">
        <f t="shared" si="11"/>
        <v>1413.7161695967952</v>
      </c>
    </row>
    <row r="16" spans="1:28" x14ac:dyDescent="0.25">
      <c r="A16" s="42">
        <f t="shared" si="0"/>
        <v>7</v>
      </c>
      <c r="B16" s="50">
        <v>43040</v>
      </c>
      <c r="C16" s="301">
        <f>'System Model '!K8*1000</f>
        <v>2006678704</v>
      </c>
      <c r="D16" s="302">
        <f>'System Model '!N8*1000</f>
        <v>2028588920.6755638</v>
      </c>
      <c r="E16" s="290">
        <f t="shared" si="1"/>
        <v>21910216.675563812</v>
      </c>
      <c r="F16" s="290">
        <f t="shared" si="12"/>
        <v>20354591.291598782</v>
      </c>
      <c r="G16" s="290"/>
      <c r="I16" s="144"/>
      <c r="J16" s="234">
        <f t="shared" si="3"/>
        <v>43040</v>
      </c>
      <c r="K16" s="291">
        <f t="shared" si="4"/>
        <v>2006678.7039999999</v>
      </c>
      <c r="L16" s="291">
        <f t="shared" si="5"/>
        <v>2028588.9206755639</v>
      </c>
      <c r="M16" s="291">
        <f t="shared" si="6"/>
        <v>21910.216675563814</v>
      </c>
      <c r="N16" s="291">
        <f t="shared" si="7"/>
        <v>20354.591291598783</v>
      </c>
      <c r="P16" s="234">
        <f t="shared" si="8"/>
        <v>43070</v>
      </c>
      <c r="Q16" s="63"/>
      <c r="R16" s="291">
        <v>1113734.5555109999</v>
      </c>
      <c r="S16" s="291">
        <v>1094413.5057955957</v>
      </c>
      <c r="T16" s="291">
        <f t="shared" si="9"/>
        <v>-19321.049715404166</v>
      </c>
      <c r="U16" s="291"/>
      <c r="V16" s="291">
        <v>251876.87272499999</v>
      </c>
      <c r="W16" s="291">
        <v>249695.15365965242</v>
      </c>
      <c r="X16" s="291">
        <f t="shared" si="10"/>
        <v>-2181.71906534757</v>
      </c>
      <c r="Y16" s="291"/>
      <c r="Z16" s="291">
        <v>253043.20996200002</v>
      </c>
      <c r="AA16" s="291">
        <v>251816.18259950486</v>
      </c>
      <c r="AB16" s="291">
        <f t="shared" si="11"/>
        <v>-1227.027362495166</v>
      </c>
    </row>
    <row r="17" spans="1:28" x14ac:dyDescent="0.25">
      <c r="A17" s="42">
        <f t="shared" si="0"/>
        <v>8</v>
      </c>
      <c r="B17" s="50">
        <v>43070</v>
      </c>
      <c r="C17" s="301">
        <f>'System Model '!K9*1000</f>
        <v>2389752569</v>
      </c>
      <c r="D17" s="302">
        <f>'System Model '!N9*1000</f>
        <v>2364363529.0372953</v>
      </c>
      <c r="E17" s="290">
        <f t="shared" si="1"/>
        <v>-25389039.962704659</v>
      </c>
      <c r="F17" s="290">
        <f t="shared" si="12"/>
        <v>-23586418.125352629</v>
      </c>
      <c r="G17" s="290"/>
      <c r="I17" s="144"/>
      <c r="J17" s="234">
        <f t="shared" si="3"/>
        <v>43070</v>
      </c>
      <c r="K17" s="291">
        <f t="shared" si="4"/>
        <v>2389752.5690000001</v>
      </c>
      <c r="L17" s="291">
        <f t="shared" si="5"/>
        <v>2364363.5290372954</v>
      </c>
      <c r="M17" s="291">
        <f t="shared" si="6"/>
        <v>-25389.039962704657</v>
      </c>
      <c r="N17" s="291">
        <f t="shared" si="7"/>
        <v>-23586.418125352629</v>
      </c>
      <c r="P17" s="234">
        <f t="shared" si="8"/>
        <v>43101</v>
      </c>
      <c r="Q17" s="63"/>
      <c r="R17" s="291">
        <v>1245600.4971179999</v>
      </c>
      <c r="S17" s="291">
        <v>1312478.4828336635</v>
      </c>
      <c r="T17" s="291">
        <f t="shared" si="9"/>
        <v>66877.985715663526</v>
      </c>
      <c r="U17" s="291"/>
      <c r="V17" s="291">
        <v>270052.26044799993</v>
      </c>
      <c r="W17" s="291">
        <v>278679.17067591567</v>
      </c>
      <c r="X17" s="291">
        <f t="shared" si="10"/>
        <v>8626.9102279157378</v>
      </c>
      <c r="Y17" s="291"/>
      <c r="Z17" s="291">
        <v>268152.90463499998</v>
      </c>
      <c r="AA17" s="291">
        <v>273697.30758958426</v>
      </c>
      <c r="AB17" s="291">
        <f t="shared" si="11"/>
        <v>5544.4029545842786</v>
      </c>
    </row>
    <row r="18" spans="1:28" x14ac:dyDescent="0.25">
      <c r="A18" s="42">
        <f t="shared" si="0"/>
        <v>9</v>
      </c>
      <c r="B18" s="50">
        <v>43101</v>
      </c>
      <c r="C18" s="301">
        <f>'System Model '!K10*1000</f>
        <v>2215266167</v>
      </c>
      <c r="D18" s="302">
        <f>'System Model '!N10*1000</f>
        <v>2305584065.4216886</v>
      </c>
      <c r="E18" s="290">
        <f t="shared" si="1"/>
        <v>90317898.421688557</v>
      </c>
      <c r="F18" s="290">
        <f t="shared" si="12"/>
        <v>83905327.63374868</v>
      </c>
      <c r="G18" s="290"/>
      <c r="I18" s="144"/>
      <c r="J18" s="234">
        <f t="shared" si="3"/>
        <v>43101</v>
      </c>
      <c r="K18" s="291">
        <f t="shared" si="4"/>
        <v>2215266.1669999999</v>
      </c>
      <c r="L18" s="291">
        <f t="shared" si="5"/>
        <v>2305584.0654216884</v>
      </c>
      <c r="M18" s="291">
        <f t="shared" si="6"/>
        <v>90317.898421688558</v>
      </c>
      <c r="N18" s="291">
        <f t="shared" si="7"/>
        <v>83905.327633748675</v>
      </c>
      <c r="P18" s="234">
        <f t="shared" si="8"/>
        <v>43132</v>
      </c>
      <c r="Q18" s="63"/>
      <c r="R18" s="291">
        <v>1123202.8302799999</v>
      </c>
      <c r="S18" s="291">
        <v>1081187.6390991576</v>
      </c>
      <c r="T18" s="291">
        <f t="shared" si="9"/>
        <v>-42015.19118084223</v>
      </c>
      <c r="U18" s="291"/>
      <c r="V18" s="291">
        <v>250610.40238099999</v>
      </c>
      <c r="W18" s="291">
        <v>245128.46869024093</v>
      </c>
      <c r="X18" s="291">
        <f t="shared" si="10"/>
        <v>-5481.9336907590623</v>
      </c>
      <c r="Y18" s="291"/>
      <c r="Z18" s="291">
        <v>260714.836633</v>
      </c>
      <c r="AA18" s="291">
        <v>257118.99808754722</v>
      </c>
      <c r="AB18" s="291">
        <f t="shared" si="11"/>
        <v>-3595.8385454527743</v>
      </c>
    </row>
    <row r="19" spans="1:28" x14ac:dyDescent="0.25">
      <c r="A19" s="42">
        <f t="shared" si="0"/>
        <v>10</v>
      </c>
      <c r="B19" s="50">
        <v>43132</v>
      </c>
      <c r="C19" s="301">
        <f>'System Model '!K11*1000</f>
        <v>2064898700</v>
      </c>
      <c r="D19" s="302">
        <f>'System Model '!N11*1000</f>
        <v>2007991930.630203</v>
      </c>
      <c r="E19" s="290">
        <f t="shared" si="1"/>
        <v>-56906769.369796991</v>
      </c>
      <c r="F19" s="290">
        <f t="shared" si="12"/>
        <v>-52866388.744541407</v>
      </c>
      <c r="G19" s="290"/>
      <c r="I19" s="144"/>
      <c r="J19" s="236">
        <f t="shared" si="3"/>
        <v>43132</v>
      </c>
      <c r="K19" s="292">
        <f t="shared" si="4"/>
        <v>2064898.7</v>
      </c>
      <c r="L19" s="292">
        <f t="shared" si="5"/>
        <v>2007991.9306302031</v>
      </c>
      <c r="M19" s="292">
        <f t="shared" si="6"/>
        <v>-56906.769369796988</v>
      </c>
      <c r="N19" s="292">
        <f t="shared" si="7"/>
        <v>-52866.388744541408</v>
      </c>
      <c r="P19" s="234">
        <f t="shared" si="8"/>
        <v>43160</v>
      </c>
      <c r="Q19" s="63"/>
      <c r="R19" s="291">
        <v>1119823.6269689999</v>
      </c>
      <c r="S19" s="291">
        <v>1124111.6674870651</v>
      </c>
      <c r="T19" s="291">
        <f t="shared" si="9"/>
        <v>4288.040518065216</v>
      </c>
      <c r="U19" s="291"/>
      <c r="V19" s="291">
        <v>249794.73207899998</v>
      </c>
      <c r="W19" s="291">
        <v>250540.24114362241</v>
      </c>
      <c r="X19" s="291">
        <f t="shared" si="10"/>
        <v>745.5090646224271</v>
      </c>
      <c r="Y19" s="291"/>
      <c r="Z19" s="291">
        <v>261974.89123100002</v>
      </c>
      <c r="AA19" s="291">
        <v>262571.11880648811</v>
      </c>
      <c r="AB19" s="291">
        <f t="shared" si="11"/>
        <v>596.2275754880975</v>
      </c>
    </row>
    <row r="20" spans="1:28" x14ac:dyDescent="0.25">
      <c r="A20" s="42">
        <f t="shared" si="0"/>
        <v>11</v>
      </c>
      <c r="B20" s="50">
        <v>43160</v>
      </c>
      <c r="C20" s="354">
        <f>'System Model '!K12*1000</f>
        <v>2062414077</v>
      </c>
      <c r="D20" s="302">
        <f>'System Model '!N12*1000</f>
        <v>2068533333.0722306</v>
      </c>
      <c r="E20" s="359">
        <f t="shared" si="1"/>
        <v>6119256.0722305775</v>
      </c>
      <c r="F20" s="359">
        <f t="shared" si="12"/>
        <v>5684788.8911022069</v>
      </c>
      <c r="G20" s="290"/>
      <c r="I20" s="144"/>
      <c r="J20" s="236">
        <f t="shared" si="3"/>
        <v>43160</v>
      </c>
      <c r="K20" s="292">
        <f t="shared" si="4"/>
        <v>2062414.077</v>
      </c>
      <c r="L20" s="292">
        <f t="shared" si="5"/>
        <v>2068533.3330722307</v>
      </c>
      <c r="M20" s="292">
        <f t="shared" si="6"/>
        <v>6119.256072230577</v>
      </c>
      <c r="N20" s="292">
        <f t="shared" si="7"/>
        <v>5684.7888911022073</v>
      </c>
      <c r="P20" s="234">
        <f t="shared" si="8"/>
        <v>43191</v>
      </c>
      <c r="Q20" s="63"/>
      <c r="R20" s="291">
        <v>924598.02489300002</v>
      </c>
      <c r="S20" s="291">
        <v>933663.40466798469</v>
      </c>
      <c r="T20" s="291">
        <f t="shared" si="9"/>
        <v>9065.3797749846708</v>
      </c>
      <c r="U20" s="291"/>
      <c r="V20" s="291">
        <v>222392.89107099999</v>
      </c>
      <c r="W20" s="291">
        <v>223205.8959595242</v>
      </c>
      <c r="X20" s="291">
        <f t="shared" si="10"/>
        <v>813.00488852421404</v>
      </c>
      <c r="Y20" s="291"/>
      <c r="Z20" s="291">
        <v>243307.75608700002</v>
      </c>
      <c r="AA20" s="291">
        <v>243653.6529643487</v>
      </c>
      <c r="AB20" s="291">
        <f t="shared" si="11"/>
        <v>345.89687734868494</v>
      </c>
    </row>
    <row r="21" spans="1:28" x14ac:dyDescent="0.25">
      <c r="A21" s="42"/>
      <c r="B21" s="50">
        <v>43191</v>
      </c>
      <c r="C21" s="354">
        <f>'System Model '!K13*1000</f>
        <v>1768077599</v>
      </c>
      <c r="D21" s="302">
        <f>'System Model '!N13*1000</f>
        <v>1779404185.600157</v>
      </c>
      <c r="E21" s="359">
        <f t="shared" ref="E21:E23" si="13">+D21-C21</f>
        <v>11326586.600157022</v>
      </c>
      <c r="F21" s="359">
        <f t="shared" ref="F21:F23" si="14">E21*(1-$H$11)</f>
        <v>10522398.951545874</v>
      </c>
      <c r="G21" s="290"/>
      <c r="I21" s="144"/>
      <c r="J21" s="236">
        <f t="shared" si="3"/>
        <v>43191</v>
      </c>
      <c r="K21" s="292">
        <f t="shared" ref="K21:K23" si="15">C21/1000</f>
        <v>1768077.5989999999</v>
      </c>
      <c r="L21" s="292">
        <f t="shared" ref="L21:L23" si="16">D21/1000</f>
        <v>1779404.1856001571</v>
      </c>
      <c r="M21" s="292">
        <f t="shared" ref="M21:M23" si="17">E21/1000</f>
        <v>11326.586600157023</v>
      </c>
      <c r="N21" s="292">
        <f t="shared" ref="N21:N23" si="18">F21/1000</f>
        <v>10522.398951545874</v>
      </c>
      <c r="P21" s="234">
        <f t="shared" si="8"/>
        <v>43221</v>
      </c>
      <c r="Q21" s="63"/>
      <c r="R21" s="291">
        <v>741369.50304700003</v>
      </c>
      <c r="S21" s="291">
        <v>757682.04358456342</v>
      </c>
      <c r="T21" s="291">
        <f t="shared" si="9"/>
        <v>16312.540537563385</v>
      </c>
      <c r="U21" s="291"/>
      <c r="V21" s="291">
        <v>203704.35266199999</v>
      </c>
      <c r="W21" s="291">
        <v>204567.2532799842</v>
      </c>
      <c r="X21" s="291">
        <f t="shared" si="10"/>
        <v>862.90061798421084</v>
      </c>
      <c r="Y21" s="291"/>
      <c r="Z21" s="291">
        <v>237955.92672299998</v>
      </c>
      <c r="AA21" s="291">
        <v>237803.75608385852</v>
      </c>
      <c r="AB21" s="291">
        <f t="shared" si="11"/>
        <v>-152.17063914146274</v>
      </c>
    </row>
    <row r="22" spans="1:28" x14ac:dyDescent="0.25">
      <c r="A22" s="42"/>
      <c r="B22" s="50">
        <v>43221</v>
      </c>
      <c r="C22" s="354">
        <f>'System Model '!K14*1000</f>
        <v>1593061438</v>
      </c>
      <c r="D22" s="302">
        <f>'System Model '!N14*1000</f>
        <v>1611520006.8019745</v>
      </c>
      <c r="E22" s="359">
        <f t="shared" si="13"/>
        <v>18458568.801974535</v>
      </c>
      <c r="F22" s="359">
        <f t="shared" si="14"/>
        <v>17148010.417034343</v>
      </c>
      <c r="G22" s="290"/>
      <c r="I22" s="144"/>
      <c r="J22" s="236">
        <f t="shared" si="3"/>
        <v>43221</v>
      </c>
      <c r="K22" s="292">
        <f t="shared" si="15"/>
        <v>1593061.4380000001</v>
      </c>
      <c r="L22" s="292">
        <f t="shared" si="16"/>
        <v>1611520.0068019745</v>
      </c>
      <c r="M22" s="292">
        <f t="shared" si="17"/>
        <v>18458.568801974536</v>
      </c>
      <c r="N22" s="292">
        <f t="shared" si="18"/>
        <v>17148.010417034344</v>
      </c>
      <c r="P22" s="234">
        <f t="shared" si="8"/>
        <v>43252</v>
      </c>
      <c r="Q22" s="173"/>
      <c r="R22" s="292">
        <v>663353.18537899991</v>
      </c>
      <c r="S22" s="292">
        <v>659761.97621224565</v>
      </c>
      <c r="T22" s="291">
        <f t="shared" si="9"/>
        <v>-3591.20916675427</v>
      </c>
      <c r="U22" s="292"/>
      <c r="V22" s="292">
        <v>201826.31566099994</v>
      </c>
      <c r="W22" s="292">
        <v>201130.19995461099</v>
      </c>
      <c r="X22" s="291">
        <f t="shared" si="10"/>
        <v>-696.115706388955</v>
      </c>
      <c r="Y22" s="292"/>
      <c r="Z22" s="292">
        <v>232786.86050099999</v>
      </c>
      <c r="AA22" s="292">
        <v>232142.44762596779</v>
      </c>
      <c r="AB22" s="291">
        <f t="shared" si="11"/>
        <v>-644.41287503219792</v>
      </c>
    </row>
    <row r="23" spans="1:28" x14ac:dyDescent="0.25">
      <c r="A23" s="42"/>
      <c r="B23" s="50">
        <v>43252</v>
      </c>
      <c r="C23" s="303">
        <f>'System Model '!K15*1000</f>
        <v>1565951960</v>
      </c>
      <c r="D23" s="304">
        <f>'System Model '!N15*1000</f>
        <v>1559953299.7715843</v>
      </c>
      <c r="E23" s="290">
        <f t="shared" si="13"/>
        <v>-5998660.2284157276</v>
      </c>
      <c r="F23" s="290">
        <f t="shared" si="14"/>
        <v>-5572755.3521982115</v>
      </c>
      <c r="G23" s="290"/>
      <c r="I23" s="144"/>
      <c r="J23" s="237">
        <f t="shared" si="3"/>
        <v>43252</v>
      </c>
      <c r="K23" s="293">
        <f t="shared" si="15"/>
        <v>1565951.96</v>
      </c>
      <c r="L23" s="293">
        <f t="shared" si="16"/>
        <v>1559953.2997715843</v>
      </c>
      <c r="M23" s="293">
        <f t="shared" si="17"/>
        <v>-5998.6602284157279</v>
      </c>
      <c r="N23" s="293">
        <f t="shared" si="18"/>
        <v>-5572.7553521982118</v>
      </c>
      <c r="P23" s="234" t="s">
        <v>21</v>
      </c>
      <c r="Q23" s="63"/>
      <c r="R23" s="82">
        <f t="shared" ref="R23:AB23" si="19">SUM(R14:R22)</f>
        <v>8567338.135675</v>
      </c>
      <c r="S23" s="82">
        <f t="shared" si="19"/>
        <v>8616972.5187231842</v>
      </c>
      <c r="T23" s="82">
        <f t="shared" si="19"/>
        <v>49634.383048183634</v>
      </c>
      <c r="U23" s="82">
        <f t="shared" si="19"/>
        <v>0</v>
      </c>
      <c r="V23" s="82">
        <f t="shared" si="19"/>
        <v>2097082.7896039996</v>
      </c>
      <c r="W23" s="82">
        <f t="shared" si="19"/>
        <v>2101245.8753426019</v>
      </c>
      <c r="X23" s="82">
        <f t="shared" si="19"/>
        <v>4163.0857386022399</v>
      </c>
      <c r="Y23" s="82">
        <f t="shared" si="19"/>
        <v>0</v>
      </c>
      <c r="Z23" s="82">
        <f t="shared" si="19"/>
        <v>2230659.9912359999</v>
      </c>
      <c r="AA23" s="82">
        <f t="shared" si="19"/>
        <v>2232018.358494217</v>
      </c>
      <c r="AB23" s="82">
        <f t="shared" si="19"/>
        <v>1358.3672582172439</v>
      </c>
    </row>
    <row r="24" spans="1:28" x14ac:dyDescent="0.25">
      <c r="A24" s="42">
        <f>A20+1</f>
        <v>12</v>
      </c>
      <c r="B24" s="29"/>
      <c r="C24" s="70">
        <f>SUM(C12:C23)</f>
        <v>22506009885</v>
      </c>
      <c r="D24" s="195">
        <f>SUM(D12:D23)</f>
        <v>22482264585.188564</v>
      </c>
      <c r="E24" s="195">
        <f>SUM(E12:E23)</f>
        <v>-23745299.811438322</v>
      </c>
      <c r="F24" s="195">
        <f>SUM(F12:F23)</f>
        <v>-21926849.455323808</v>
      </c>
      <c r="G24" s="338"/>
      <c r="J24" s="235" t="s">
        <v>21</v>
      </c>
      <c r="K24" s="238">
        <f>SUM(K12:K23)</f>
        <v>22506009.885000002</v>
      </c>
      <c r="L24" s="238">
        <f t="shared" ref="L24:N24" si="20">SUM(L12:L23)</f>
        <v>22482264.585188564</v>
      </c>
      <c r="M24" s="238">
        <f t="shared" si="20"/>
        <v>-23745.299811438308</v>
      </c>
      <c r="N24" s="238">
        <f t="shared" si="20"/>
        <v>-21926.849455323823</v>
      </c>
    </row>
    <row r="25" spans="1:28" x14ac:dyDescent="0.25">
      <c r="A25" s="42">
        <f t="shared" si="0"/>
        <v>13</v>
      </c>
      <c r="B25" s="39"/>
      <c r="C25" s="51"/>
      <c r="D25" s="51"/>
      <c r="E25" s="52"/>
      <c r="F25" s="52"/>
      <c r="G25" s="52"/>
      <c r="R25" s="241" t="s">
        <v>145</v>
      </c>
      <c r="S25" s="242"/>
      <c r="T25" s="242"/>
      <c r="V25" s="241" t="s">
        <v>147</v>
      </c>
      <c r="W25" s="242"/>
      <c r="X25" s="242"/>
      <c r="Y25" s="243"/>
      <c r="Z25" s="241" t="s">
        <v>138</v>
      </c>
      <c r="AA25" s="242"/>
      <c r="AB25" s="242"/>
    </row>
    <row r="26" spans="1:28" x14ac:dyDescent="0.25">
      <c r="A26" s="42">
        <f t="shared" si="0"/>
        <v>14</v>
      </c>
      <c r="B26" s="319" t="s">
        <v>164</v>
      </c>
      <c r="C26" s="53" t="s">
        <v>1</v>
      </c>
      <c r="D26" s="54"/>
      <c r="E26" s="290">
        <f>'Sales &amp; Revenue Adj.'!B22</f>
        <v>-855.29145687678829</v>
      </c>
      <c r="F26" s="55">
        <f>+'Sales &amp; Revenue Adj.'!B8</f>
        <v>-1267807</v>
      </c>
      <c r="G26" s="55"/>
      <c r="H26" s="69"/>
      <c r="I26" s="83"/>
      <c r="J26" s="60"/>
      <c r="R26" s="244" t="s">
        <v>161</v>
      </c>
      <c r="S26" s="245"/>
      <c r="T26" s="245"/>
      <c r="V26" s="244" t="s">
        <v>137</v>
      </c>
      <c r="W26" s="245"/>
      <c r="X26" s="245"/>
      <c r="Y26" s="243"/>
      <c r="Z26" s="244" t="s">
        <v>139</v>
      </c>
      <c r="AA26" s="245"/>
      <c r="AB26" s="245"/>
    </row>
    <row r="27" spans="1:28" x14ac:dyDescent="0.25">
      <c r="A27" s="42">
        <f t="shared" si="0"/>
        <v>15</v>
      </c>
      <c r="B27" s="323" t="s">
        <v>165</v>
      </c>
      <c r="C27" s="53" t="s">
        <v>2</v>
      </c>
      <c r="D27" s="53"/>
      <c r="E27" s="290">
        <f>'Sales &amp; Revenue Adj.'!B23</f>
        <v>-5449847.9603477279</v>
      </c>
      <c r="F27" s="55">
        <f>+'Sales &amp; Revenue Adj.'!B9</f>
        <v>-454912</v>
      </c>
      <c r="G27" s="55"/>
      <c r="H27" s="69"/>
      <c r="I27" s="83"/>
      <c r="J27" s="60"/>
      <c r="P27" s="233" t="s">
        <v>64</v>
      </c>
      <c r="Q27" s="233"/>
      <c r="R27" s="233" t="s">
        <v>121</v>
      </c>
      <c r="S27" s="233" t="s">
        <v>130</v>
      </c>
      <c r="T27" s="233" t="s">
        <v>131</v>
      </c>
      <c r="V27" s="233" t="s">
        <v>121</v>
      </c>
      <c r="W27" s="233" t="s">
        <v>130</v>
      </c>
      <c r="X27" s="233" t="s">
        <v>131</v>
      </c>
      <c r="Y27" s="29"/>
      <c r="Z27" s="233" t="s">
        <v>121</v>
      </c>
      <c r="AA27" s="233" t="s">
        <v>130</v>
      </c>
      <c r="AB27" s="233" t="s">
        <v>131</v>
      </c>
    </row>
    <row r="28" spans="1:28" x14ac:dyDescent="0.25">
      <c r="A28" s="42">
        <f t="shared" si="0"/>
        <v>16</v>
      </c>
      <c r="B28" s="53"/>
      <c r="C28" s="56" t="s">
        <v>3</v>
      </c>
      <c r="D28" s="57"/>
      <c r="E28" s="290">
        <f>'Sales &amp; Revenue Adj.'!B24</f>
        <v>-7162081.5665613385</v>
      </c>
      <c r="F28" s="55">
        <f>+'Sales &amp; Revenue Adj.'!B10</f>
        <v>-497113</v>
      </c>
      <c r="G28" s="55"/>
      <c r="H28" s="69"/>
      <c r="I28" s="83"/>
      <c r="J28" s="60"/>
      <c r="P28" s="234">
        <f t="shared" ref="P28:P39" si="21">P11</f>
        <v>42917</v>
      </c>
      <c r="Q28" s="63"/>
      <c r="R28" s="291">
        <f t="array" ref="R28:R39">TRANSPOSE('Actual Total Usage'!B21:M21)/1000</f>
        <v>155945.74976599999</v>
      </c>
      <c r="S28" s="291">
        <f t="array" ref="S28:S39">TRANSPOSE('Normalized Total Usage'!B21:M21)/1000</f>
        <v>155369.75213477245</v>
      </c>
      <c r="T28" s="291">
        <f>S28-R28</f>
        <v>-575.99763122753939</v>
      </c>
      <c r="U28" s="291"/>
      <c r="V28" s="291">
        <f t="array" ref="V28:V39">TRANSPOSE('Actual Total Usage'!B25:M25)/1000</f>
        <v>101865.169628</v>
      </c>
      <c r="W28" s="291">
        <f t="array" ref="W28:W39">TRANSPOSE('Normalized Total Usage'!B25:M25)/1000</f>
        <v>101655.6663363371</v>
      </c>
      <c r="X28" s="291">
        <f>W28-V28</f>
        <v>-209.50329166289885</v>
      </c>
      <c r="Y28" s="291"/>
      <c r="Z28" s="291">
        <f t="array" ref="Z28:Z39">TRANSPOSE('Actual Total Usage'!B27:M27)/1000</f>
        <v>2371.0358179999998</v>
      </c>
      <c r="AA28" s="291">
        <f t="array" ref="AA28:AA39">TRANSPOSE('Normalized Total Usage'!B27:M27/1000)</f>
        <v>2328.257768394109</v>
      </c>
      <c r="AB28" s="291">
        <f>AA28-Z28</f>
        <v>-42.778049605890828</v>
      </c>
    </row>
    <row r="29" spans="1:28" x14ac:dyDescent="0.25">
      <c r="A29" s="42">
        <f t="shared" si="0"/>
        <v>17</v>
      </c>
      <c r="B29" s="58"/>
      <c r="C29" s="53" t="s">
        <v>4</v>
      </c>
      <c r="D29" s="56"/>
      <c r="E29" s="290">
        <f>'Sales &amp; Revenue Adj.'!B25</f>
        <v>-5569549.819963485</v>
      </c>
      <c r="F29" s="55">
        <f>+'Sales &amp; Revenue Adj.'!B11</f>
        <v>-354984</v>
      </c>
      <c r="G29" s="55"/>
      <c r="H29" s="69"/>
      <c r="I29" s="83"/>
      <c r="J29" s="60"/>
      <c r="P29" s="234">
        <f t="shared" si="21"/>
        <v>42948</v>
      </c>
      <c r="Q29" s="63"/>
      <c r="R29" s="291">
        <v>164973.719247</v>
      </c>
      <c r="S29" s="291">
        <v>161700.935515666</v>
      </c>
      <c r="T29" s="291">
        <f t="shared" ref="T29:T39" si="22">S29-R29</f>
        <v>-3272.7837313339987</v>
      </c>
      <c r="U29" s="291"/>
      <c r="V29" s="291">
        <v>112749.36833499999</v>
      </c>
      <c r="W29" s="291">
        <v>111560.23300743368</v>
      </c>
      <c r="X29" s="291">
        <f t="shared" ref="X29:X39" si="23">W29-V29</f>
        <v>-1189.1353275663132</v>
      </c>
      <c r="Y29" s="291"/>
      <c r="Z29" s="291">
        <v>4217.3206960000007</v>
      </c>
      <c r="AA29" s="291">
        <v>3968.9538757158439</v>
      </c>
      <c r="AB29" s="291">
        <f t="shared" ref="AB29:AB39" si="24">AA29-Z29</f>
        <v>-248.3668202841568</v>
      </c>
    </row>
    <row r="30" spans="1:28" x14ac:dyDescent="0.25">
      <c r="A30" s="42">
        <f t="shared" si="0"/>
        <v>18</v>
      </c>
      <c r="B30" s="53"/>
      <c r="C30" s="56" t="s">
        <v>5</v>
      </c>
      <c r="D30" s="53"/>
      <c r="E30" s="290">
        <f>'Sales &amp; Revenue Adj.'!B26</f>
        <v>-403837.91482737212</v>
      </c>
      <c r="F30" s="55">
        <f>+'Sales &amp; Revenue Adj.'!B12</f>
        <v>-24405</v>
      </c>
      <c r="G30" s="55"/>
      <c r="H30" s="69"/>
      <c r="I30" s="83"/>
      <c r="J30" s="60"/>
      <c r="P30" s="234">
        <f t="shared" si="21"/>
        <v>42979</v>
      </c>
      <c r="Q30" s="63"/>
      <c r="R30" s="291">
        <v>162315.62664100001</v>
      </c>
      <c r="S30" s="291">
        <v>161381.34508741373</v>
      </c>
      <c r="T30" s="291">
        <f t="shared" si="22"/>
        <v>-934.28155358627555</v>
      </c>
      <c r="U30" s="291"/>
      <c r="V30" s="291">
        <v>109457.379285</v>
      </c>
      <c r="W30" s="291">
        <v>109117.73890111451</v>
      </c>
      <c r="X30" s="291">
        <f t="shared" si="23"/>
        <v>-339.64038388548943</v>
      </c>
      <c r="Y30" s="291"/>
      <c r="Z30" s="291">
        <v>3588.0043330000003</v>
      </c>
      <c r="AA30" s="291">
        <v>3517.1319276903218</v>
      </c>
      <c r="AB30" s="291">
        <f t="shared" si="24"/>
        <v>-70.87240530967847</v>
      </c>
    </row>
    <row r="31" spans="1:28" x14ac:dyDescent="0.25">
      <c r="A31" s="42">
        <f t="shared" si="0"/>
        <v>19</v>
      </c>
      <c r="B31" s="53"/>
      <c r="C31" s="56" t="s">
        <v>6</v>
      </c>
      <c r="D31" s="53"/>
      <c r="E31" s="290">
        <f>'Sales &amp; Revenue Adj.'!B27</f>
        <v>-2089863.5634308262</v>
      </c>
      <c r="F31" s="55">
        <f>+'Sales &amp; Revenue Adj.'!B13</f>
        <v>-126784</v>
      </c>
      <c r="G31" s="55"/>
      <c r="H31" s="69"/>
      <c r="I31" s="83"/>
      <c r="J31" s="60"/>
      <c r="P31" s="234">
        <f t="shared" si="21"/>
        <v>43009</v>
      </c>
      <c r="Q31" s="63"/>
      <c r="R31" s="291">
        <v>155301.605423</v>
      </c>
      <c r="S31" s="291">
        <v>154804.51546303058</v>
      </c>
      <c r="T31" s="291">
        <f t="shared" si="22"/>
        <v>-497.08995996942394</v>
      </c>
      <c r="U31" s="291"/>
      <c r="V31" s="291">
        <v>111769.955867</v>
      </c>
      <c r="W31" s="291">
        <v>111293.12370101863</v>
      </c>
      <c r="X31" s="291">
        <f t="shared" si="23"/>
        <v>-476.83216598136642</v>
      </c>
      <c r="Y31" s="291"/>
      <c r="Z31" s="291">
        <v>1543.50981</v>
      </c>
      <c r="AA31" s="291">
        <v>1543.50981</v>
      </c>
      <c r="AB31" s="291">
        <f t="shared" si="24"/>
        <v>0</v>
      </c>
    </row>
    <row r="32" spans="1:28" x14ac:dyDescent="0.25">
      <c r="A32" s="42">
        <f t="shared" si="0"/>
        <v>20</v>
      </c>
      <c r="B32" s="53"/>
      <c r="C32" s="53" t="s">
        <v>8</v>
      </c>
      <c r="D32" s="53"/>
      <c r="E32" s="290">
        <f>'Sales &amp; Revenue Adj.'!B28</f>
        <v>-1733687.0572225826</v>
      </c>
      <c r="F32" s="55">
        <f>+'Sales &amp; Revenue Adj.'!B14</f>
        <v>-113543</v>
      </c>
      <c r="G32" s="55"/>
      <c r="H32" s="69"/>
      <c r="I32" s="83"/>
      <c r="J32" s="60"/>
      <c r="P32" s="234">
        <f t="shared" si="21"/>
        <v>43040</v>
      </c>
      <c r="Q32" s="63"/>
      <c r="R32" s="291">
        <v>151722.26120699997</v>
      </c>
      <c r="S32" s="291">
        <v>151837.17177223356</v>
      </c>
      <c r="T32" s="291">
        <f t="shared" si="22"/>
        <v>114.91056523358566</v>
      </c>
      <c r="U32" s="291"/>
      <c r="V32" s="291">
        <v>103701.457132</v>
      </c>
      <c r="W32" s="291">
        <v>103819.81855758258</v>
      </c>
      <c r="X32" s="291">
        <f t="shared" si="23"/>
        <v>118.36142558258143</v>
      </c>
      <c r="Y32" s="291"/>
      <c r="Z32" s="291">
        <v>346.37508299999996</v>
      </c>
      <c r="AA32" s="291">
        <v>346.37508299999996</v>
      </c>
      <c r="AB32" s="291">
        <f t="shared" si="24"/>
        <v>0</v>
      </c>
    </row>
    <row r="33" spans="1:29" x14ac:dyDescent="0.25">
      <c r="A33" s="42">
        <f t="shared" si="0"/>
        <v>21</v>
      </c>
      <c r="B33" s="53"/>
      <c r="C33" s="81" t="s">
        <v>24</v>
      </c>
      <c r="D33" s="53"/>
      <c r="E33" s="290">
        <f>SUM('Sales &amp; Revenue Adj.'!B29:B29)</f>
        <v>461100.14024450601</v>
      </c>
      <c r="F33" s="55">
        <f>SUM('Sales &amp; Revenue Adj.'!B15:B15)</f>
        <v>3803</v>
      </c>
      <c r="G33" s="55"/>
      <c r="H33" s="69"/>
      <c r="I33" s="83"/>
      <c r="J33" s="60"/>
      <c r="P33" s="234">
        <f t="shared" si="21"/>
        <v>43070</v>
      </c>
      <c r="Q33" s="63"/>
      <c r="R33" s="291">
        <v>154292.14901600001</v>
      </c>
      <c r="S33" s="291">
        <v>154088.96920206168</v>
      </c>
      <c r="T33" s="291">
        <f t="shared" si="22"/>
        <v>-203.17981393833179</v>
      </c>
      <c r="U33" s="291"/>
      <c r="V33" s="291">
        <v>108124.38378399999</v>
      </c>
      <c r="W33" s="291">
        <v>107920.48497294735</v>
      </c>
      <c r="X33" s="291">
        <f t="shared" si="23"/>
        <v>-203.89881105264067</v>
      </c>
      <c r="Y33" s="291"/>
      <c r="Z33" s="291">
        <v>205.569367</v>
      </c>
      <c r="AA33" s="291">
        <v>205.569367</v>
      </c>
      <c r="AB33" s="291">
        <f t="shared" si="24"/>
        <v>0</v>
      </c>
    </row>
    <row r="34" spans="1:29" x14ac:dyDescent="0.25">
      <c r="A34" s="42">
        <f t="shared" si="0"/>
        <v>22</v>
      </c>
      <c r="B34" s="53"/>
      <c r="C34" s="320" t="s">
        <v>9</v>
      </c>
      <c r="D34" s="320"/>
      <c r="E34" s="321">
        <f>'Sales &amp; Revenue Adj.'!B30</f>
        <v>21773.578241899635</v>
      </c>
      <c r="F34" s="322">
        <f>+'Sales &amp; Revenue Adj.'!B16</f>
        <v>766</v>
      </c>
      <c r="G34" s="339"/>
      <c r="H34" s="69"/>
      <c r="I34" s="83"/>
      <c r="J34" s="60"/>
      <c r="P34" s="234">
        <f t="shared" si="21"/>
        <v>43101</v>
      </c>
      <c r="Q34" s="63"/>
      <c r="R34" s="291">
        <v>158122.61891200001</v>
      </c>
      <c r="S34" s="291">
        <v>158729.9477640081</v>
      </c>
      <c r="T34" s="291">
        <f t="shared" si="22"/>
        <v>607.32885200809687</v>
      </c>
      <c r="U34" s="291"/>
      <c r="V34" s="291">
        <v>114391.46893399999</v>
      </c>
      <c r="W34" s="291">
        <v>115006.37855700117</v>
      </c>
      <c r="X34" s="291">
        <f t="shared" si="23"/>
        <v>614.90962300117826</v>
      </c>
      <c r="Y34" s="291"/>
      <c r="Z34" s="291">
        <v>269.38878899999997</v>
      </c>
      <c r="AA34" s="291">
        <v>269.38878899999997</v>
      </c>
      <c r="AB34" s="291">
        <f t="shared" si="24"/>
        <v>0</v>
      </c>
    </row>
    <row r="35" spans="1:29" x14ac:dyDescent="0.25">
      <c r="A35" s="42">
        <f t="shared" si="0"/>
        <v>23</v>
      </c>
      <c r="B35" s="53"/>
      <c r="C35" s="319" t="s">
        <v>21</v>
      </c>
      <c r="D35" s="53"/>
      <c r="E35" s="290">
        <f>SUM(E26:E34)</f>
        <v>-21926849.455323804</v>
      </c>
      <c r="F35" s="59">
        <f>SUM(F26:F34)</f>
        <v>-2834979</v>
      </c>
      <c r="G35" s="59"/>
      <c r="H35" s="69"/>
      <c r="I35" s="82"/>
      <c r="J35" s="60"/>
      <c r="P35" s="234">
        <f t="shared" si="21"/>
        <v>43132</v>
      </c>
      <c r="Q35" s="63"/>
      <c r="R35" s="291">
        <v>159054.356891</v>
      </c>
      <c r="S35" s="291">
        <v>158681.05323626366</v>
      </c>
      <c r="T35" s="291">
        <f t="shared" si="22"/>
        <v>-373.30365473634447</v>
      </c>
      <c r="U35" s="291"/>
      <c r="V35" s="291">
        <v>115062.34970199999</v>
      </c>
      <c r="W35" s="291">
        <v>114683.2154947925</v>
      </c>
      <c r="X35" s="291">
        <f t="shared" si="23"/>
        <v>-379.13420720749127</v>
      </c>
      <c r="Y35" s="291"/>
      <c r="Z35" s="291">
        <v>276.13670000000002</v>
      </c>
      <c r="AA35" s="291">
        <v>276.13670000000002</v>
      </c>
      <c r="AB35" s="291">
        <f t="shared" si="24"/>
        <v>0</v>
      </c>
    </row>
    <row r="36" spans="1:29" x14ac:dyDescent="0.25">
      <c r="A36" s="42"/>
      <c r="B36" s="29"/>
      <c r="C36" s="29"/>
      <c r="D36" s="29"/>
      <c r="E36" s="29"/>
      <c r="F36" s="59"/>
      <c r="G36" s="29"/>
      <c r="P36" s="234">
        <f t="shared" si="21"/>
        <v>43160</v>
      </c>
      <c r="Q36" s="63"/>
      <c r="R36" s="291">
        <v>148013.02018899997</v>
      </c>
      <c r="S36" s="291">
        <v>147992.98635677525</v>
      </c>
      <c r="T36" s="291">
        <f t="shared" si="22"/>
        <v>-20.033832224726211</v>
      </c>
      <c r="U36" s="291"/>
      <c r="V36" s="291">
        <v>103806.900106</v>
      </c>
      <c r="W36" s="291">
        <v>103790.38380386609</v>
      </c>
      <c r="X36" s="291">
        <f t="shared" si="23"/>
        <v>-16.516302133910358</v>
      </c>
      <c r="Y36" s="291"/>
      <c r="Z36" s="291">
        <v>280.80811599999998</v>
      </c>
      <c r="AA36" s="291">
        <v>280.80811599999998</v>
      </c>
      <c r="AB36" s="291">
        <f t="shared" si="24"/>
        <v>0</v>
      </c>
    </row>
    <row r="37" spans="1:29" x14ac:dyDescent="0.25">
      <c r="A37" s="72"/>
      <c r="B37" s="73"/>
      <c r="C37" s="73"/>
      <c r="D37" s="73"/>
      <c r="E37" s="74"/>
      <c r="F37" s="75"/>
      <c r="G37" s="75"/>
      <c r="P37" s="234">
        <f t="shared" si="21"/>
        <v>43191</v>
      </c>
      <c r="Q37" s="63"/>
      <c r="R37" s="291">
        <v>144668.35019699999</v>
      </c>
      <c r="S37" s="291">
        <v>144735.26534864894</v>
      </c>
      <c r="T37" s="291">
        <f t="shared" si="22"/>
        <v>66.915151648950996</v>
      </c>
      <c r="U37" s="291"/>
      <c r="V37" s="291">
        <v>108701.480595</v>
      </c>
      <c r="W37" s="291">
        <v>108769.79369923289</v>
      </c>
      <c r="X37" s="291">
        <f t="shared" si="23"/>
        <v>68.3131042328896</v>
      </c>
      <c r="Y37" s="291"/>
      <c r="Z37" s="291">
        <v>266.694748</v>
      </c>
      <c r="AA37" s="291">
        <v>266.694748</v>
      </c>
      <c r="AB37" s="291">
        <f t="shared" si="24"/>
        <v>0</v>
      </c>
    </row>
    <row r="38" spans="1:29" x14ac:dyDescent="0.25">
      <c r="A38" s="299" t="s">
        <v>172</v>
      </c>
      <c r="B38" s="73"/>
      <c r="C38" s="73"/>
      <c r="D38" s="73"/>
      <c r="E38" s="74"/>
      <c r="F38" s="76"/>
      <c r="G38" s="76"/>
      <c r="P38" s="234">
        <f t="shared" si="21"/>
        <v>43221</v>
      </c>
      <c r="Q38" s="63"/>
      <c r="R38" s="291">
        <v>150175.392609</v>
      </c>
      <c r="S38" s="291">
        <v>150063.19538620446</v>
      </c>
      <c r="T38" s="291">
        <f t="shared" si="22"/>
        <v>-112.19722279554117</v>
      </c>
      <c r="U38" s="291"/>
      <c r="V38" s="291">
        <v>105469.56447499999</v>
      </c>
      <c r="W38" s="291">
        <v>105517.51899043325</v>
      </c>
      <c r="X38" s="291">
        <f t="shared" si="23"/>
        <v>47.954515433259076</v>
      </c>
      <c r="Y38" s="291"/>
      <c r="Z38" s="291">
        <v>708.71026399999994</v>
      </c>
      <c r="AA38" s="291">
        <v>692.132653853904</v>
      </c>
      <c r="AB38" s="291">
        <f t="shared" si="24"/>
        <v>-16.577610146095935</v>
      </c>
    </row>
    <row r="39" spans="1:29" x14ac:dyDescent="0.25">
      <c r="A39" s="299" t="s">
        <v>186</v>
      </c>
      <c r="B39" s="73"/>
      <c r="C39" s="73"/>
      <c r="D39" s="73"/>
      <c r="E39" s="74"/>
      <c r="F39" s="71"/>
      <c r="G39" s="71"/>
      <c r="P39" s="236">
        <f t="shared" si="21"/>
        <v>43252</v>
      </c>
      <c r="Q39" s="173"/>
      <c r="R39" s="292">
        <v>156368.30940299999</v>
      </c>
      <c r="S39" s="292">
        <v>155998.4724139582</v>
      </c>
      <c r="T39" s="292">
        <f t="shared" si="22"/>
        <v>-369.83698904179619</v>
      </c>
      <c r="U39" s="292"/>
      <c r="V39" s="292">
        <v>103412.23788</v>
      </c>
      <c r="W39" s="292">
        <v>103287.49613780937</v>
      </c>
      <c r="X39" s="292">
        <f t="shared" si="23"/>
        <v>-124.74174219062843</v>
      </c>
      <c r="Y39" s="292"/>
      <c r="Z39" s="292">
        <v>1878.608117</v>
      </c>
      <c r="AA39" s="292">
        <v>1853.3650875184496</v>
      </c>
      <c r="AB39" s="292">
        <f t="shared" si="24"/>
        <v>-25.243029481550366</v>
      </c>
    </row>
    <row r="40" spans="1:29" x14ac:dyDescent="0.25">
      <c r="A40" s="72"/>
      <c r="B40" s="73"/>
      <c r="C40" s="73"/>
      <c r="D40" s="73"/>
      <c r="E40" s="74"/>
      <c r="F40" s="70"/>
      <c r="G40" s="70"/>
      <c r="P40" s="363" t="s">
        <v>21</v>
      </c>
      <c r="Q40" s="364"/>
      <c r="R40" s="365">
        <f t="shared" ref="R40:AB40" si="25">SUM(R28:R39)</f>
        <v>1860953.1595009998</v>
      </c>
      <c r="S40" s="365">
        <f t="shared" si="25"/>
        <v>1855383.6096810366</v>
      </c>
      <c r="T40" s="365">
        <f t="shared" si="25"/>
        <v>-5569.5498199633439</v>
      </c>
      <c r="U40" s="365">
        <f t="shared" si="25"/>
        <v>0</v>
      </c>
      <c r="V40" s="365">
        <f t="shared" si="25"/>
        <v>1298511.7157229998</v>
      </c>
      <c r="W40" s="365">
        <f t="shared" si="25"/>
        <v>1296421.8521595693</v>
      </c>
      <c r="X40" s="365">
        <f t="shared" si="25"/>
        <v>-2089.8635634308303</v>
      </c>
      <c r="Y40" s="365">
        <f t="shared" si="25"/>
        <v>0</v>
      </c>
      <c r="Z40" s="365">
        <f t="shared" si="25"/>
        <v>15952.161841000001</v>
      </c>
      <c r="AA40" s="365">
        <f t="shared" si="25"/>
        <v>15548.323926172628</v>
      </c>
      <c r="AB40" s="365">
        <f t="shared" si="25"/>
        <v>-403.8379148273724</v>
      </c>
    </row>
    <row r="41" spans="1:29" x14ac:dyDescent="0.25">
      <c r="A41" s="300"/>
      <c r="B41" s="73"/>
      <c r="C41" s="73"/>
      <c r="D41" s="73"/>
      <c r="E41" s="74"/>
      <c r="F41" s="75"/>
      <c r="G41" s="75"/>
    </row>
    <row r="42" spans="1:29" x14ac:dyDescent="0.25">
      <c r="A42" s="72"/>
      <c r="B42" s="73"/>
      <c r="C42" s="73"/>
      <c r="D42" s="73"/>
      <c r="E42" s="77"/>
      <c r="F42" s="71"/>
      <c r="G42" s="71"/>
      <c r="Q42" s="243"/>
      <c r="R42" s="241" t="s">
        <v>174</v>
      </c>
      <c r="S42" s="242"/>
      <c r="T42" s="242"/>
      <c r="V42" s="241" t="s">
        <v>140</v>
      </c>
      <c r="W42" s="242"/>
      <c r="X42" s="242"/>
      <c r="Y42" s="243"/>
      <c r="Z42" s="241" t="s">
        <v>27</v>
      </c>
      <c r="AA42" s="242"/>
      <c r="AB42" s="242"/>
      <c r="AC42" s="243"/>
    </row>
    <row r="43" spans="1:29" x14ac:dyDescent="0.25">
      <c r="A43" s="72"/>
      <c r="B43" s="73"/>
      <c r="C43" s="73"/>
      <c r="D43" s="73"/>
      <c r="E43" s="77"/>
      <c r="F43" s="78"/>
      <c r="G43" s="78"/>
      <c r="I43" s="60"/>
      <c r="Q43" s="243"/>
      <c r="R43" s="244" t="s">
        <v>143</v>
      </c>
      <c r="S43" s="245"/>
      <c r="T43" s="245"/>
      <c r="V43" s="244" t="s">
        <v>141</v>
      </c>
      <c r="W43" s="245"/>
      <c r="X43" s="245"/>
      <c r="Y43" s="243"/>
      <c r="Z43" s="244" t="s">
        <v>144</v>
      </c>
      <c r="AA43" s="245"/>
      <c r="AB43" s="245"/>
      <c r="AC43" s="82"/>
    </row>
    <row r="44" spans="1:29" x14ac:dyDescent="0.25">
      <c r="A44" s="72"/>
      <c r="B44" s="73"/>
      <c r="C44" s="73"/>
      <c r="D44" s="73"/>
      <c r="E44" s="77"/>
      <c r="F44" s="71"/>
      <c r="G44" s="71"/>
      <c r="I44" s="60"/>
      <c r="P44" s="233" t="s">
        <v>64</v>
      </c>
      <c r="Q44" s="29"/>
      <c r="R44" s="233" t="s">
        <v>121</v>
      </c>
      <c r="S44" s="233" t="s">
        <v>130</v>
      </c>
      <c r="T44" s="233" t="s">
        <v>131</v>
      </c>
      <c r="V44" s="233" t="s">
        <v>121</v>
      </c>
      <c r="W44" s="233" t="s">
        <v>130</v>
      </c>
      <c r="X44" s="233" t="s">
        <v>131</v>
      </c>
      <c r="Y44" s="29"/>
      <c r="Z44" s="233" t="s">
        <v>121</v>
      </c>
      <c r="AA44" s="233" t="s">
        <v>130</v>
      </c>
      <c r="AB44" s="233" t="s">
        <v>131</v>
      </c>
      <c r="AC44" s="29"/>
    </row>
    <row r="45" spans="1:29" x14ac:dyDescent="0.25">
      <c r="A45" s="72"/>
      <c r="B45" s="73"/>
      <c r="C45" s="73"/>
      <c r="D45" s="73"/>
      <c r="E45" s="77"/>
      <c r="F45" s="70"/>
      <c r="G45" s="70"/>
      <c r="P45" s="234">
        <f t="shared" ref="P45:P56" si="26">P28</f>
        <v>42917</v>
      </c>
      <c r="Q45" s="82"/>
      <c r="R45" s="291">
        <f t="array" ref="R45:R56">TRANSPOSE('Actual Total Usage'!B28:M28)/1000</f>
        <v>50077.660060000002</v>
      </c>
      <c r="S45" s="291">
        <f t="array" ref="S45:S56">TRANSPOSE('Normalized Total Usage'!B28:M28)/1000</f>
        <v>49907.456940690739</v>
      </c>
      <c r="T45" s="291">
        <f>S45-R45</f>
        <v>-170.20311930926255</v>
      </c>
      <c r="U45" s="291"/>
      <c r="V45" s="291">
        <f t="array" ref="V45:V56">TRANSPOSE('Actual Total Usage'!B29:M29)/1000</f>
        <v>6527.327655</v>
      </c>
      <c r="W45" s="291">
        <f t="array" ref="W45:W56">TRANSPOSE('Normalized Total Usage'!B29:M29)/1000</f>
        <v>6488.8994027672325</v>
      </c>
      <c r="X45" s="291">
        <f>W45-V45</f>
        <v>-38.428252232767591</v>
      </c>
      <c r="Y45" s="291"/>
      <c r="Z45" s="291">
        <f t="array" ref="Z45:Z56">TRANSPOSE('Actual Total Usage'!B30:M30/1000)</f>
        <v>320.39999999999998</v>
      </c>
      <c r="AA45" s="291">
        <f t="array" ref="AA45:AA56">TRANSPOSE('Normalized Total Usage'!B30:M30/1000)</f>
        <v>319.63549044475894</v>
      </c>
      <c r="AB45" s="291">
        <f>AA45-Z45</f>
        <v>-0.76450955524103392</v>
      </c>
      <c r="AC45" s="82"/>
    </row>
    <row r="46" spans="1:29" x14ac:dyDescent="0.25">
      <c r="A46" s="72"/>
      <c r="B46" s="73"/>
      <c r="C46" s="73"/>
      <c r="D46" s="73"/>
      <c r="E46" s="79"/>
      <c r="F46" s="71"/>
      <c r="G46" s="71"/>
      <c r="P46" s="234">
        <f t="shared" si="26"/>
        <v>42948</v>
      </c>
      <c r="Q46" s="82"/>
      <c r="R46" s="291">
        <v>50107.929939999995</v>
      </c>
      <c r="S46" s="291">
        <v>49145.707734358424</v>
      </c>
      <c r="T46" s="291">
        <f t="shared" ref="T46:T56" si="27">S46-R46</f>
        <v>-962.22220564157033</v>
      </c>
      <c r="U46" s="291"/>
      <c r="V46" s="291">
        <v>5180.6928349999998</v>
      </c>
      <c r="W46" s="291">
        <v>4963.4434815661289</v>
      </c>
      <c r="X46" s="291">
        <f t="shared" ref="X46:X56" si="28">W46-V46</f>
        <v>-217.24935343387097</v>
      </c>
      <c r="Y46" s="291"/>
      <c r="Z46" s="291">
        <v>278.3</v>
      </c>
      <c r="AA46" s="291">
        <v>273.9779401372694</v>
      </c>
      <c r="AB46" s="291">
        <f t="shared" ref="AB46:AB56" si="29">AA46-Z46</f>
        <v>-4.3220598627306117</v>
      </c>
      <c r="AC46" s="82"/>
    </row>
    <row r="47" spans="1:29" x14ac:dyDescent="0.25">
      <c r="A47" s="72"/>
      <c r="B47" s="73"/>
      <c r="C47" s="73"/>
      <c r="D47" s="73"/>
      <c r="E47" s="77"/>
      <c r="F47" s="80"/>
      <c r="G47" s="80"/>
      <c r="P47" s="234">
        <f t="shared" si="26"/>
        <v>42979</v>
      </c>
      <c r="Q47" s="82"/>
      <c r="R47" s="291">
        <v>50179.827960000002</v>
      </c>
      <c r="S47" s="291">
        <v>49904.450215834302</v>
      </c>
      <c r="T47" s="291">
        <f t="shared" si="27"/>
        <v>-275.37774416570028</v>
      </c>
      <c r="U47" s="291"/>
      <c r="V47" s="291">
        <v>5734.3856900000001</v>
      </c>
      <c r="W47" s="291">
        <v>5672.6047487057713</v>
      </c>
      <c r="X47" s="291">
        <f t="shared" si="28"/>
        <v>-61.780941294228796</v>
      </c>
      <c r="Y47" s="291"/>
      <c r="Z47" s="291">
        <v>265.72000000000003</v>
      </c>
      <c r="AA47" s="291">
        <v>264.48307251259672</v>
      </c>
      <c r="AB47" s="291">
        <f t="shared" si="29"/>
        <v>-1.2369274874033067</v>
      </c>
      <c r="AC47" s="82"/>
    </row>
    <row r="48" spans="1:29" x14ac:dyDescent="0.25">
      <c r="A48" s="61"/>
      <c r="B48" s="39"/>
      <c r="C48" s="39"/>
      <c r="D48" s="39"/>
      <c r="E48" s="39"/>
      <c r="F48" s="39"/>
      <c r="G48" s="39"/>
      <c r="P48" s="234">
        <f t="shared" si="26"/>
        <v>43009</v>
      </c>
      <c r="Q48" s="82"/>
      <c r="R48" s="291">
        <v>48569.951270999998</v>
      </c>
      <c r="S48" s="291">
        <v>48251.451971464165</v>
      </c>
      <c r="T48" s="291">
        <f t="shared" si="27"/>
        <v>-318.49929953583342</v>
      </c>
      <c r="U48" s="291"/>
      <c r="V48" s="291">
        <v>7985.7663600000005</v>
      </c>
      <c r="W48" s="291">
        <v>7895.9612866747675</v>
      </c>
      <c r="X48" s="291">
        <f t="shared" si="28"/>
        <v>-89.805073325233025</v>
      </c>
      <c r="Y48" s="291"/>
      <c r="Z48" s="291">
        <v>355.24</v>
      </c>
      <c r="AA48" s="291">
        <v>357.42412363547146</v>
      </c>
      <c r="AB48" s="291">
        <f t="shared" si="29"/>
        <v>2.1841236354714511</v>
      </c>
      <c r="AC48" s="82"/>
    </row>
    <row r="49" spans="1:29" x14ac:dyDescent="0.25">
      <c r="A49" s="61"/>
      <c r="B49" s="39"/>
      <c r="C49" s="39"/>
      <c r="D49" s="39"/>
      <c r="E49" s="39"/>
      <c r="F49" s="39"/>
      <c r="G49" s="39"/>
      <c r="P49" s="234">
        <f t="shared" si="26"/>
        <v>43040</v>
      </c>
      <c r="Q49" s="82"/>
      <c r="R49" s="291">
        <v>42255.207639</v>
      </c>
      <c r="S49" s="291">
        <v>42313.064209356591</v>
      </c>
      <c r="T49" s="291">
        <f t="shared" si="27"/>
        <v>57.856570356590964</v>
      </c>
      <c r="U49" s="291"/>
      <c r="V49" s="291">
        <v>9911.1875600000003</v>
      </c>
      <c r="W49" s="291">
        <v>10230.605779712136</v>
      </c>
      <c r="X49" s="291">
        <f t="shared" si="28"/>
        <v>319.4182197121354</v>
      </c>
      <c r="Y49" s="291"/>
      <c r="Z49" s="291">
        <v>559.72</v>
      </c>
      <c r="AA49" s="291">
        <v>567.26239856614109</v>
      </c>
      <c r="AB49" s="291">
        <f t="shared" si="29"/>
        <v>7.5423985661410597</v>
      </c>
      <c r="AC49" s="82"/>
    </row>
    <row r="50" spans="1:29" x14ac:dyDescent="0.25">
      <c r="A50" s="61"/>
      <c r="B50" s="39"/>
      <c r="C50" s="39"/>
      <c r="D50" s="39"/>
      <c r="E50" s="39"/>
      <c r="F50" s="39"/>
      <c r="G50" s="39"/>
      <c r="P50" s="234">
        <f t="shared" si="26"/>
        <v>43070</v>
      </c>
      <c r="Q50" s="82"/>
      <c r="R50" s="291">
        <v>48133.052326999998</v>
      </c>
      <c r="S50" s="291">
        <v>48020.55116522716</v>
      </c>
      <c r="T50" s="291">
        <f t="shared" si="27"/>
        <v>-112.5011617728378</v>
      </c>
      <c r="U50" s="291"/>
      <c r="V50" s="291">
        <v>12590.012325</v>
      </c>
      <c r="W50" s="291">
        <v>12262.536163220888</v>
      </c>
      <c r="X50" s="291">
        <f t="shared" si="28"/>
        <v>-327.47616177911186</v>
      </c>
      <c r="Y50" s="291"/>
      <c r="Z50" s="291">
        <v>793.82</v>
      </c>
      <c r="AA50" s="291">
        <v>784.25396643726936</v>
      </c>
      <c r="AB50" s="291">
        <f t="shared" si="29"/>
        <v>-9.5660335627306949</v>
      </c>
      <c r="AC50" s="82"/>
    </row>
    <row r="51" spans="1:29" x14ac:dyDescent="0.25">
      <c r="A51" s="61"/>
      <c r="B51" s="39"/>
      <c r="C51" s="39"/>
      <c r="D51" s="39"/>
      <c r="E51" s="39"/>
      <c r="F51" s="39"/>
      <c r="G51" s="39"/>
      <c r="P51" s="234">
        <f t="shared" si="26"/>
        <v>43101</v>
      </c>
      <c r="Q51" s="82"/>
      <c r="R51" s="291">
        <v>45745.730302000004</v>
      </c>
      <c r="S51" s="291">
        <v>46069.022971372666</v>
      </c>
      <c r="T51" s="291">
        <f t="shared" si="27"/>
        <v>323.2926693726622</v>
      </c>
      <c r="U51" s="291"/>
      <c r="V51" s="291">
        <v>14705.562185000001</v>
      </c>
      <c r="W51" s="291">
        <v>15984.509200517865</v>
      </c>
      <c r="X51" s="291">
        <f t="shared" si="28"/>
        <v>1278.9470155178642</v>
      </c>
      <c r="Y51" s="291"/>
      <c r="Z51" s="291">
        <v>997.46</v>
      </c>
      <c r="AA51" s="291">
        <v>1029.0105756855714</v>
      </c>
      <c r="AB51" s="291">
        <f t="shared" si="29"/>
        <v>31.550575685571403</v>
      </c>
      <c r="AC51" s="82"/>
    </row>
    <row r="52" spans="1:29" x14ac:dyDescent="0.25">
      <c r="A52" s="61"/>
      <c r="B52" s="39"/>
      <c r="C52" s="39"/>
      <c r="D52" s="39"/>
      <c r="E52" s="39"/>
      <c r="F52" s="39"/>
      <c r="G52" s="39"/>
      <c r="P52" s="234">
        <f t="shared" si="26"/>
        <v>43132</v>
      </c>
      <c r="Q52" s="82"/>
      <c r="R52" s="291">
        <v>43929.830578000001</v>
      </c>
      <c r="S52" s="291">
        <v>43733.919691333955</v>
      </c>
      <c r="T52" s="291">
        <f t="shared" si="27"/>
        <v>-195.91088666604628</v>
      </c>
      <c r="U52" s="291"/>
      <c r="V52" s="291">
        <v>13348.269554999999</v>
      </c>
      <c r="W52" s="291">
        <v>12542.908577137294</v>
      </c>
      <c r="X52" s="291">
        <f t="shared" si="28"/>
        <v>-805.36097786270511</v>
      </c>
      <c r="Y52" s="291"/>
      <c r="Z52" s="291">
        <v>897.14</v>
      </c>
      <c r="AA52" s="291">
        <v>877.42439898533053</v>
      </c>
      <c r="AB52" s="291">
        <f t="shared" si="29"/>
        <v>-19.71560101466946</v>
      </c>
      <c r="AC52" s="82"/>
    </row>
    <row r="53" spans="1:29" x14ac:dyDescent="0.25">
      <c r="P53" s="234">
        <f t="shared" si="26"/>
        <v>43160</v>
      </c>
      <c r="Q53" s="82"/>
      <c r="R53" s="291">
        <v>44503.265692999994</v>
      </c>
      <c r="S53" s="291">
        <v>44486.104677806674</v>
      </c>
      <c r="T53" s="291">
        <f t="shared" si="27"/>
        <v>-17.161015193320054</v>
      </c>
      <c r="U53" s="291"/>
      <c r="V53" s="291">
        <v>14774.1</v>
      </c>
      <c r="W53" s="291">
        <v>14881.072003025</v>
      </c>
      <c r="X53" s="291">
        <f t="shared" si="28"/>
        <v>106.97200302499914</v>
      </c>
      <c r="Y53" s="291"/>
      <c r="Z53" s="291">
        <v>943.66</v>
      </c>
      <c r="AA53" s="291">
        <v>945.4108794533845</v>
      </c>
      <c r="AB53" s="291">
        <f t="shared" si="29"/>
        <v>1.7508794533845276</v>
      </c>
      <c r="AC53" s="82"/>
    </row>
    <row r="54" spans="1:29" x14ac:dyDescent="0.25">
      <c r="P54" s="234">
        <f t="shared" si="26"/>
        <v>43191</v>
      </c>
      <c r="Q54" s="82"/>
      <c r="R54" s="291">
        <v>42551.050405000002</v>
      </c>
      <c r="S54" s="291">
        <v>42585.838534201735</v>
      </c>
      <c r="T54" s="291">
        <f t="shared" si="27"/>
        <v>34.788129201733682</v>
      </c>
      <c r="U54" s="291"/>
      <c r="V54" s="291">
        <v>12167.918880000001</v>
      </c>
      <c r="W54" s="291">
        <v>12291.254040215736</v>
      </c>
      <c r="X54" s="291">
        <f t="shared" si="28"/>
        <v>123.3351602157345</v>
      </c>
      <c r="Y54" s="291"/>
      <c r="Z54" s="291">
        <v>776.62</v>
      </c>
      <c r="AA54" s="291">
        <v>781.38586538892207</v>
      </c>
      <c r="AB54" s="291">
        <f t="shared" si="29"/>
        <v>4.7658653889220659</v>
      </c>
      <c r="AC54" s="82"/>
    </row>
    <row r="55" spans="1:29" x14ac:dyDescent="0.25">
      <c r="P55" s="234">
        <f t="shared" si="26"/>
        <v>43221</v>
      </c>
      <c r="Q55" s="82"/>
      <c r="R55" s="291">
        <v>42098.019358999998</v>
      </c>
      <c r="S55" s="291">
        <v>42098.70113286272</v>
      </c>
      <c r="T55" s="291">
        <f t="shared" si="27"/>
        <v>0.68177386272145668</v>
      </c>
      <c r="U55" s="291"/>
      <c r="V55" s="291">
        <v>9528.3856850000011</v>
      </c>
      <c r="W55" s="291">
        <v>9723.226773721326</v>
      </c>
      <c r="X55" s="291">
        <f t="shared" si="28"/>
        <v>194.84108872132492</v>
      </c>
      <c r="Y55" s="291"/>
      <c r="Z55" s="291">
        <v>591.08000000000004</v>
      </c>
      <c r="AA55" s="291">
        <v>601.1173555526035</v>
      </c>
      <c r="AB55" s="291">
        <f t="shared" si="29"/>
        <v>10.037355552603458</v>
      </c>
      <c r="AC55" s="82"/>
    </row>
    <row r="56" spans="1:29" x14ac:dyDescent="0.25">
      <c r="P56" s="236">
        <f t="shared" si="26"/>
        <v>43252</v>
      </c>
      <c r="Q56" s="360"/>
      <c r="R56" s="292">
        <v>36454.394177000002</v>
      </c>
      <c r="S56" s="292">
        <v>36355.963409268283</v>
      </c>
      <c r="T56" s="292">
        <f t="shared" si="27"/>
        <v>-98.430767731719243</v>
      </c>
      <c r="U56" s="292"/>
      <c r="V56" s="292">
        <v>8207.9652699999988</v>
      </c>
      <c r="W56" s="292">
        <v>8185.6526829803652</v>
      </c>
      <c r="X56" s="292">
        <f t="shared" si="28"/>
        <v>-22.312587019633611</v>
      </c>
      <c r="Y56" s="292"/>
      <c r="Z56" s="292">
        <v>387.72</v>
      </c>
      <c r="AA56" s="292">
        <v>387.26751144258054</v>
      </c>
      <c r="AB56" s="292">
        <f t="shared" si="29"/>
        <v>-0.45248855741948546</v>
      </c>
      <c r="AC56" s="82"/>
    </row>
    <row r="57" spans="1:29" x14ac:dyDescent="0.25">
      <c r="P57" s="363" t="s">
        <v>21</v>
      </c>
      <c r="Q57" s="365"/>
      <c r="R57" s="365">
        <f>SUM(R45:R56)</f>
        <v>544605.91971100005</v>
      </c>
      <c r="S57" s="365">
        <f t="shared" ref="S57:AB57" si="30">SUM(S45:S56)</f>
        <v>542872.23265377735</v>
      </c>
      <c r="T57" s="365">
        <f t="shared" si="30"/>
        <v>-1733.6870572225816</v>
      </c>
      <c r="U57" s="365">
        <f t="shared" si="30"/>
        <v>0</v>
      </c>
      <c r="V57" s="365">
        <f t="shared" si="30"/>
        <v>120661.57400000001</v>
      </c>
      <c r="W57" s="365">
        <f t="shared" si="30"/>
        <v>121122.6741402445</v>
      </c>
      <c r="X57" s="365">
        <f t="shared" si="30"/>
        <v>461.1001402445072</v>
      </c>
      <c r="Y57" s="365">
        <f t="shared" si="30"/>
        <v>0</v>
      </c>
      <c r="Z57" s="365">
        <f t="shared" si="30"/>
        <v>7166.88</v>
      </c>
      <c r="AA57" s="365">
        <f t="shared" si="30"/>
        <v>7188.6535782418996</v>
      </c>
      <c r="AB57" s="365">
        <f t="shared" si="30"/>
        <v>21.773578241899372</v>
      </c>
      <c r="AC57" s="82"/>
    </row>
    <row r="59" spans="1:29" x14ac:dyDescent="0.25">
      <c r="R59" s="241"/>
      <c r="S59" s="242"/>
      <c r="T59" s="242"/>
    </row>
    <row r="60" spans="1:29" x14ac:dyDescent="0.25">
      <c r="R60" s="244" t="s">
        <v>21</v>
      </c>
      <c r="S60" s="245"/>
      <c r="T60" s="245"/>
    </row>
    <row r="61" spans="1:29" x14ac:dyDescent="0.25">
      <c r="P61" s="233" t="s">
        <v>64</v>
      </c>
      <c r="R61" s="233" t="s">
        <v>121</v>
      </c>
      <c r="S61" s="233" t="s">
        <v>130</v>
      </c>
      <c r="T61" s="233" t="s">
        <v>131</v>
      </c>
    </row>
    <row r="62" spans="1:29" x14ac:dyDescent="0.25">
      <c r="P62" s="234">
        <f t="shared" ref="P62:P73" si="31">P45</f>
        <v>42917</v>
      </c>
      <c r="R62" s="291">
        <f t="shared" ref="R62:R73" si="32">R11+V11+Z11+R28+V28+Z28+R45+V45+Z45</f>
        <v>1431261.0756440002</v>
      </c>
      <c r="S62" s="291">
        <f t="shared" ref="S62:S73" si="33">S11+W11+AA11+S28+W28+AA28+S45+W45+AA45</f>
        <v>1422041.9688671194</v>
      </c>
      <c r="T62" s="291">
        <f t="shared" ref="T62:T73" si="34">T11+X11+AB11+T28+X28+AB28+T45+X45+AB45</f>
        <v>-9219.1067768805897</v>
      </c>
    </row>
    <row r="63" spans="1:29" x14ac:dyDescent="0.25">
      <c r="P63" s="234">
        <f t="shared" si="31"/>
        <v>42948</v>
      </c>
      <c r="R63" s="291">
        <f t="shared" si="32"/>
        <v>1499602.4316890002</v>
      </c>
      <c r="S63" s="291">
        <f t="shared" si="33"/>
        <v>1447391.9972515267</v>
      </c>
      <c r="T63" s="291">
        <f t="shared" si="34"/>
        <v>-52210.434437473385</v>
      </c>
    </row>
    <row r="64" spans="1:29" x14ac:dyDescent="0.25">
      <c r="P64" s="234">
        <f t="shared" si="31"/>
        <v>42979</v>
      </c>
      <c r="R64" s="291">
        <f t="shared" si="32"/>
        <v>1489512.2863769997</v>
      </c>
      <c r="S64" s="291">
        <f t="shared" si="33"/>
        <v>1474558.2624205402</v>
      </c>
      <c r="T64" s="291">
        <f t="shared" si="34"/>
        <v>-14954.023956459692</v>
      </c>
    </row>
    <row r="65" spans="16:20" x14ac:dyDescent="0.25">
      <c r="P65" s="234">
        <f t="shared" si="31"/>
        <v>43009</v>
      </c>
      <c r="R65" s="291">
        <f t="shared" si="32"/>
        <v>1498484.9605629998</v>
      </c>
      <c r="S65" s="291">
        <f t="shared" si="33"/>
        <v>1497352.1213155524</v>
      </c>
      <c r="T65" s="291">
        <f t="shared" si="34"/>
        <v>-1132.8392474476975</v>
      </c>
    </row>
    <row r="66" spans="16:20" x14ac:dyDescent="0.25">
      <c r="P66" s="234">
        <f t="shared" si="31"/>
        <v>43040</v>
      </c>
      <c r="R66" s="291">
        <f t="shared" si="32"/>
        <v>1690741.7573079998</v>
      </c>
      <c r="S66" s="291">
        <f t="shared" si="33"/>
        <v>1711096.3485995987</v>
      </c>
      <c r="T66" s="291">
        <f t="shared" si="34"/>
        <v>20354.591291598867</v>
      </c>
    </row>
    <row r="67" spans="16:20" x14ac:dyDescent="0.25">
      <c r="P67" s="234">
        <f t="shared" si="31"/>
        <v>43070</v>
      </c>
      <c r="R67" s="291">
        <f t="shared" si="32"/>
        <v>1942793.6250170001</v>
      </c>
      <c r="S67" s="291">
        <f t="shared" si="33"/>
        <v>1919207.2068916471</v>
      </c>
      <c r="T67" s="291">
        <f t="shared" si="34"/>
        <v>-23586.418125352553</v>
      </c>
    </row>
    <row r="68" spans="16:20" x14ac:dyDescent="0.25">
      <c r="P68" s="234">
        <f t="shared" si="31"/>
        <v>43101</v>
      </c>
      <c r="R68" s="291">
        <f t="shared" si="32"/>
        <v>2118037.8913230002</v>
      </c>
      <c r="S68" s="291">
        <f t="shared" si="33"/>
        <v>2201943.218956749</v>
      </c>
      <c r="T68" s="291">
        <f t="shared" si="34"/>
        <v>83905.327633748908</v>
      </c>
    </row>
    <row r="69" spans="16:20" x14ac:dyDescent="0.25">
      <c r="P69" s="234">
        <f t="shared" si="31"/>
        <v>43132</v>
      </c>
      <c r="R69" s="291">
        <f t="shared" si="32"/>
        <v>1967096.1527199997</v>
      </c>
      <c r="S69" s="291">
        <f t="shared" si="33"/>
        <v>1914229.7639754585</v>
      </c>
      <c r="T69" s="291">
        <f t="shared" si="34"/>
        <v>-52866.388744541327</v>
      </c>
    </row>
    <row r="70" spans="16:20" x14ac:dyDescent="0.25">
      <c r="P70" s="234">
        <f t="shared" si="31"/>
        <v>43160</v>
      </c>
      <c r="R70" s="291">
        <f t="shared" si="32"/>
        <v>1943915.0043829998</v>
      </c>
      <c r="S70" s="291">
        <f t="shared" si="33"/>
        <v>1949599.793274102</v>
      </c>
      <c r="T70" s="291">
        <f t="shared" si="34"/>
        <v>5684.7888911021673</v>
      </c>
    </row>
    <row r="71" spans="16:20" x14ac:dyDescent="0.25">
      <c r="P71" s="234">
        <f t="shared" si="31"/>
        <v>43191</v>
      </c>
      <c r="R71" s="291">
        <f t="shared" si="32"/>
        <v>1699430.7868760002</v>
      </c>
      <c r="S71" s="291">
        <f t="shared" si="33"/>
        <v>1709953.1858275456</v>
      </c>
      <c r="T71" s="291">
        <f t="shared" si="34"/>
        <v>10522.398951545802</v>
      </c>
    </row>
    <row r="72" spans="16:20" x14ac:dyDescent="0.25">
      <c r="P72" s="234">
        <f t="shared" si="31"/>
        <v>43221</v>
      </c>
      <c r="R72" s="291">
        <f t="shared" si="32"/>
        <v>1491600.9348240001</v>
      </c>
      <c r="S72" s="291">
        <f t="shared" si="33"/>
        <v>1508748.9452410345</v>
      </c>
      <c r="T72" s="291">
        <f t="shared" si="34"/>
        <v>17148.010417034406</v>
      </c>
    </row>
    <row r="73" spans="16:20" x14ac:dyDescent="0.25">
      <c r="P73" s="236">
        <f t="shared" si="31"/>
        <v>43252</v>
      </c>
      <c r="Q73" s="35"/>
      <c r="R73" s="291">
        <f t="shared" si="32"/>
        <v>1404675.5963879998</v>
      </c>
      <c r="S73" s="291">
        <f t="shared" si="33"/>
        <v>1399102.8410358017</v>
      </c>
      <c r="T73" s="291">
        <f t="shared" si="34"/>
        <v>-5572.7553521981699</v>
      </c>
    </row>
    <row r="74" spans="16:20" x14ac:dyDescent="0.25">
      <c r="P74" s="363" t="s">
        <v>21</v>
      </c>
      <c r="Q74" s="366"/>
      <c r="R74" s="365">
        <f>SUM(R62:R73)</f>
        <v>20177152.503111999</v>
      </c>
      <c r="S74" s="365">
        <f t="shared" ref="S74:T74" si="35">SUM(S62:S73)</f>
        <v>20155225.653656676</v>
      </c>
      <c r="T74" s="365">
        <f t="shared" si="35"/>
        <v>-21926.849455323274</v>
      </c>
    </row>
  </sheetData>
  <mergeCells count="4">
    <mergeCell ref="J7:N7"/>
    <mergeCell ref="J6:N6"/>
    <mergeCell ref="P5:AB5"/>
    <mergeCell ref="P6:AB6"/>
  </mergeCells>
  <phoneticPr fontId="2" type="noConversion"/>
  <printOptions horizontalCentered="1"/>
  <pageMargins left="0.7" right="0.7" top="0.75" bottom="0.75" header="0.3" footer="0.3"/>
  <pageSetup orientation="landscape" r:id="rId1"/>
  <headerFooter alignWithMargins="0">
    <oddFooter xml:space="preserve">&amp;L&amp;F 
&amp;A&amp;RPage &amp;P of &amp;N </oddFooter>
  </headerFooter>
  <ignoredErrors>
    <ignoredError sqref="J11:L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abSelected="1" zoomScale="80" workbookViewId="0">
      <pane xSplit="2" ySplit="5" topLeftCell="C20" activePane="bottomRight" state="frozen"/>
      <selection pane="topRight" activeCell="C1" sqref="C1"/>
      <selection pane="bottomLeft" activeCell="A6" sqref="A6"/>
      <selection pane="bottomRight" activeCell="G30" sqref="G30"/>
    </sheetView>
  </sheetViews>
  <sheetFormatPr defaultColWidth="14.6640625" defaultRowHeight="13.2" x14ac:dyDescent="0.25"/>
  <cols>
    <col min="1" max="1" width="34.33203125" bestFit="1" customWidth="1"/>
    <col min="2" max="3" width="14.33203125" bestFit="1" customWidth="1"/>
    <col min="4" max="4" width="13" bestFit="1" customWidth="1"/>
    <col min="5" max="5" width="13.44140625" bestFit="1" customWidth="1"/>
    <col min="6" max="6" width="14.33203125" customWidth="1"/>
    <col min="7" max="10" width="15" customWidth="1"/>
    <col min="11" max="14" width="13.33203125" customWidth="1"/>
    <col min="15" max="17" width="20" customWidth="1"/>
  </cols>
  <sheetData>
    <row r="1" spans="1:14" x14ac:dyDescent="0.25">
      <c r="A1" s="1" t="str">
        <f>'Summary Sheet'!A2</f>
        <v>PUGET SOUND ENERGY-ELECTRIC SYSTEM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1" t="str">
        <f>'Summary Sheet'!A3</f>
        <v xml:space="preserve">TEMPERATURE NORMALIZATION 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1" t="str">
        <f>'Summary Sheet'!A4</f>
        <v>FOR THE TWELVE MONTHS ENDED JUNE, 2018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s="5" customFormat="1" x14ac:dyDescent="0.25">
      <c r="A5" s="28"/>
      <c r="B5" s="28" t="s">
        <v>21</v>
      </c>
      <c r="C5" s="26">
        <f>'Summary Sheet'!B12</f>
        <v>42917</v>
      </c>
      <c r="D5" s="26">
        <f>'Summary Sheet'!B13</f>
        <v>42948</v>
      </c>
      <c r="E5" s="26">
        <f>'Summary Sheet'!B14</f>
        <v>42979</v>
      </c>
      <c r="F5" s="26">
        <f>'Summary Sheet'!B15</f>
        <v>43009</v>
      </c>
      <c r="G5" s="26">
        <f>'Summary Sheet'!B16</f>
        <v>43040</v>
      </c>
      <c r="H5" s="26">
        <f>'Summary Sheet'!B17</f>
        <v>43070</v>
      </c>
      <c r="I5" s="26">
        <f>'Summary Sheet'!B18</f>
        <v>43101</v>
      </c>
      <c r="J5" s="26">
        <f>'Summary Sheet'!B19</f>
        <v>43132</v>
      </c>
      <c r="K5" s="26">
        <f>'Summary Sheet'!B20</f>
        <v>43160</v>
      </c>
      <c r="L5" s="362">
        <f>'Summary Sheet'!B21</f>
        <v>43191</v>
      </c>
      <c r="M5" s="362">
        <f>'Summary Sheet'!B22</f>
        <v>43221</v>
      </c>
      <c r="N5" s="362">
        <f>'Summary Sheet'!B23</f>
        <v>43252</v>
      </c>
    </row>
    <row r="6" spans="1:14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23"/>
      <c r="M6" s="23"/>
      <c r="N6" s="23"/>
    </row>
    <row r="7" spans="1:14" x14ac:dyDescent="0.25">
      <c r="A7" s="8" t="s">
        <v>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11" t="s">
        <v>1</v>
      </c>
      <c r="B8" s="12">
        <f>SUM(C8:N8)</f>
        <v>-1267807</v>
      </c>
      <c r="C8" s="12">
        <f t="shared" ref="C8:K8" si="0">ROUND(+C22*C37,0)</f>
        <v>-412998</v>
      </c>
      <c r="D8" s="12">
        <f t="shared" si="0"/>
        <v>-2337169</v>
      </c>
      <c r="E8" s="12">
        <f t="shared" si="0"/>
        <v>-669800</v>
      </c>
      <c r="F8" s="12">
        <f t="shared" si="0"/>
        <v>127908</v>
      </c>
      <c r="G8" s="12">
        <f t="shared" si="0"/>
        <v>1113561</v>
      </c>
      <c r="H8" s="12">
        <f t="shared" si="0"/>
        <v>-1091461</v>
      </c>
      <c r="I8" s="12">
        <f t="shared" si="0"/>
        <v>2628706</v>
      </c>
      <c r="J8" s="12">
        <f t="shared" si="0"/>
        <v>-1651449</v>
      </c>
      <c r="K8" s="12">
        <f t="shared" si="0"/>
        <v>168546</v>
      </c>
      <c r="L8" s="12">
        <f t="shared" ref="L8:N8" si="1">ROUND(+L22*L37,0)</f>
        <v>356324</v>
      </c>
      <c r="M8" s="12">
        <f t="shared" si="1"/>
        <v>641181</v>
      </c>
      <c r="N8" s="13">
        <f t="shared" si="1"/>
        <v>-141156</v>
      </c>
    </row>
    <row r="9" spans="1:14" x14ac:dyDescent="0.25">
      <c r="A9" s="337" t="s">
        <v>175</v>
      </c>
      <c r="B9" s="12">
        <f t="shared" ref="B9:B16" si="2">SUM(C9:N9)</f>
        <v>-454912</v>
      </c>
      <c r="C9" s="12">
        <f t="shared" ref="C9:K9" si="3">ROUND(+C23*C38,0)</f>
        <v>-73629</v>
      </c>
      <c r="D9" s="12">
        <f t="shared" si="3"/>
        <v>-417684</v>
      </c>
      <c r="E9" s="12">
        <f t="shared" si="3"/>
        <v>-119579</v>
      </c>
      <c r="F9" s="12">
        <f t="shared" si="3"/>
        <v>-43642</v>
      </c>
      <c r="G9" s="12">
        <f t="shared" si="3"/>
        <v>137346</v>
      </c>
      <c r="H9" s="12">
        <f t="shared" si="3"/>
        <v>-113531</v>
      </c>
      <c r="I9" s="12">
        <f t="shared" si="3"/>
        <v>311414</v>
      </c>
      <c r="J9" s="12">
        <f t="shared" si="3"/>
        <v>-197887</v>
      </c>
      <c r="K9" s="12">
        <f t="shared" si="3"/>
        <v>26911</v>
      </c>
      <c r="L9" s="12">
        <f t="shared" ref="L9:N9" si="4">ROUND(+L23*L38,0)</f>
        <v>29348</v>
      </c>
      <c r="M9" s="12">
        <f t="shared" si="4"/>
        <v>31149</v>
      </c>
      <c r="N9" s="13">
        <f t="shared" si="4"/>
        <v>-25128</v>
      </c>
    </row>
    <row r="10" spans="1:14" x14ac:dyDescent="0.25">
      <c r="A10" s="337" t="s">
        <v>178</v>
      </c>
      <c r="B10" s="12">
        <f t="shared" si="2"/>
        <v>-497113</v>
      </c>
      <c r="C10" s="12">
        <f t="shared" ref="C10:K10" si="5">ROUND(+C24*C39,0)</f>
        <v>-65124</v>
      </c>
      <c r="D10" s="12">
        <f t="shared" si="5"/>
        <v>-368630</v>
      </c>
      <c r="E10" s="12">
        <f t="shared" si="5"/>
        <v>-105591</v>
      </c>
      <c r="F10" s="12">
        <f t="shared" si="5"/>
        <v>-58390</v>
      </c>
      <c r="G10" s="12">
        <f t="shared" si="5"/>
        <v>89488</v>
      </c>
      <c r="H10" s="12">
        <f t="shared" si="5"/>
        <v>-63418</v>
      </c>
      <c r="I10" s="12">
        <f t="shared" si="5"/>
        <v>197386</v>
      </c>
      <c r="J10" s="12">
        <f t="shared" si="5"/>
        <v>-128015</v>
      </c>
      <c r="K10" s="12">
        <f t="shared" si="5"/>
        <v>21226</v>
      </c>
      <c r="L10" s="12">
        <f t="shared" ref="L10:N10" si="6">ROUND(+L24*L39,0)</f>
        <v>12314</v>
      </c>
      <c r="M10" s="12">
        <f t="shared" si="6"/>
        <v>-5417</v>
      </c>
      <c r="N10" s="13">
        <f t="shared" si="6"/>
        <v>-22942</v>
      </c>
    </row>
    <row r="11" spans="1:14" x14ac:dyDescent="0.25">
      <c r="A11" s="337" t="s">
        <v>176</v>
      </c>
      <c r="B11" s="12">
        <f t="shared" si="2"/>
        <v>-354984</v>
      </c>
      <c r="C11" s="12">
        <f t="shared" ref="C11:K11" si="7">ROUND(+C25*C40,0)</f>
        <v>-37618</v>
      </c>
      <c r="D11" s="12">
        <f t="shared" si="7"/>
        <v>-213742</v>
      </c>
      <c r="E11" s="12">
        <f t="shared" si="7"/>
        <v>-61017</v>
      </c>
      <c r="F11" s="12">
        <f t="shared" si="7"/>
        <v>-32464</v>
      </c>
      <c r="G11" s="12">
        <f t="shared" si="7"/>
        <v>7505</v>
      </c>
      <c r="H11" s="12">
        <f t="shared" si="7"/>
        <v>-10664</v>
      </c>
      <c r="I11" s="12">
        <f t="shared" si="7"/>
        <v>21092</v>
      </c>
      <c r="J11" s="12">
        <f t="shared" si="7"/>
        <v>-12964</v>
      </c>
      <c r="K11" s="12">
        <f t="shared" si="7"/>
        <v>-696</v>
      </c>
      <c r="L11" s="12">
        <f t="shared" ref="L11:N11" si="8">ROUND(+L25*L40,0)</f>
        <v>2324</v>
      </c>
      <c r="M11" s="12">
        <f t="shared" si="8"/>
        <v>-3896</v>
      </c>
      <c r="N11" s="13">
        <f t="shared" si="8"/>
        <v>-12844</v>
      </c>
    </row>
    <row r="12" spans="1:14" x14ac:dyDescent="0.25">
      <c r="A12" s="11" t="s">
        <v>5</v>
      </c>
      <c r="B12" s="12">
        <f t="shared" si="2"/>
        <v>-24405</v>
      </c>
      <c r="C12" s="12">
        <f t="shared" ref="C12:K12" si="9">ROUND(+C26*C41,0)</f>
        <v>-2708</v>
      </c>
      <c r="D12" s="12">
        <f t="shared" si="9"/>
        <v>-15722</v>
      </c>
      <c r="E12" s="12">
        <f t="shared" si="9"/>
        <v>-4486</v>
      </c>
      <c r="F12" s="12">
        <f t="shared" si="9"/>
        <v>0</v>
      </c>
      <c r="G12" s="12">
        <f t="shared" si="9"/>
        <v>0</v>
      </c>
      <c r="H12" s="12">
        <f t="shared" si="9"/>
        <v>0</v>
      </c>
      <c r="I12" s="12">
        <f t="shared" si="9"/>
        <v>0</v>
      </c>
      <c r="J12" s="12">
        <f t="shared" si="9"/>
        <v>0</v>
      </c>
      <c r="K12" s="12">
        <f t="shared" si="9"/>
        <v>0</v>
      </c>
      <c r="L12" s="12">
        <f t="shared" ref="L12:N12" si="10">ROUND(+L26*L41,0)</f>
        <v>0</v>
      </c>
      <c r="M12" s="12">
        <f t="shared" si="10"/>
        <v>-590</v>
      </c>
      <c r="N12" s="13">
        <f t="shared" si="10"/>
        <v>-899</v>
      </c>
    </row>
    <row r="13" spans="1:14" x14ac:dyDescent="0.25">
      <c r="A13" s="337" t="s">
        <v>177</v>
      </c>
      <c r="B13" s="12">
        <f t="shared" si="2"/>
        <v>-126784</v>
      </c>
      <c r="C13" s="12">
        <f t="shared" ref="C13:K13" si="11">ROUND(+C27*C42,0)</f>
        <v>-12391</v>
      </c>
      <c r="D13" s="12">
        <f t="shared" si="11"/>
        <v>-70334</v>
      </c>
      <c r="E13" s="12">
        <f t="shared" si="11"/>
        <v>-20089</v>
      </c>
      <c r="F13" s="12">
        <f t="shared" si="11"/>
        <v>-28203</v>
      </c>
      <c r="G13" s="12">
        <f t="shared" si="11"/>
        <v>7001</v>
      </c>
      <c r="H13" s="12">
        <f t="shared" si="11"/>
        <v>-9892</v>
      </c>
      <c r="I13" s="12">
        <f t="shared" si="11"/>
        <v>20781</v>
      </c>
      <c r="J13" s="12">
        <f t="shared" si="11"/>
        <v>-12813</v>
      </c>
      <c r="K13" s="12">
        <f t="shared" si="11"/>
        <v>-558</v>
      </c>
      <c r="L13" s="12">
        <f t="shared" ref="L13:N13" si="12">ROUND(+L27*L42,0)</f>
        <v>2309</v>
      </c>
      <c r="M13" s="12">
        <f t="shared" si="12"/>
        <v>1621</v>
      </c>
      <c r="N13" s="13">
        <f t="shared" si="12"/>
        <v>-4216</v>
      </c>
    </row>
    <row r="14" spans="1:14" x14ac:dyDescent="0.25">
      <c r="A14" s="14" t="s">
        <v>24</v>
      </c>
      <c r="B14" s="12">
        <f t="shared" si="2"/>
        <v>-113543</v>
      </c>
      <c r="C14" s="12">
        <f t="shared" ref="C14:K14" si="13">ROUND(+C28*C43,0)</f>
        <v>-11147</v>
      </c>
      <c r="D14" s="12">
        <f t="shared" si="13"/>
        <v>-63016</v>
      </c>
      <c r="E14" s="12">
        <f t="shared" si="13"/>
        <v>-18034</v>
      </c>
      <c r="F14" s="12">
        <f t="shared" si="13"/>
        <v>-20859</v>
      </c>
      <c r="G14" s="12">
        <f t="shared" si="13"/>
        <v>3789</v>
      </c>
      <c r="H14" s="12">
        <f t="shared" si="13"/>
        <v>-5829</v>
      </c>
      <c r="I14" s="12">
        <f t="shared" si="13"/>
        <v>10627</v>
      </c>
      <c r="J14" s="12">
        <f t="shared" si="13"/>
        <v>-6440</v>
      </c>
      <c r="K14" s="12">
        <f t="shared" si="13"/>
        <v>-564</v>
      </c>
      <c r="L14" s="12">
        <f t="shared" ref="L14:N14" si="14">ROUND(+L28*L43,0)</f>
        <v>1144</v>
      </c>
      <c r="M14" s="12">
        <f t="shared" si="14"/>
        <v>22</v>
      </c>
      <c r="N14" s="13">
        <f t="shared" si="14"/>
        <v>-3236</v>
      </c>
    </row>
    <row r="15" spans="1:14" x14ac:dyDescent="0.25">
      <c r="A15" s="11" t="s">
        <v>8</v>
      </c>
      <c r="B15" s="12">
        <f t="shared" si="2"/>
        <v>3803</v>
      </c>
      <c r="C15" s="12">
        <f t="shared" ref="C15:K15" si="15">ROUND(+C29*C44,0)</f>
        <v>-2230</v>
      </c>
      <c r="D15" s="12">
        <f t="shared" si="15"/>
        <v>-12605</v>
      </c>
      <c r="E15" s="12">
        <f t="shared" si="15"/>
        <v>-3585</v>
      </c>
      <c r="F15" s="12">
        <f t="shared" si="15"/>
        <v>-5211</v>
      </c>
      <c r="G15" s="12">
        <f t="shared" si="15"/>
        <v>18534</v>
      </c>
      <c r="H15" s="12">
        <f t="shared" si="15"/>
        <v>-14737</v>
      </c>
      <c r="I15" s="12">
        <f t="shared" si="15"/>
        <v>34494</v>
      </c>
      <c r="J15" s="12">
        <f t="shared" si="15"/>
        <v>-21721</v>
      </c>
      <c r="K15" s="12">
        <f t="shared" si="15"/>
        <v>2885</v>
      </c>
      <c r="L15" s="12">
        <f t="shared" ref="L15:N15" si="16">ROUND(+L29*L44,0)</f>
        <v>3326</v>
      </c>
      <c r="M15" s="12">
        <f t="shared" si="16"/>
        <v>5255</v>
      </c>
      <c r="N15" s="13">
        <f t="shared" si="16"/>
        <v>-602</v>
      </c>
    </row>
    <row r="16" spans="1:14" x14ac:dyDescent="0.25">
      <c r="A16" s="14" t="s">
        <v>9</v>
      </c>
      <c r="B16" s="12">
        <f t="shared" si="2"/>
        <v>766</v>
      </c>
      <c r="C16" s="12">
        <f t="shared" ref="C16:K16" si="17">ROUND(+C30*C45,0)</f>
        <v>-27</v>
      </c>
      <c r="D16" s="12">
        <f t="shared" si="17"/>
        <v>-152</v>
      </c>
      <c r="E16" s="12">
        <f t="shared" si="17"/>
        <v>-43</v>
      </c>
      <c r="F16" s="12">
        <f t="shared" si="17"/>
        <v>77</v>
      </c>
      <c r="G16" s="12">
        <f t="shared" si="17"/>
        <v>265</v>
      </c>
      <c r="H16" s="12">
        <f t="shared" si="17"/>
        <v>-336</v>
      </c>
      <c r="I16" s="12">
        <f t="shared" si="17"/>
        <v>1109</v>
      </c>
      <c r="J16" s="12">
        <f t="shared" si="17"/>
        <v>-693</v>
      </c>
      <c r="K16" s="12">
        <f t="shared" si="17"/>
        <v>62</v>
      </c>
      <c r="L16" s="12">
        <f t="shared" ref="L16:N16" si="18">ROUND(+L30*L45,0)</f>
        <v>167</v>
      </c>
      <c r="M16" s="12">
        <f t="shared" si="18"/>
        <v>353</v>
      </c>
      <c r="N16" s="13">
        <f t="shared" si="18"/>
        <v>-16</v>
      </c>
    </row>
    <row r="17" spans="1:14" x14ac:dyDescent="0.25">
      <c r="A17" s="8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</row>
    <row r="18" spans="1:14" x14ac:dyDescent="0.25">
      <c r="A18" s="8" t="s">
        <v>10</v>
      </c>
      <c r="B18" s="12">
        <f t="shared" ref="B18:K18" si="19">SUM(B8:B17)</f>
        <v>-2834979</v>
      </c>
      <c r="C18" s="12">
        <f t="shared" si="19"/>
        <v>-617872</v>
      </c>
      <c r="D18" s="12">
        <f t="shared" si="19"/>
        <v>-3499054</v>
      </c>
      <c r="E18" s="12">
        <f t="shared" si="19"/>
        <v>-1002224</v>
      </c>
      <c r="F18" s="12">
        <f t="shared" si="19"/>
        <v>-60784</v>
      </c>
      <c r="G18" s="12">
        <f t="shared" si="19"/>
        <v>1377489</v>
      </c>
      <c r="H18" s="12">
        <f t="shared" si="19"/>
        <v>-1309868</v>
      </c>
      <c r="I18" s="12">
        <f t="shared" si="19"/>
        <v>3225609</v>
      </c>
      <c r="J18" s="12">
        <f t="shared" si="19"/>
        <v>-2031982</v>
      </c>
      <c r="K18" s="12">
        <f t="shared" si="19"/>
        <v>217812</v>
      </c>
      <c r="L18" s="12">
        <f t="shared" ref="L18:N18" si="20">SUM(L8:L17)</f>
        <v>407256</v>
      </c>
      <c r="M18" s="12">
        <f t="shared" si="20"/>
        <v>669678</v>
      </c>
      <c r="N18" s="13">
        <f t="shared" si="20"/>
        <v>-211039</v>
      </c>
    </row>
    <row r="19" spans="1:14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7"/>
    </row>
    <row r="20" spans="1:14" s="5" customFormat="1" x14ac:dyDescent="0.25">
      <c r="A20" s="18"/>
      <c r="B20" s="19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25" t="s">
        <v>11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0"/>
    </row>
    <row r="22" spans="1:14" x14ac:dyDescent="0.25">
      <c r="A22" s="11" t="s">
        <v>1</v>
      </c>
      <c r="B22" s="22">
        <f>SUM(C22:N22)</f>
        <v>-855.29145687678829</v>
      </c>
      <c r="C22" s="27">
        <f>+'Temp Adj. by Schedule'!B45</f>
        <v>-5993996.9342778185</v>
      </c>
      <c r="D22" s="27">
        <f>+'Temp Adj. by Schedule'!C45</f>
        <v>-33920188.590283319</v>
      </c>
      <c r="E22" s="27">
        <f>+'Temp Adj. by Schedule'!D45</f>
        <v>-9721052.815079134</v>
      </c>
      <c r="F22" s="27">
        <f>+'Temp Adj. by Schedule'!E45</f>
        <v>1856368.5699666671</v>
      </c>
      <c r="G22" s="27">
        <f>+'Temp Adj. by Schedule'!F45</f>
        <v>16161517.994940855</v>
      </c>
      <c r="H22" s="27">
        <f>+'Temp Adj. by Schedule'!G45</f>
        <v>-19321049.715404246</v>
      </c>
      <c r="I22" s="27">
        <f>+'Temp Adj. by Schedule'!H45</f>
        <v>66877985.715663314</v>
      </c>
      <c r="J22" s="27">
        <f>+'Temp Adj. by Schedule'!I45</f>
        <v>-42015191.180842318</v>
      </c>
      <c r="K22" s="27">
        <f>+'Temp Adj. by Schedule'!J45</f>
        <v>4288040.5180652607</v>
      </c>
      <c r="L22" s="27">
        <f>+'Temp Adj. by Schedule'!K45</f>
        <v>9065379.7749847509</v>
      </c>
      <c r="M22" s="27">
        <f>+'Temp Adj. by Schedule'!L45</f>
        <v>16312540.537563369</v>
      </c>
      <c r="N22" s="104">
        <f>+'Temp Adj. by Schedule'!M45</f>
        <v>-3591209.1667542555</v>
      </c>
    </row>
    <row r="23" spans="1:14" x14ac:dyDescent="0.25">
      <c r="A23" s="337" t="s">
        <v>175</v>
      </c>
      <c r="B23" s="22">
        <f t="shared" ref="B23:B30" si="21">SUM(C23:N23)</f>
        <v>-5449847.9603477279</v>
      </c>
      <c r="C23" s="27">
        <f>'Temp Adj. by Schedule'!B46+'Temp Adj. by Schedule'!B47</f>
        <v>-1158620.4191968231</v>
      </c>
      <c r="D23" s="27">
        <f>'Temp Adj. by Schedule'!C46+'Temp Adj. by Schedule'!C47</f>
        <v>-6572634.3775028605</v>
      </c>
      <c r="E23" s="27">
        <f>'Temp Adj. by Schedule'!D46+'Temp Adj. by Schedule'!D47</f>
        <v>-1881678.902250129</v>
      </c>
      <c r="F23" s="27">
        <f>'Temp Adj. by Schedule'!E46+'Temp Adj. by Schedule'!E47</f>
        <v>-686738.54555897252</v>
      </c>
      <c r="G23" s="27">
        <f>'Temp Adj. by Schedule'!F46+'Temp Adj. by Schedule'!F47</f>
        <v>2161267.9476101822</v>
      </c>
      <c r="H23" s="27">
        <f>'Temp Adj. by Schedule'!G46+'Temp Adj. by Schedule'!G47</f>
        <v>-2181719.0653475863</v>
      </c>
      <c r="I23" s="27">
        <f>'Temp Adj. by Schedule'!H46+'Temp Adj. by Schedule'!H47</f>
        <v>8626910.2279156782</v>
      </c>
      <c r="J23" s="27">
        <f>'Temp Adj. by Schedule'!I46+'Temp Adj. by Schedule'!I47</f>
        <v>-5481933.6907590721</v>
      </c>
      <c r="K23" s="27">
        <f>'Temp Adj. by Schedule'!J46+'Temp Adj. by Schedule'!J47</f>
        <v>745509.06462240987</v>
      </c>
      <c r="L23" s="27">
        <f>'Temp Adj. by Schedule'!K46+'Temp Adj. by Schedule'!K47</f>
        <v>813004.88852421788</v>
      </c>
      <c r="M23" s="27">
        <f>'Temp Adj. by Schedule'!L46+'Temp Adj. by Schedule'!L47</f>
        <v>862900.61798422865</v>
      </c>
      <c r="N23" s="104">
        <f>'Temp Adj. by Schedule'!M46+'Temp Adj. by Schedule'!M47</f>
        <v>-696115.70638900099</v>
      </c>
    </row>
    <row r="24" spans="1:14" x14ac:dyDescent="0.25">
      <c r="A24" s="337" t="s">
        <v>178</v>
      </c>
      <c r="B24" s="22">
        <f t="shared" si="21"/>
        <v>-7162081.5665613385</v>
      </c>
      <c r="C24" s="27">
        <f>'Temp Adj. by Schedule'!B48+'Temp Adj. by Schedule'!B49</f>
        <v>-1028814.5698122986</v>
      </c>
      <c r="D24" s="27">
        <f>'Temp Adj. by Schedule'!C48+'Temp Adj. by Schedule'!C49</f>
        <v>-5823531.9715645825</v>
      </c>
      <c r="E24" s="27">
        <f>'Temp Adj. by Schedule'!D48+'Temp Adj. by Schedule'!D49</f>
        <v>-1668102.2834017265</v>
      </c>
      <c r="F24" s="27">
        <f>'Temp Adj. by Schedule'!E48+'Temp Adj. by Schedule'!E49</f>
        <v>-922426.89667903027</v>
      </c>
      <c r="G24" s="27">
        <f>'Temp Adj. by Schedule'!F48+'Temp Adj. by Schedule'!F49</f>
        <v>1413716.1695967673</v>
      </c>
      <c r="H24" s="27">
        <f>'Temp Adj. by Schedule'!G48+'Temp Adj. by Schedule'!G49</f>
        <v>-1227027.362495153</v>
      </c>
      <c r="I24" s="27">
        <f>'Temp Adj. by Schedule'!H48+'Temp Adj. by Schedule'!H49</f>
        <v>5544402.9545843191</v>
      </c>
      <c r="J24" s="27">
        <f>'Temp Adj. by Schedule'!I48+'Temp Adj. by Schedule'!I49</f>
        <v>-3595838.5454527787</v>
      </c>
      <c r="K24" s="27">
        <f>'Temp Adj. by Schedule'!J48+'Temp Adj. by Schedule'!J49</f>
        <v>596227.57548812602</v>
      </c>
      <c r="L24" s="27">
        <f>'Temp Adj. by Schedule'!K48+'Temp Adj. by Schedule'!K49</f>
        <v>345896.87734870042</v>
      </c>
      <c r="M24" s="27">
        <f>'Temp Adj. by Schedule'!L48+'Temp Adj. by Schedule'!L49</f>
        <v>-152170.63914148929</v>
      </c>
      <c r="N24" s="104">
        <f>'Temp Adj. by Schedule'!M48+'Temp Adj. by Schedule'!M49</f>
        <v>-644412.87503219338</v>
      </c>
    </row>
    <row r="25" spans="1:14" x14ac:dyDescent="0.25">
      <c r="A25" s="337" t="s">
        <v>176</v>
      </c>
      <c r="B25" s="22">
        <f t="shared" si="21"/>
        <v>-5569549.819963485</v>
      </c>
      <c r="C25" s="27">
        <f>'Temp Adj. by Schedule'!B50+'Temp Adj. by Schedule'!B51</f>
        <v>-575997.63122757047</v>
      </c>
      <c r="D25" s="27">
        <f>'Temp Adj. by Schedule'!C50+'Temp Adj. by Schedule'!C51</f>
        <v>-3272783.7313340106</v>
      </c>
      <c r="E25" s="27">
        <f>'Temp Adj. by Schedule'!D50+'Temp Adj. by Schedule'!D51</f>
        <v>-934281.55358628125</v>
      </c>
      <c r="F25" s="27">
        <f>'Temp Adj. by Schedule'!E50+'Temp Adj. by Schedule'!E51</f>
        <v>-497089.95996943099</v>
      </c>
      <c r="G25" s="27">
        <f>'Temp Adj. by Schedule'!F50+'Temp Adj. by Schedule'!F51</f>
        <v>114910.56523354255</v>
      </c>
      <c r="H25" s="27">
        <f>'Temp Adj. by Schedule'!G50+'Temp Adj. by Schedule'!G51</f>
        <v>-203179.81393831514</v>
      </c>
      <c r="I25" s="27">
        <f>'Temp Adj. by Schedule'!H50+'Temp Adj. by Schedule'!H51</f>
        <v>607328.85200809536</v>
      </c>
      <c r="J25" s="27">
        <f>'Temp Adj. by Schedule'!I50+'Temp Adj. by Schedule'!I51</f>
        <v>-373303.65473632747</v>
      </c>
      <c r="K25" s="27">
        <f>'Temp Adj. by Schedule'!J50+'Temp Adj. by Schedule'!J51</f>
        <v>-20033.832224730424</v>
      </c>
      <c r="L25" s="27">
        <f>'Temp Adj. by Schedule'!K50+'Temp Adj. by Schedule'!K51</f>
        <v>66915.15164892326</v>
      </c>
      <c r="M25" s="27">
        <f>'Temp Adj. by Schedule'!L50+'Temp Adj. by Schedule'!L51</f>
        <v>-112197.22279556497</v>
      </c>
      <c r="N25" s="104">
        <f>'Temp Adj. by Schedule'!M50+'Temp Adj. by Schedule'!M51</f>
        <v>-369836.98904181394</v>
      </c>
    </row>
    <row r="26" spans="1:14" x14ac:dyDescent="0.25">
      <c r="A26" s="11" t="s">
        <v>5</v>
      </c>
      <c r="B26" s="22">
        <f t="shared" si="21"/>
        <v>-403837.91482737212</v>
      </c>
      <c r="C26" s="27">
        <f>+'Temp Adj. by Schedule'!B54</f>
        <v>-42778.04960589121</v>
      </c>
      <c r="D26" s="27">
        <f>+'Temp Adj. by Schedule'!C54</f>
        <v>-248366.82028415657</v>
      </c>
      <c r="E26" s="27">
        <f>+'Temp Adj. by Schedule'!D54</f>
        <v>-70872.40530967791</v>
      </c>
      <c r="F26" s="27">
        <f>+'Temp Adj. by Schedule'!E54</f>
        <v>0</v>
      </c>
      <c r="G26" s="27">
        <f>+'Temp Adj. by Schedule'!F54</f>
        <v>0</v>
      </c>
      <c r="H26" s="27">
        <f>+'Temp Adj. by Schedule'!G54</f>
        <v>0</v>
      </c>
      <c r="I26" s="27">
        <f>+'Temp Adj. by Schedule'!H54</f>
        <v>0</v>
      </c>
      <c r="J26" s="27">
        <f>+'Temp Adj. by Schedule'!I54</f>
        <v>0</v>
      </c>
      <c r="K26" s="27">
        <f>+'Temp Adj. by Schedule'!J54</f>
        <v>0</v>
      </c>
      <c r="L26" s="27">
        <f>+'Temp Adj. by Schedule'!K54</f>
        <v>0</v>
      </c>
      <c r="M26" s="27">
        <f>+'Temp Adj. by Schedule'!L54</f>
        <v>-16577.61014609602</v>
      </c>
      <c r="N26" s="104">
        <f>+'Temp Adj. by Schedule'!M54</f>
        <v>-25243.029481550468</v>
      </c>
    </row>
    <row r="27" spans="1:14" x14ac:dyDescent="0.25">
      <c r="A27" s="337" t="s">
        <v>177</v>
      </c>
      <c r="B27" s="22">
        <f t="shared" si="21"/>
        <v>-2089863.5634308262</v>
      </c>
      <c r="C27" s="27">
        <f>'Temp Adj. by Schedule'!B52+'Temp Adj. by Schedule'!B53</f>
        <v>-209503.2916628955</v>
      </c>
      <c r="D27" s="27">
        <f>'Temp Adj. by Schedule'!C52+'Temp Adj. by Schedule'!C53</f>
        <v>-1189135.3275663021</v>
      </c>
      <c r="E27" s="27">
        <f>'Temp Adj. by Schedule'!D52+'Temp Adj. by Schedule'!D53</f>
        <v>-339640.38388547651</v>
      </c>
      <c r="F27" s="27">
        <f>'Temp Adj. by Schedule'!E52+'Temp Adj. by Schedule'!E53</f>
        <v>-476832.16598136618</v>
      </c>
      <c r="G27" s="27">
        <f>'Temp Adj. by Schedule'!F52+'Temp Adj. by Schedule'!F53</f>
        <v>118361.42558256934</v>
      </c>
      <c r="H27" s="27">
        <f>'Temp Adj. by Schedule'!G52+'Temp Adj. by Schedule'!G53</f>
        <v>-203898.81105264858</v>
      </c>
      <c r="I27" s="27">
        <f>'Temp Adj. by Schedule'!H52+'Temp Adj. by Schedule'!H53</f>
        <v>614909.62300118676</v>
      </c>
      <c r="J27" s="27">
        <f>'Temp Adj. by Schedule'!I52+'Temp Adj. by Schedule'!I53</f>
        <v>-379134.20720748906</v>
      </c>
      <c r="K27" s="27">
        <f>'Temp Adj. by Schedule'!J52+'Temp Adj. by Schedule'!J53</f>
        <v>-16516.302133924415</v>
      </c>
      <c r="L27" s="27">
        <f>'Temp Adj. by Schedule'!K52+'Temp Adj. by Schedule'!K53</f>
        <v>68313.104232891754</v>
      </c>
      <c r="M27" s="27">
        <f>'Temp Adj. by Schedule'!L52+'Temp Adj. by Schedule'!L53</f>
        <v>47954.515433252251</v>
      </c>
      <c r="N27" s="104">
        <f>'Temp Adj. by Schedule'!M52+'Temp Adj. by Schedule'!M53</f>
        <v>-124741.74219062363</v>
      </c>
    </row>
    <row r="28" spans="1:14" x14ac:dyDescent="0.25">
      <c r="A28" s="14" t="s">
        <v>24</v>
      </c>
      <c r="B28" s="22">
        <f t="shared" si="21"/>
        <v>-1733687.0572225826</v>
      </c>
      <c r="C28" s="27">
        <f>+'Temp Adj. by Schedule'!B55</f>
        <v>-170203.1193092583</v>
      </c>
      <c r="D28" s="27">
        <f>+'Temp Adj. by Schedule'!C55</f>
        <v>-962222.20564157516</v>
      </c>
      <c r="E28" s="27">
        <f>+'Temp Adj. by Schedule'!D55</f>
        <v>-275377.74416569981</v>
      </c>
      <c r="F28" s="27">
        <f>+'Temp Adj. by Schedule'!E55</f>
        <v>-318499.29953583301</v>
      </c>
      <c r="G28" s="27">
        <f>+'Temp Adj. by Schedule'!F55</f>
        <v>57856.570356593635</v>
      </c>
      <c r="H28" s="27">
        <f>+'Temp Adj. by Schedule'!G55</f>
        <v>-112501.16177284048</v>
      </c>
      <c r="I28" s="27">
        <f>+'Temp Adj. by Schedule'!H55</f>
        <v>323292.66937266284</v>
      </c>
      <c r="J28" s="27">
        <f>+'Temp Adj. by Schedule'!I55</f>
        <v>-195910.88666604593</v>
      </c>
      <c r="K28" s="27">
        <f>+'Temp Adj. by Schedule'!J55</f>
        <v>-17161.015193317213</v>
      </c>
      <c r="L28" s="27">
        <f>+'Temp Adj. by Schedule'!K55</f>
        <v>34788.129201732998</v>
      </c>
      <c r="M28" s="27">
        <f>+'Temp Adj. by Schedule'!L55</f>
        <v>681.77386271700243</v>
      </c>
      <c r="N28" s="104">
        <f>+'Temp Adj. by Schedule'!M55</f>
        <v>-98430.767731719243</v>
      </c>
    </row>
    <row r="29" spans="1:14" x14ac:dyDescent="0.25">
      <c r="A29" s="11" t="s">
        <v>8</v>
      </c>
      <c r="B29" s="22">
        <f t="shared" si="21"/>
        <v>461100.14024450601</v>
      </c>
      <c r="C29" s="27">
        <f>+'Temp Adj. by Schedule'!B56</f>
        <v>-38428.252232767474</v>
      </c>
      <c r="D29" s="27">
        <f>+'Temp Adj. by Schedule'!C56</f>
        <v>-217249.35343387065</v>
      </c>
      <c r="E29" s="27">
        <f>+'Temp Adj. by Schedule'!D56</f>
        <v>-61780.941294229837</v>
      </c>
      <c r="F29" s="27">
        <f>+'Temp Adj. by Schedule'!E56</f>
        <v>-89805.073325232574</v>
      </c>
      <c r="G29" s="27">
        <f>+'Temp Adj. by Schedule'!F56</f>
        <v>319418.21971213468</v>
      </c>
      <c r="H29" s="27">
        <f>+'Temp Adj. by Schedule'!G56</f>
        <v>-327476.16177911166</v>
      </c>
      <c r="I29" s="27">
        <f>+'Temp Adj. by Schedule'!H56</f>
        <v>1278947.0155178648</v>
      </c>
      <c r="J29" s="27">
        <f>+'Temp Adj. by Schedule'!I56</f>
        <v>-805360.97786270583</v>
      </c>
      <c r="K29" s="27">
        <f>+'Temp Adj. by Schedule'!J56</f>
        <v>106972.00302499841</v>
      </c>
      <c r="L29" s="27">
        <f>+'Temp Adj. by Schedule'!K56</f>
        <v>123335.16021573462</v>
      </c>
      <c r="M29" s="27">
        <f>+'Temp Adj. by Schedule'!L56</f>
        <v>194841.08872132614</v>
      </c>
      <c r="N29" s="104">
        <f>+'Temp Adj. by Schedule'!M56</f>
        <v>-22312.587019634633</v>
      </c>
    </row>
    <row r="30" spans="1:14" x14ac:dyDescent="0.25">
      <c r="A30" s="14" t="s">
        <v>9</v>
      </c>
      <c r="B30" s="22">
        <f t="shared" si="21"/>
        <v>21773.578241899635</v>
      </c>
      <c r="C30" s="27">
        <f>+'Temp Adj. by Schedule'!B57</f>
        <v>-764.50955524104654</v>
      </c>
      <c r="D30" s="27">
        <f>+'Temp Adj. by Schedule'!C57</f>
        <v>-4322.059862730639</v>
      </c>
      <c r="E30" s="27">
        <f>+'Temp Adj. by Schedule'!D57</f>
        <v>-1236.9274874032812</v>
      </c>
      <c r="F30" s="27">
        <f>+'Temp Adj. by Schedule'!E57</f>
        <v>2184.1236354714624</v>
      </c>
      <c r="G30" s="27">
        <f>+'Temp Adj. by Schedule'!F57</f>
        <v>7542.3985661410916</v>
      </c>
      <c r="H30" s="27">
        <f>+'Temp Adj. by Schedule'!G57</f>
        <v>-9566.0335627306431</v>
      </c>
      <c r="I30" s="27">
        <f>+'Temp Adj. by Schedule'!H57</f>
        <v>31550.575685571574</v>
      </c>
      <c r="J30" s="27">
        <f>+'Temp Adj. by Schedule'!I57</f>
        <v>-19715.601014669577</v>
      </c>
      <c r="K30" s="27">
        <f>+'Temp Adj. by Schedule'!J57</f>
        <v>1750.8794533845605</v>
      </c>
      <c r="L30" s="27">
        <f>+'Temp Adj. by Schedule'!K57</f>
        <v>4765.8653889220859</v>
      </c>
      <c r="M30" s="27">
        <f>+'Temp Adj. by Schedule'!L57</f>
        <v>10037.355552603472</v>
      </c>
      <c r="N30" s="104">
        <f>+'Temp Adj. by Schedule'!M57</f>
        <v>-452.48855741942174</v>
      </c>
    </row>
    <row r="31" spans="1:14" x14ac:dyDescent="0.25">
      <c r="A31" s="8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4"/>
    </row>
    <row r="32" spans="1:14" x14ac:dyDescent="0.25">
      <c r="A32" s="8" t="s">
        <v>10</v>
      </c>
      <c r="B32" s="9">
        <f t="shared" ref="B32:K32" si="22">SUM(B22:B31)</f>
        <v>-21926849.455323804</v>
      </c>
      <c r="C32" s="9">
        <f t="shared" si="22"/>
        <v>-9219106.7768805642</v>
      </c>
      <c r="D32" s="9">
        <f t="shared" si="22"/>
        <v>-52210434.437473409</v>
      </c>
      <c r="E32" s="9">
        <f t="shared" si="22"/>
        <v>-14954023.956459759</v>
      </c>
      <c r="F32" s="9">
        <f t="shared" si="22"/>
        <v>-1132839.247447727</v>
      </c>
      <c r="G32" s="9">
        <f t="shared" si="22"/>
        <v>20354591.291598786</v>
      </c>
      <c r="H32" s="9">
        <f t="shared" si="22"/>
        <v>-23586418.125352636</v>
      </c>
      <c r="I32" s="9">
        <f t="shared" si="22"/>
        <v>83905327.63374868</v>
      </c>
      <c r="J32" s="9">
        <f t="shared" si="22"/>
        <v>-52866388.744541399</v>
      </c>
      <c r="K32" s="9">
        <f t="shared" si="22"/>
        <v>5684788.8911022069</v>
      </c>
      <c r="L32" s="9">
        <f t="shared" ref="L32:N32" si="23">SUM(L22:L31)</f>
        <v>10522398.951545876</v>
      </c>
      <c r="M32" s="9">
        <f t="shared" si="23"/>
        <v>17148010.417034343</v>
      </c>
      <c r="N32" s="10">
        <f t="shared" si="23"/>
        <v>-5572755.3521982115</v>
      </c>
    </row>
    <row r="33" spans="1:15" x14ac:dyDescent="0.25">
      <c r="A33" s="8"/>
      <c r="B33" s="23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7"/>
    </row>
    <row r="34" spans="1:15" s="5" customFormat="1" x14ac:dyDescent="0.2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6"/>
      <c r="M34" s="26"/>
      <c r="N34" s="26"/>
    </row>
    <row r="35" spans="1:15" s="98" customFormat="1" ht="13.8" thickBot="1" x14ac:dyDescent="0.3">
      <c r="A35" s="373" t="s">
        <v>152</v>
      </c>
      <c r="B35" s="374"/>
      <c r="C35" s="374"/>
      <c r="D35" s="374"/>
      <c r="E35" s="374"/>
      <c r="F35" s="374"/>
      <c r="G35" s="374"/>
      <c r="H35" s="374"/>
      <c r="I35" s="374"/>
      <c r="J35" s="374"/>
      <c r="K35" s="374"/>
      <c r="L35" s="352"/>
      <c r="M35" s="352"/>
      <c r="N35" s="352"/>
    </row>
    <row r="36" spans="1:15" s="279" customFormat="1" ht="45.75" customHeight="1" thickBot="1" x14ac:dyDescent="0.3">
      <c r="A36" s="288" t="s">
        <v>103</v>
      </c>
      <c r="B36" s="287"/>
      <c r="C36" s="375" t="s">
        <v>185</v>
      </c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7"/>
    </row>
    <row r="37" spans="1:15" s="98" customFormat="1" x14ac:dyDescent="0.25">
      <c r="A37" s="11" t="s">
        <v>1</v>
      </c>
      <c r="B37" s="22"/>
      <c r="C37" s="367">
        <f>+'[1]2017 Sales &amp; Revenue Adj'!I37</f>
        <v>6.8902000000000005E-2</v>
      </c>
      <c r="D37" s="367">
        <f>+'[1]2017 Sales &amp; Revenue Adj'!J37</f>
        <v>6.8902000000000005E-2</v>
      </c>
      <c r="E37" s="367">
        <f>+'[1]2017 Sales &amp; Revenue Adj'!K37</f>
        <v>6.8902000000000005E-2</v>
      </c>
      <c r="F37" s="367">
        <f>+'[1]2017 Sales &amp; Revenue Adj'!L37</f>
        <v>6.8902000000000005E-2</v>
      </c>
      <c r="G37" s="367">
        <f>+'[1]2017 Sales &amp; Revenue Adj'!M37</f>
        <v>6.8902000000000005E-2</v>
      </c>
      <c r="H37" s="367">
        <f>+'[1]2017 Sales &amp; Revenue Adj'!N37</f>
        <v>5.6490774193548393E-2</v>
      </c>
      <c r="I37" s="368">
        <f>+'[1]2018 GRC-TRF Sales &amp; Rev Adj'!C37</f>
        <v>3.9306000000000001E-2</v>
      </c>
      <c r="J37" s="367">
        <f>+'[1]2018 GRC-TRF Sales &amp; Rev Adj'!D37</f>
        <v>3.9306000000000001E-2</v>
      </c>
      <c r="K37" s="367">
        <f>+'[1]2018 GRC-TRF Sales &amp; Rev Adj'!E37</f>
        <v>3.9306000000000001E-2</v>
      </c>
      <c r="L37" s="367">
        <f>+'[1]2018 GRC-TRF Sales &amp; Rev Adj'!F37</f>
        <v>3.9306000000000001E-2</v>
      </c>
      <c r="M37" s="367">
        <f>+'[1]2018 GRC-TRF Sales &amp; Rev Adj'!G37</f>
        <v>3.9306000000000001E-2</v>
      </c>
      <c r="N37" s="369">
        <f>+'[1]2018 GRC-TRF Sales &amp; Rev Adj'!H37</f>
        <v>3.9306000000000001E-2</v>
      </c>
    </row>
    <row r="38" spans="1:15" s="98" customFormat="1" x14ac:dyDescent="0.25">
      <c r="A38" s="337" t="s">
        <v>175</v>
      </c>
      <c r="B38" s="22"/>
      <c r="C38" s="165">
        <f>+'[1]2017 Sales &amp; Revenue Adj'!I38</f>
        <v>6.3548999999999994E-2</v>
      </c>
      <c r="D38" s="165">
        <f>+'[1]2017 Sales &amp; Revenue Adj'!J38</f>
        <v>6.3548999999999994E-2</v>
      </c>
      <c r="E38" s="165">
        <f>+'[1]2017 Sales &amp; Revenue Adj'!K38</f>
        <v>6.3548999999999994E-2</v>
      </c>
      <c r="F38" s="165">
        <f>+'[1]2017 Sales &amp; Revenue Adj'!L38</f>
        <v>6.3548999999999994E-2</v>
      </c>
      <c r="G38" s="165">
        <f>+'[1]2017 Sales &amp; Revenue Adj'!M38</f>
        <v>6.3548999999999994E-2</v>
      </c>
      <c r="H38" s="165">
        <f>+'[1]2017 Sales &amp; Revenue Adj'!N38</f>
        <v>5.203729032258065E-2</v>
      </c>
      <c r="I38" s="370">
        <f>+'[1]2018 GRC-TRF Sales &amp; Rev Adj'!C38</f>
        <v>3.6097999999999998E-2</v>
      </c>
      <c r="J38" s="165">
        <f>+'[1]2018 GRC-TRF Sales &amp; Rev Adj'!D38</f>
        <v>3.6097999999999998E-2</v>
      </c>
      <c r="K38" s="165">
        <f>+'[1]2018 GRC-TRF Sales &amp; Rev Adj'!E38</f>
        <v>3.6097999999999998E-2</v>
      </c>
      <c r="L38" s="165">
        <f>+'[1]2018 GRC-TRF Sales &amp; Rev Adj'!F38</f>
        <v>3.6097999999999998E-2</v>
      </c>
      <c r="M38" s="165">
        <f>+'[1]2018 GRC-TRF Sales &amp; Rev Adj'!G38</f>
        <v>3.6097999999999998E-2</v>
      </c>
      <c r="N38" s="371">
        <f>+'[1]2018 GRC-TRF Sales &amp; Rev Adj'!H38</f>
        <v>3.6097999999999998E-2</v>
      </c>
    </row>
    <row r="39" spans="1:15" s="98" customFormat="1" x14ac:dyDescent="0.25">
      <c r="A39" s="337" t="s">
        <v>178</v>
      </c>
      <c r="B39" s="22"/>
      <c r="C39" s="165">
        <f>+'[1]2017 Sales &amp; Revenue Adj'!I39</f>
        <v>6.3299999999999995E-2</v>
      </c>
      <c r="D39" s="165">
        <f>+'[1]2017 Sales &amp; Revenue Adj'!J39</f>
        <v>6.3299999999999995E-2</v>
      </c>
      <c r="E39" s="165">
        <f>+'[1]2017 Sales &amp; Revenue Adj'!K39</f>
        <v>6.3299999999999995E-2</v>
      </c>
      <c r="F39" s="165">
        <f>+'[1]2017 Sales &amp; Revenue Adj'!L39</f>
        <v>6.3299999999999995E-2</v>
      </c>
      <c r="G39" s="165">
        <f>+'[1]2017 Sales &amp; Revenue Adj'!M39</f>
        <v>6.3299999999999995E-2</v>
      </c>
      <c r="H39" s="165">
        <f>+'[1]2017 Sales &amp; Revenue Adj'!N39</f>
        <v>5.168429032258065E-2</v>
      </c>
      <c r="I39" s="370">
        <f>+'[1]2018 GRC-TRF Sales &amp; Rev Adj'!C39</f>
        <v>3.5601000000000001E-2</v>
      </c>
      <c r="J39" s="165">
        <f>+'[1]2018 GRC-TRF Sales &amp; Rev Adj'!D39</f>
        <v>3.5601000000000001E-2</v>
      </c>
      <c r="K39" s="165">
        <f>+'[1]2018 GRC-TRF Sales &amp; Rev Adj'!E39</f>
        <v>3.5601000000000001E-2</v>
      </c>
      <c r="L39" s="165">
        <f>+'[1]2018 GRC-TRF Sales &amp; Rev Adj'!F39</f>
        <v>3.5601000000000001E-2</v>
      </c>
      <c r="M39" s="165">
        <f>+'[1]2018 GRC-TRF Sales &amp; Rev Adj'!G39</f>
        <v>3.5601000000000001E-2</v>
      </c>
      <c r="N39" s="371">
        <f>+'[1]2018 GRC-TRF Sales &amp; Rev Adj'!H39</f>
        <v>3.5601000000000001E-2</v>
      </c>
    </row>
    <row r="40" spans="1:15" s="98" customFormat="1" x14ac:dyDescent="0.25">
      <c r="A40" s="337" t="s">
        <v>176</v>
      </c>
      <c r="B40" s="22"/>
      <c r="C40" s="165">
        <f>+'[1]2017 Sales &amp; Revenue Adj'!I40</f>
        <v>6.5309000000000006E-2</v>
      </c>
      <c r="D40" s="165">
        <f>+'[1]2017 Sales &amp; Revenue Adj'!J40</f>
        <v>6.5309000000000006E-2</v>
      </c>
      <c r="E40" s="165">
        <f>+'[1]2017 Sales &amp; Revenue Adj'!K40</f>
        <v>6.5309000000000006E-2</v>
      </c>
      <c r="F40" s="165">
        <f>+'[1]2017 Sales &amp; Revenue Adj'!L40</f>
        <v>6.5309000000000006E-2</v>
      </c>
      <c r="G40" s="165">
        <f>+'[1]2017 Sales &amp; Revenue Adj'!M40</f>
        <v>6.5309000000000006E-2</v>
      </c>
      <c r="H40" s="165">
        <f>+'[1]2017 Sales &amp; Revenue Adj'!N40</f>
        <v>5.2485129032258077E-2</v>
      </c>
      <c r="I40" s="370">
        <f>+'[1]2018 GRC-TRF Sales &amp; Rev Adj'!C40</f>
        <v>3.4729000000000003E-2</v>
      </c>
      <c r="J40" s="165">
        <f>+'[1]2018 GRC-TRF Sales &amp; Rev Adj'!D40</f>
        <v>3.4729000000000003E-2</v>
      </c>
      <c r="K40" s="165">
        <f>+'[1]2018 GRC-TRF Sales &amp; Rev Adj'!E40</f>
        <v>3.4729000000000003E-2</v>
      </c>
      <c r="L40" s="165">
        <f>+'[1]2018 GRC-TRF Sales &amp; Rev Adj'!F40</f>
        <v>3.4729000000000003E-2</v>
      </c>
      <c r="M40" s="165">
        <f>+'[1]2018 GRC-TRF Sales &amp; Rev Adj'!G40</f>
        <v>3.4729000000000003E-2</v>
      </c>
      <c r="N40" s="371">
        <f>+'[1]2018 GRC-TRF Sales &amp; Rev Adj'!H40</f>
        <v>3.4729000000000003E-2</v>
      </c>
    </row>
    <row r="41" spans="1:15" s="98" customFormat="1" x14ac:dyDescent="0.25">
      <c r="A41" s="11" t="s">
        <v>5</v>
      </c>
      <c r="B41" s="22"/>
      <c r="C41" s="165">
        <f>+'[1]2017 Sales &amp; Revenue Adj'!I41</f>
        <v>6.3299999999999995E-2</v>
      </c>
      <c r="D41" s="165">
        <f>+'[1]2017 Sales &amp; Revenue Adj'!J41</f>
        <v>6.3299999999999995E-2</v>
      </c>
      <c r="E41" s="165">
        <f>+'[1]2017 Sales &amp; Revenue Adj'!K41</f>
        <v>6.3299999999999995E-2</v>
      </c>
      <c r="F41" s="165">
        <f>+'[1]2017 Sales &amp; Revenue Adj'!L41</f>
        <v>6.3299999999999995E-2</v>
      </c>
      <c r="G41" s="165">
        <f>+'[1]2017 Sales &amp; Revenue Adj'!M41</f>
        <v>6.3299999999999995E-2</v>
      </c>
      <c r="H41" s="165">
        <f>+'[1]2017 Sales &amp; Revenue Adj'!N41</f>
        <v>5.168429032258065E-2</v>
      </c>
      <c r="I41" s="370">
        <f>+'[1]2018 GRC-TRF Sales &amp; Rev Adj'!C41</f>
        <v>3.5601000000000001E-2</v>
      </c>
      <c r="J41" s="165">
        <f>+'[1]2018 GRC-TRF Sales &amp; Rev Adj'!D41</f>
        <v>3.5601000000000001E-2</v>
      </c>
      <c r="K41" s="165">
        <f>+'[1]2018 GRC-TRF Sales &amp; Rev Adj'!E41</f>
        <v>3.5601000000000001E-2</v>
      </c>
      <c r="L41" s="165">
        <f>+'[1]2018 GRC-TRF Sales &amp; Rev Adj'!F41</f>
        <v>3.5601000000000001E-2</v>
      </c>
      <c r="M41" s="165">
        <f>+'[1]2018 GRC-TRF Sales &amp; Rev Adj'!G41</f>
        <v>3.5601000000000001E-2</v>
      </c>
      <c r="N41" s="371">
        <f>+'[1]2018 GRC-TRF Sales &amp; Rev Adj'!H41</f>
        <v>3.5601000000000001E-2</v>
      </c>
    </row>
    <row r="42" spans="1:15" s="98" customFormat="1" x14ac:dyDescent="0.25">
      <c r="A42" s="337" t="s">
        <v>177</v>
      </c>
      <c r="B42" s="22"/>
      <c r="C42" s="165">
        <f>+'[1]2017 Sales &amp; Revenue Adj'!I42</f>
        <v>5.9146999999999998E-2</v>
      </c>
      <c r="D42" s="165">
        <f>+'[1]2017 Sales &amp; Revenue Adj'!J42</f>
        <v>5.9146999999999998E-2</v>
      </c>
      <c r="E42" s="165">
        <f>+'[1]2017 Sales &amp; Revenue Adj'!K42</f>
        <v>5.9146999999999998E-2</v>
      </c>
      <c r="F42" s="165">
        <f>+'[1]2017 Sales &amp; Revenue Adj'!L42</f>
        <v>5.9146999999999998E-2</v>
      </c>
      <c r="G42" s="165">
        <f>+'[1]2017 Sales &amp; Revenue Adj'!M42</f>
        <v>5.9146999999999998E-2</v>
      </c>
      <c r="H42" s="165">
        <f>+'[1]2017 Sales &amp; Revenue Adj'!N42</f>
        <v>4.8515935483870967E-2</v>
      </c>
      <c r="I42" s="370">
        <f>+'[1]2018 GRC-TRF Sales &amp; Rev Adj'!C42</f>
        <v>3.3796E-2</v>
      </c>
      <c r="J42" s="165">
        <f>+'[1]2018 GRC-TRF Sales &amp; Rev Adj'!D42</f>
        <v>3.3796E-2</v>
      </c>
      <c r="K42" s="165">
        <f>+'[1]2018 GRC-TRF Sales &amp; Rev Adj'!E42</f>
        <v>3.3796E-2</v>
      </c>
      <c r="L42" s="165">
        <f>+'[1]2018 GRC-TRF Sales &amp; Rev Adj'!F42</f>
        <v>3.3796E-2</v>
      </c>
      <c r="M42" s="165">
        <f>+'[1]2018 GRC-TRF Sales &amp; Rev Adj'!G42</f>
        <v>3.3796E-2</v>
      </c>
      <c r="N42" s="371">
        <f>+'[1]2018 GRC-TRF Sales &amp; Rev Adj'!H42</f>
        <v>3.3796E-2</v>
      </c>
    </row>
    <row r="43" spans="1:15" s="98" customFormat="1" x14ac:dyDescent="0.25">
      <c r="A43" s="14" t="s">
        <v>24</v>
      </c>
      <c r="B43" s="22"/>
      <c r="C43" s="165">
        <f>+'[1]2017 Sales &amp; Revenue Adj'!I43</f>
        <v>6.5490000000000007E-2</v>
      </c>
      <c r="D43" s="165">
        <f>+'[1]2017 Sales &amp; Revenue Adj'!J43</f>
        <v>6.5490000000000007E-2</v>
      </c>
      <c r="E43" s="165">
        <f>+'[1]2017 Sales &amp; Revenue Adj'!K43</f>
        <v>6.5490000000000007E-2</v>
      </c>
      <c r="F43" s="165">
        <f>+'[1]2017 Sales &amp; Revenue Adj'!L43</f>
        <v>6.5490000000000007E-2</v>
      </c>
      <c r="G43" s="165">
        <f>+'[1]2017 Sales &amp; Revenue Adj'!M43</f>
        <v>6.5490000000000007E-2</v>
      </c>
      <c r="H43" s="165">
        <f>+'[1]2017 Sales &amp; Revenue Adj'!N43</f>
        <v>5.1811483870967755E-2</v>
      </c>
      <c r="I43" s="370">
        <f>+'[1]2018 GRC-TRF Sales &amp; Rev Adj'!C43</f>
        <v>3.2871999999999998E-2</v>
      </c>
      <c r="J43" s="165">
        <f>+'[1]2018 GRC-TRF Sales &amp; Rev Adj'!D43</f>
        <v>3.2871999999999998E-2</v>
      </c>
      <c r="K43" s="165">
        <f>+'[1]2018 GRC-TRF Sales &amp; Rev Adj'!E43</f>
        <v>3.2871999999999998E-2</v>
      </c>
      <c r="L43" s="165">
        <f>+'[1]2018 GRC-TRF Sales &amp; Rev Adj'!F43</f>
        <v>3.2871999999999998E-2</v>
      </c>
      <c r="M43" s="165">
        <f>+'[1]2018 GRC-TRF Sales &amp; Rev Adj'!G43</f>
        <v>3.2871999999999998E-2</v>
      </c>
      <c r="N43" s="371">
        <f>+'[1]2018 GRC-TRF Sales &amp; Rev Adj'!H43</f>
        <v>3.2871999999999998E-2</v>
      </c>
    </row>
    <row r="44" spans="1:15" s="98" customFormat="1" x14ac:dyDescent="0.25">
      <c r="A44" s="11" t="s">
        <v>8</v>
      </c>
      <c r="B44" s="22"/>
      <c r="C44" s="165">
        <f>+'[1]2017 Sales &amp; Revenue Adj'!I44</f>
        <v>5.8022999999999998E-2</v>
      </c>
      <c r="D44" s="165">
        <f>+'[1]2017 Sales &amp; Revenue Adj'!J44</f>
        <v>5.8022999999999998E-2</v>
      </c>
      <c r="E44" s="165">
        <f>+'[1]2017 Sales &amp; Revenue Adj'!K44</f>
        <v>5.8022999999999998E-2</v>
      </c>
      <c r="F44" s="165">
        <f>+'[1]2017 Sales &amp; Revenue Adj'!L44</f>
        <v>5.8022999999999998E-2</v>
      </c>
      <c r="G44" s="165">
        <f>+'[1]2017 Sales &amp; Revenue Adj'!M44</f>
        <v>5.8022999999999998E-2</v>
      </c>
      <c r="H44" s="165">
        <f>+'[1]2017 Sales &amp; Revenue Adj'!N44</f>
        <v>4.5001193548387101E-2</v>
      </c>
      <c r="I44" s="370">
        <f>+'[1]2018 GRC-TRF Sales &amp; Rev Adj'!C44</f>
        <v>2.6970999999999998E-2</v>
      </c>
      <c r="J44" s="165">
        <f>+'[1]2018 GRC-TRF Sales &amp; Rev Adj'!D44</f>
        <v>2.6970999999999998E-2</v>
      </c>
      <c r="K44" s="165">
        <f>+'[1]2018 GRC-TRF Sales &amp; Rev Adj'!E44</f>
        <v>2.6970999999999998E-2</v>
      </c>
      <c r="L44" s="165">
        <f>+'[1]2018 GRC-TRF Sales &amp; Rev Adj'!F44</f>
        <v>2.6970999999999998E-2</v>
      </c>
      <c r="M44" s="165">
        <f>+'[1]2018 GRC-TRF Sales &amp; Rev Adj'!G44</f>
        <v>2.6970999999999998E-2</v>
      </c>
      <c r="N44" s="371">
        <f>+'[1]2018 GRC-TRF Sales &amp; Rev Adj'!H44</f>
        <v>2.6970999999999998E-2</v>
      </c>
    </row>
    <row r="45" spans="1:15" s="98" customFormat="1" x14ac:dyDescent="0.25">
      <c r="A45" s="14" t="s">
        <v>9</v>
      </c>
      <c r="B45" s="22"/>
      <c r="C45" s="165">
        <f>+'[1]2017 Sales &amp; Revenue Adj'!I45</f>
        <v>3.5139999999999998E-2</v>
      </c>
      <c r="D45" s="165">
        <f>+'[1]2017 Sales &amp; Revenue Adj'!J45</f>
        <v>3.5139999999999998E-2</v>
      </c>
      <c r="E45" s="165">
        <f>+'[1]2017 Sales &amp; Revenue Adj'!K45</f>
        <v>3.5139999999999998E-2</v>
      </c>
      <c r="F45" s="165">
        <f>+'[1]2017 Sales &amp; Revenue Adj'!L45</f>
        <v>3.5139999999999998E-2</v>
      </c>
      <c r="G45" s="165">
        <f>+'[1]2017 Sales &amp; Revenue Adj'!M45</f>
        <v>3.5139999999999998E-2</v>
      </c>
      <c r="H45" s="165">
        <f>+'[1]2017 Sales &amp; Revenue Adj'!N45</f>
        <v>3.5139999999999998E-2</v>
      </c>
      <c r="I45" s="370">
        <f>+'[1]2018 GRC-TRF Sales &amp; Rev Adj'!C45</f>
        <v>3.5139999999999998E-2</v>
      </c>
      <c r="J45" s="165">
        <f>+'[1]2018 GRC-TRF Sales &amp; Rev Adj'!D45</f>
        <v>3.5139999999999998E-2</v>
      </c>
      <c r="K45" s="165">
        <f>+'[1]2018 GRC-TRF Sales &amp; Rev Adj'!E45</f>
        <v>3.5139999999999998E-2</v>
      </c>
      <c r="L45" s="165">
        <f>+'[1]2018 GRC-TRF Sales &amp; Rev Adj'!F45</f>
        <v>3.5139999999999998E-2</v>
      </c>
      <c r="M45" s="165">
        <f>+'[1]2018 GRC-TRF Sales &amp; Rev Adj'!G45</f>
        <v>3.5139999999999998E-2</v>
      </c>
      <c r="N45" s="371">
        <f>+'[1]2018 GRC-TRF Sales &amp; Rev Adj'!H45</f>
        <v>3.5139999999999998E-2</v>
      </c>
    </row>
    <row r="46" spans="1:15" ht="13.8" thickBot="1" x14ac:dyDescent="0.3">
      <c r="A46" s="281"/>
      <c r="B46" s="283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2"/>
    </row>
    <row r="48" spans="1:15" x14ac:dyDescent="0.25">
      <c r="A48" s="280" t="s">
        <v>192</v>
      </c>
      <c r="B48" s="3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35"/>
    </row>
    <row r="49" spans="1:15" x14ac:dyDescent="0.25">
      <c r="A49" s="280" t="s">
        <v>196</v>
      </c>
      <c r="B49" s="3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</row>
    <row r="50" spans="1:15" x14ac:dyDescent="0.25">
      <c r="A50" s="345" t="s">
        <v>194</v>
      </c>
      <c r="B50" s="34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</row>
    <row r="51" spans="1:15" x14ac:dyDescent="0.25">
      <c r="A51" s="345" t="s">
        <v>195</v>
      </c>
      <c r="B51" s="22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</row>
    <row r="52" spans="1:15" x14ac:dyDescent="0.25">
      <c r="A52" s="277"/>
      <c r="B52" s="22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</row>
    <row r="53" spans="1:15" x14ac:dyDescent="0.25">
      <c r="A53" s="277"/>
      <c r="B53" s="22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</row>
    <row r="54" spans="1:15" x14ac:dyDescent="0.25">
      <c r="A54" s="276"/>
      <c r="B54" s="22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</row>
    <row r="55" spans="1:15" x14ac:dyDescent="0.25">
      <c r="A55" s="277"/>
      <c r="B55" s="22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  <c r="N55" s="165"/>
    </row>
    <row r="56" spans="1:15" x14ac:dyDescent="0.25">
      <c r="A56" s="277"/>
      <c r="B56" s="22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</row>
    <row r="57" spans="1:15" x14ac:dyDescent="0.25">
      <c r="A57" s="276"/>
      <c r="B57" s="22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</row>
    <row r="58" spans="1:15" x14ac:dyDescent="0.25">
      <c r="A58" s="276"/>
      <c r="B58" s="22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</row>
    <row r="59" spans="1:15" x14ac:dyDescent="0.25">
      <c r="A59" s="276"/>
      <c r="B59" s="22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</row>
    <row r="60" spans="1:15" x14ac:dyDescent="0.25">
      <c r="A60" s="277"/>
      <c r="B60" s="22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</row>
    <row r="61" spans="1:1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5" x14ac:dyDescent="0.25"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</row>
    <row r="63" spans="1:15" x14ac:dyDescent="0.25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</row>
  </sheetData>
  <mergeCells count="2">
    <mergeCell ref="A35:K35"/>
    <mergeCell ref="C36:N36"/>
  </mergeCells>
  <phoneticPr fontId="2" type="noConversion"/>
  <printOptions horizontalCentered="1"/>
  <pageMargins left="0.7" right="0.7" top="0.75" bottom="0.75" header="0.3" footer="0.3"/>
  <pageSetup scale="57" orientation="landscape" r:id="rId1"/>
  <headerFooter alignWithMargins="0">
    <oddFooter xml:space="preserve">&amp;L&amp;F 
&amp;A&amp;RPage &amp;P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topLeftCell="A52" zoomScaleNormal="75" workbookViewId="0">
      <selection sqref="A1:T104"/>
    </sheetView>
  </sheetViews>
  <sheetFormatPr defaultRowHeight="13.2" x14ac:dyDescent="0.25"/>
  <cols>
    <col min="1" max="1" width="28" customWidth="1"/>
    <col min="2" max="17" width="16" customWidth="1"/>
    <col min="18" max="18" width="12.33203125" style="102" customWidth="1"/>
    <col min="19" max="19" width="12.33203125" customWidth="1"/>
    <col min="20" max="23" width="12.6640625" customWidth="1"/>
  </cols>
  <sheetData>
    <row r="1" spans="1:28" x14ac:dyDescent="0.25">
      <c r="A1" s="66" t="s">
        <v>53</v>
      </c>
    </row>
    <row r="2" spans="1:28" x14ac:dyDescent="0.25">
      <c r="A2" s="66" t="s">
        <v>188</v>
      </c>
    </row>
    <row r="3" spans="1:28" x14ac:dyDescent="0.25">
      <c r="A3" s="109"/>
    </row>
    <row r="4" spans="1:28" x14ac:dyDescent="0.25">
      <c r="A4" s="66" t="s">
        <v>43</v>
      </c>
    </row>
    <row r="5" spans="1:28" x14ac:dyDescent="0.25">
      <c r="A5" s="66" t="s">
        <v>42</v>
      </c>
    </row>
    <row r="6" spans="1:28" x14ac:dyDescent="0.25">
      <c r="A6" s="86" t="s">
        <v>25</v>
      </c>
      <c r="R6" s="103" t="s">
        <v>50</v>
      </c>
    </row>
    <row r="7" spans="1:28" x14ac:dyDescent="0.25">
      <c r="A7" s="66" t="s">
        <v>26</v>
      </c>
      <c r="B7" s="62">
        <f>'Sales &amp; Revenue Adj.'!C5</f>
        <v>42917</v>
      </c>
      <c r="C7" s="62">
        <f>'Sales &amp; Revenue Adj.'!D5</f>
        <v>42948</v>
      </c>
      <c r="D7" s="62">
        <f>'Sales &amp; Revenue Adj.'!E5</f>
        <v>42979</v>
      </c>
      <c r="E7" s="62">
        <f>'Sales &amp; Revenue Adj.'!F5</f>
        <v>43009</v>
      </c>
      <c r="F7" s="62">
        <f>'Sales &amp; Revenue Adj.'!G5</f>
        <v>43040</v>
      </c>
      <c r="G7" s="62">
        <f>'Sales &amp; Revenue Adj.'!H5</f>
        <v>43070</v>
      </c>
      <c r="H7" s="62">
        <f>'Sales &amp; Revenue Adj.'!I5</f>
        <v>43101</v>
      </c>
      <c r="I7" s="62">
        <f>'Sales &amp; Revenue Adj.'!J5</f>
        <v>43132</v>
      </c>
      <c r="J7" s="62">
        <f>'Sales &amp; Revenue Adj.'!K5</f>
        <v>43160</v>
      </c>
      <c r="K7" s="62">
        <f>'Sales &amp; Revenue Adj.'!L5</f>
        <v>43191</v>
      </c>
      <c r="L7" s="62">
        <f>'Sales &amp; Revenue Adj.'!M5</f>
        <v>43221</v>
      </c>
      <c r="M7" s="62">
        <f>'Sales &amp; Revenue Adj.'!N5</f>
        <v>43252</v>
      </c>
      <c r="N7" s="85" t="s">
        <v>20</v>
      </c>
      <c r="O7" s="103" t="s">
        <v>51</v>
      </c>
      <c r="R7"/>
    </row>
    <row r="8" spans="1:28" x14ac:dyDescent="0.25">
      <c r="A8" s="96" t="s">
        <v>157</v>
      </c>
      <c r="B8" s="121">
        <f>($E65*I$80+$F65*I$84)*B92</f>
        <v>-7688569.0502994601</v>
      </c>
      <c r="C8" s="121">
        <f>($E65*J$80+$F65*J$84)*C92</f>
        <v>-43674970.651605494</v>
      </c>
      <c r="D8" s="121">
        <f>($E65*K$80+$F65*K$84)*D92</f>
        <v>-29488570.569763836</v>
      </c>
      <c r="E8" s="121">
        <f t="shared" ref="E8:K8" si="0">($B65*L$68+$C65*L$72+$D65*L$76)*E92</f>
        <v>-335977.90567023703</v>
      </c>
      <c r="F8" s="121">
        <f t="shared" si="0"/>
        <v>16508073.079599619</v>
      </c>
      <c r="G8" s="121">
        <f t="shared" si="0"/>
        <v>-21500606.419505581</v>
      </c>
      <c r="H8" s="4">
        <f t="shared" si="0"/>
        <v>74793782.059039772</v>
      </c>
      <c r="I8" s="121">
        <f t="shared" si="0"/>
        <v>-44869101.567900084</v>
      </c>
      <c r="J8" s="121">
        <f t="shared" si="0"/>
        <v>4394677.0337621355</v>
      </c>
      <c r="K8" s="121">
        <f t="shared" si="0"/>
        <v>16344914.743105689</v>
      </c>
      <c r="L8" s="121">
        <f>($B65*S$68+$C65*S$72+$D65*S$76+E$65*S$80+F$65*S$84)*L92</f>
        <v>49052692.87684124</v>
      </c>
      <c r="M8" s="121">
        <f>($E65*T$80+$F65*T$84)*M92</f>
        <v>-5826662.2558389846</v>
      </c>
      <c r="N8" s="222">
        <f>SUM(B8:M8)</f>
        <v>7709681.3717647698</v>
      </c>
      <c r="O8" s="102"/>
      <c r="R8"/>
    </row>
    <row r="9" spans="1:28" x14ac:dyDescent="0.25">
      <c r="A9" s="89" t="s">
        <v>30</v>
      </c>
      <c r="B9" s="115">
        <f t="shared" ref="B9:D9" si="1">SUM(B8:B8)</f>
        <v>-7688569.0502994601</v>
      </c>
      <c r="C9" s="115">
        <f t="shared" ref="C9" si="2">SUM(C8:C8)</f>
        <v>-43674970.651605494</v>
      </c>
      <c r="D9" s="115">
        <f t="shared" si="1"/>
        <v>-29488570.569763836</v>
      </c>
      <c r="E9" s="115">
        <f t="shared" ref="E9:I9" si="3">SUM(E8:E8)</f>
        <v>-335977.90567023703</v>
      </c>
      <c r="F9" s="115">
        <f t="shared" si="3"/>
        <v>16508073.079599619</v>
      </c>
      <c r="G9" s="115">
        <f t="shared" si="3"/>
        <v>-21500606.419505581</v>
      </c>
      <c r="H9" s="115">
        <f t="shared" si="3"/>
        <v>74793782.059039772</v>
      </c>
      <c r="I9" s="115">
        <f t="shared" si="3"/>
        <v>-44869101.567900084</v>
      </c>
      <c r="J9" s="115">
        <f t="shared" ref="J9:K9" si="4">SUM(J8:J8)</f>
        <v>4394677.0337621355</v>
      </c>
      <c r="K9" s="115">
        <f t="shared" si="4"/>
        <v>16344914.743105689</v>
      </c>
      <c r="L9" s="115">
        <f t="shared" ref="L9:M9" si="5">SUM(L8:L8)</f>
        <v>49052692.87684124</v>
      </c>
      <c r="M9" s="115">
        <f t="shared" si="5"/>
        <v>-5826662.2558389846</v>
      </c>
      <c r="N9" s="223">
        <f>SUM(B9:M9)</f>
        <v>7709681.3717647698</v>
      </c>
      <c r="O9" s="125">
        <f>N9/N32</f>
        <v>-0.30883496126666693</v>
      </c>
      <c r="R9"/>
    </row>
    <row r="10" spans="1:28" x14ac:dyDescent="0.25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224"/>
      <c r="O10" s="100"/>
      <c r="R10"/>
    </row>
    <row r="11" spans="1:28" x14ac:dyDescent="0.25">
      <c r="A11" s="96" t="s">
        <v>36</v>
      </c>
      <c r="B11" s="121">
        <f t="shared" ref="B11:D12" si="6">($E66*I$80+$F66*I$84)*B93</f>
        <v>-66529.265638794095</v>
      </c>
      <c r="C11" s="121">
        <f t="shared" si="6"/>
        <v>-377845.58341024385</v>
      </c>
      <c r="D11" s="121">
        <f t="shared" si="6"/>
        <v>-254838.15112484439</v>
      </c>
      <c r="E11" s="328">
        <f t="shared" ref="E11:K12" si="7">($B66*L$68+$C66*L$72+$D66*L$76)*E93</f>
        <v>3824.1568180555264</v>
      </c>
      <c r="F11" s="328">
        <f t="shared" si="7"/>
        <v>266556.40664334584</v>
      </c>
      <c r="G11" s="328">
        <f t="shared" si="7"/>
        <v>-322732.59546852548</v>
      </c>
      <c r="H11" s="91">
        <f t="shared" si="7"/>
        <v>1188359.1219696389</v>
      </c>
      <c r="I11" s="328">
        <f t="shared" si="7"/>
        <v>-715119.34814999613</v>
      </c>
      <c r="J11" s="328">
        <f t="shared" si="7"/>
        <v>80467.044781668403</v>
      </c>
      <c r="K11" s="328">
        <f t="shared" si="7"/>
        <v>224250.7633208856</v>
      </c>
      <c r="L11" s="328">
        <f>($B66*S$68+$C66*S$72+$D66*S$76+E$66*S$80+F$66*S$84)*L93</f>
        <v>655354.97494244564</v>
      </c>
      <c r="M11" s="121">
        <f>($E66*T$80+$F66*T$84)*M93</f>
        <v>-50046.506999522273</v>
      </c>
      <c r="N11" s="222">
        <f t="shared" ref="N11:N13" si="8">SUM(B11:M11)</f>
        <v>631701.0176841137</v>
      </c>
      <c r="O11" s="120"/>
      <c r="R11"/>
    </row>
    <row r="12" spans="1:28" s="87" customFormat="1" x14ac:dyDescent="0.25">
      <c r="A12" s="96" t="s">
        <v>154</v>
      </c>
      <c r="B12" s="121">
        <f t="shared" si="6"/>
        <v>-1419646.5188596623</v>
      </c>
      <c r="C12" s="121">
        <f t="shared" si="6"/>
        <v>-8084949.7450155271</v>
      </c>
      <c r="D12" s="121">
        <f t="shared" si="6"/>
        <v>-5453187.7339486936</v>
      </c>
      <c r="E12" s="121">
        <f t="shared" si="7"/>
        <v>120466.34346986478</v>
      </c>
      <c r="F12" s="121">
        <f t="shared" si="7"/>
        <v>1941056.098253397</v>
      </c>
      <c r="G12" s="121">
        <f t="shared" si="7"/>
        <v>-2105100.4484354556</v>
      </c>
      <c r="H12" s="121">
        <f t="shared" si="7"/>
        <v>8459647.4159800634</v>
      </c>
      <c r="I12" s="121">
        <f t="shared" si="7"/>
        <v>-5139178.4104977604</v>
      </c>
      <c r="J12" s="121">
        <f t="shared" si="7"/>
        <v>683581.60423525644</v>
      </c>
      <c r="K12" s="121">
        <f t="shared" si="7"/>
        <v>1241600.1903617291</v>
      </c>
      <c r="L12" s="329">
        <f>($B67*S$68+$C67*S$72+$D67*S$76+E$67*S$80+F$67*S$84)*L94</f>
        <v>1939433.9176735063</v>
      </c>
      <c r="M12" s="121">
        <f>($E67*T$80+$F67*T$84)*M94</f>
        <v>-1079386.7629036442</v>
      </c>
      <c r="N12" s="222">
        <f t="shared" si="8"/>
        <v>-8895664.0496869255</v>
      </c>
      <c r="O12" s="120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x14ac:dyDescent="0.25">
      <c r="A13" s="89" t="s">
        <v>31</v>
      </c>
      <c r="B13" s="115">
        <f t="shared" ref="B13:D13" si="9">SUM(B11:B12)</f>
        <v>-1486175.7844984564</v>
      </c>
      <c r="C13" s="115">
        <f t="shared" ref="C13" si="10">SUM(C11:C12)</f>
        <v>-8462795.3284257706</v>
      </c>
      <c r="D13" s="115">
        <f t="shared" si="9"/>
        <v>-5708025.8850735379</v>
      </c>
      <c r="E13" s="115">
        <f t="shared" ref="E13:I13" si="11">SUM(E11:E12)</f>
        <v>124290.50028792031</v>
      </c>
      <c r="F13" s="115">
        <f t="shared" si="11"/>
        <v>2207612.5048967428</v>
      </c>
      <c r="G13" s="115">
        <f t="shared" si="11"/>
        <v>-2427833.0439039809</v>
      </c>
      <c r="H13" s="115">
        <f t="shared" si="11"/>
        <v>9648006.5379497018</v>
      </c>
      <c r="I13" s="115">
        <f t="shared" si="11"/>
        <v>-5854297.7586477567</v>
      </c>
      <c r="J13" s="115">
        <f t="shared" ref="J13:K13" si="12">SUM(J11:J12)</f>
        <v>764048.6490169249</v>
      </c>
      <c r="K13" s="115">
        <f t="shared" si="12"/>
        <v>1465850.9536826147</v>
      </c>
      <c r="L13" s="115">
        <f t="shared" ref="L13:M13" si="13">SUM(L11:L12)</f>
        <v>2594788.8926159521</v>
      </c>
      <c r="M13" s="115">
        <f t="shared" si="13"/>
        <v>-1129433.2699031665</v>
      </c>
      <c r="N13" s="223">
        <f t="shared" si="8"/>
        <v>-8263963.0320028123</v>
      </c>
      <c r="O13" s="125">
        <f>N13/N32</f>
        <v>0.33103841518596366</v>
      </c>
      <c r="R13"/>
    </row>
    <row r="14" spans="1:28" x14ac:dyDescent="0.25">
      <c r="A14" s="9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222"/>
      <c r="O14" s="120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5">
      <c r="A15" s="96" t="s">
        <v>37</v>
      </c>
      <c r="B15" s="121">
        <f t="shared" ref="B15:D16" si="14">($E68*I$80+$F68*I$84)*B95</f>
        <v>-66720.951106380759</v>
      </c>
      <c r="C15" s="121">
        <f t="shared" si="14"/>
        <v>-378630.37321511051</v>
      </c>
      <c r="D15" s="121">
        <f t="shared" si="14"/>
        <v>-256948.41584222217</v>
      </c>
      <c r="E15" s="121">
        <f t="shared" ref="E15:K16" si="15">($B68*L$68+$C68*L$72+$D68*L$76)*E95</f>
        <v>6038.2659239990935</v>
      </c>
      <c r="F15" s="121">
        <f t="shared" si="15"/>
        <v>128053.89258936064</v>
      </c>
      <c r="G15" s="121">
        <f t="shared" si="15"/>
        <v>-142481.15587209817</v>
      </c>
      <c r="H15" s="121">
        <f t="shared" si="15"/>
        <v>554770.92922148865</v>
      </c>
      <c r="I15" s="121">
        <f t="shared" si="15"/>
        <v>-336698.07186827582</v>
      </c>
      <c r="J15" s="121">
        <f t="shared" si="15"/>
        <v>42140.82523346581</v>
      </c>
      <c r="K15" s="121">
        <f t="shared" si="15"/>
        <v>88600.247313815489</v>
      </c>
      <c r="L15" s="329">
        <f>($B68*S$68+$C68*S$72+$D68*S$76+E68*S80+F68*S84)*L95</f>
        <v>189413.71774468102</v>
      </c>
      <c r="M15" s="121">
        <f>($E68*T$80+$F68*T$84)*M95</f>
        <v>-49463.651770555611</v>
      </c>
      <c r="N15" s="222">
        <f t="shared" ref="N15:N17" si="16">SUM(B15:M15)</f>
        <v>-221924.74164783233</v>
      </c>
      <c r="O15" s="120"/>
      <c r="R15"/>
    </row>
    <row r="16" spans="1:28" s="87" customFormat="1" x14ac:dyDescent="0.25">
      <c r="A16" s="96" t="s">
        <v>155</v>
      </c>
      <c r="B16" s="121">
        <f t="shared" si="14"/>
        <v>-1252951.3721676776</v>
      </c>
      <c r="C16" s="121">
        <f t="shared" si="14"/>
        <v>-7119635.3651902387</v>
      </c>
      <c r="D16" s="121">
        <f t="shared" si="14"/>
        <v>-4803198.1379727488</v>
      </c>
      <c r="E16" s="121">
        <f t="shared" si="15"/>
        <v>160908.67656042444</v>
      </c>
      <c r="F16" s="121">
        <f t="shared" si="15"/>
        <v>1315976.9124885192</v>
      </c>
      <c r="G16" s="121">
        <f t="shared" si="15"/>
        <v>-1222963.9299577177</v>
      </c>
      <c r="H16" s="121">
        <f t="shared" si="15"/>
        <v>5645877.3378442619</v>
      </c>
      <c r="I16" s="121">
        <f t="shared" si="15"/>
        <v>-3503390.2481691209</v>
      </c>
      <c r="J16" s="121">
        <f t="shared" si="15"/>
        <v>568913.94951842469</v>
      </c>
      <c r="K16" s="121">
        <f t="shared" si="15"/>
        <v>535053.15833520528</v>
      </c>
      <c r="L16" s="329">
        <f>($B69*S$68+$C69*S$72+$D69*S$76+E69*S80+F69*S84)*L96</f>
        <v>-646999.07114145346</v>
      </c>
      <c r="M16" s="121">
        <f>($E69*T$80+$F69*T$84)*M96</f>
        <v>-996082.84852431342</v>
      </c>
      <c r="N16" s="222">
        <f t="shared" si="16"/>
        <v>-11318490.938376432</v>
      </c>
      <c r="O16" s="120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x14ac:dyDescent="0.25">
      <c r="A17" s="89" t="s">
        <v>32</v>
      </c>
      <c r="B17" s="115">
        <f t="shared" ref="B17:D17" si="17">SUM(B15:B16)</f>
        <v>-1319672.3232740583</v>
      </c>
      <c r="C17" s="115">
        <f t="shared" ref="C17" si="18">SUM(C15:C16)</f>
        <v>-7498265.7384053487</v>
      </c>
      <c r="D17" s="115">
        <f t="shared" si="17"/>
        <v>-5060146.5538149709</v>
      </c>
      <c r="E17" s="115">
        <f t="shared" ref="E17:I17" si="19">SUM(E15:E16)</f>
        <v>166946.94248442355</v>
      </c>
      <c r="F17" s="115">
        <f t="shared" si="19"/>
        <v>1444030.8050778799</v>
      </c>
      <c r="G17" s="115">
        <f t="shared" si="19"/>
        <v>-1365445.0858298158</v>
      </c>
      <c r="H17" s="115">
        <f t="shared" si="19"/>
        <v>6200648.2670657504</v>
      </c>
      <c r="I17" s="115">
        <f t="shared" si="19"/>
        <v>-3840088.3200373966</v>
      </c>
      <c r="J17" s="115">
        <f t="shared" ref="J17:K17" si="20">SUM(J15:J16)</f>
        <v>611054.77475189045</v>
      </c>
      <c r="K17" s="115">
        <f t="shared" si="20"/>
        <v>623653.4056490208</v>
      </c>
      <c r="L17" s="115">
        <f t="shared" ref="L17:M17" si="21">SUM(L15:L16)</f>
        <v>-457585.35339677241</v>
      </c>
      <c r="M17" s="115">
        <f t="shared" si="21"/>
        <v>-1045546.5002948691</v>
      </c>
      <c r="N17" s="223">
        <f t="shared" si="16"/>
        <v>-11540415.680024268</v>
      </c>
      <c r="O17" s="125">
        <f>N17/N32</f>
        <v>0.4622867869214809</v>
      </c>
      <c r="R17"/>
    </row>
    <row r="18" spans="1:28" x14ac:dyDescent="0.25">
      <c r="A18" s="9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222"/>
      <c r="O18" s="120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x14ac:dyDescent="0.25">
      <c r="A19" s="96" t="s">
        <v>38</v>
      </c>
      <c r="B19" s="121">
        <f t="shared" ref="B19:D20" si="22">($E70*I$80+$F70*I$84)*B97</f>
        <v>-10906.406620059761</v>
      </c>
      <c r="C19" s="121">
        <f t="shared" si="22"/>
        <v>-61892.055501499912</v>
      </c>
      <c r="D19" s="121">
        <f t="shared" si="22"/>
        <v>-41730.580293499988</v>
      </c>
      <c r="E19" s="329">
        <f t="shared" ref="E19:K20" si="23">($B70*L$68+$C70*L$72+$D70*L$76)*E97</f>
        <v>447.94494877324735</v>
      </c>
      <c r="F19" s="329">
        <f t="shared" si="23"/>
        <v>24539.502755656653</v>
      </c>
      <c r="G19" s="329">
        <f t="shared" si="23"/>
        <v>-29437.127672922692</v>
      </c>
      <c r="H19" s="121">
        <f t="shared" si="23"/>
        <v>109080.74449783332</v>
      </c>
      <c r="I19" s="329">
        <f t="shared" si="23"/>
        <v>-65714.965506666311</v>
      </c>
      <c r="J19" s="329">
        <f t="shared" si="23"/>
        <v>7492.443029500153</v>
      </c>
      <c r="K19" s="329">
        <f t="shared" si="23"/>
        <v>20196.219131110818</v>
      </c>
      <c r="L19" s="329">
        <f>($B70*S$68+$C70*S$72+$D70*S$76+E70*S80+F70*S84)*L97</f>
        <v>54334.711006694553</v>
      </c>
      <c r="M19" s="121">
        <f>($E70*T$80+$F70*T$84)*M97</f>
        <v>-7581.7913161250081</v>
      </c>
      <c r="N19" s="222">
        <f t="shared" ref="N19:N21" si="24">SUM(B19:M19)</f>
        <v>-1171.3615412049376</v>
      </c>
      <c r="O19" s="120"/>
      <c r="R19"/>
    </row>
    <row r="20" spans="1:28" s="87" customFormat="1" x14ac:dyDescent="0.25">
      <c r="A20" s="96" t="s">
        <v>156</v>
      </c>
      <c r="B20" s="121">
        <f t="shared" si="22"/>
        <v>-727932.40311911737</v>
      </c>
      <c r="C20" s="121">
        <f t="shared" si="22"/>
        <v>-4152080.1939337719</v>
      </c>
      <c r="D20" s="121">
        <f t="shared" si="22"/>
        <v>-2792389.1440867214</v>
      </c>
      <c r="E20" s="121">
        <f t="shared" si="23"/>
        <v>89518.695503036506</v>
      </c>
      <c r="F20" s="121">
        <f t="shared" si="23"/>
        <v>92835.115710704922</v>
      </c>
      <c r="G20" s="121">
        <f t="shared" si="23"/>
        <v>-196662.86566197299</v>
      </c>
      <c r="H20" s="121">
        <f t="shared" si="23"/>
        <v>570132.6215922517</v>
      </c>
      <c r="I20" s="121">
        <f t="shared" si="23"/>
        <v>-332945.5934311208</v>
      </c>
      <c r="J20" s="121">
        <f t="shared" si="23"/>
        <v>-28024.483714598609</v>
      </c>
      <c r="K20" s="121">
        <f t="shared" si="23"/>
        <v>100452.05770574996</v>
      </c>
      <c r="L20" s="329">
        <f>($B71*S$68+$C71*S$72+$D71*S$76+E71*S80+F71*S84)*L98</f>
        <v>-391717.83650772448</v>
      </c>
      <c r="M20" s="121">
        <f>($E71*T$80+$F71*T$84)*M98</f>
        <v>-592471.03902644501</v>
      </c>
      <c r="N20" s="222">
        <f t="shared" si="24"/>
        <v>-8361285.0689697294</v>
      </c>
      <c r="O20" s="120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x14ac:dyDescent="0.25">
      <c r="A21" s="89" t="s">
        <v>33</v>
      </c>
      <c r="B21" s="115">
        <f t="shared" ref="B21:D21" si="25">SUM(B19:B20)</f>
        <v>-738838.80973917712</v>
      </c>
      <c r="C21" s="115">
        <f t="shared" ref="C21" si="26">SUM(C19:C20)</f>
        <v>-4213972.2494352721</v>
      </c>
      <c r="D21" s="115">
        <f t="shared" si="25"/>
        <v>-2834119.7243802212</v>
      </c>
      <c r="E21" s="115">
        <f t="shared" ref="E21:I21" si="27">SUM(E19:E20)</f>
        <v>89966.640451809755</v>
      </c>
      <c r="F21" s="115">
        <f t="shared" si="27"/>
        <v>117374.61846636157</v>
      </c>
      <c r="G21" s="115">
        <f t="shared" si="27"/>
        <v>-226099.99333489567</v>
      </c>
      <c r="H21" s="115">
        <f t="shared" si="27"/>
        <v>679213.36609008501</v>
      </c>
      <c r="I21" s="115">
        <f t="shared" si="27"/>
        <v>-398660.55893778708</v>
      </c>
      <c r="J21" s="115">
        <f t="shared" ref="J21:K21" si="28">SUM(J19:J20)</f>
        <v>-20532.040685098458</v>
      </c>
      <c r="K21" s="115">
        <f t="shared" si="28"/>
        <v>120648.27683686078</v>
      </c>
      <c r="L21" s="115">
        <f t="shared" ref="L21:M21" si="29">SUM(L19:L20)</f>
        <v>-337383.12550102995</v>
      </c>
      <c r="M21" s="115">
        <f t="shared" si="29"/>
        <v>-600052.83034256997</v>
      </c>
      <c r="N21" s="223">
        <f t="shared" si="24"/>
        <v>-8362456.4305109354</v>
      </c>
      <c r="O21" s="125">
        <f>N21/N32</f>
        <v>0.33498387070435637</v>
      </c>
      <c r="R21"/>
    </row>
    <row r="22" spans="1:28" x14ac:dyDescent="0.25">
      <c r="A22" s="9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222"/>
      <c r="O22" s="120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x14ac:dyDescent="0.25">
      <c r="A23" s="96" t="s">
        <v>39</v>
      </c>
      <c r="B23" s="329">
        <f t="shared" ref="B23:D24" si="30">($E72*I$80+$F72*I$84)*B99</f>
        <v>-17902.002118404052</v>
      </c>
      <c r="C23" s="329">
        <f t="shared" si="30"/>
        <v>-101590.90407122206</v>
      </c>
      <c r="D23" s="329">
        <f t="shared" si="30"/>
        <v>-68497.440343222203</v>
      </c>
      <c r="E23" s="121">
        <f t="shared" ref="E23:K24" si="31">($B72*L$68+$C72*L$72+$D72*L$76)*E99</f>
        <v>465.12386035718635</v>
      </c>
      <c r="F23" s="121">
        <f t="shared" si="31"/>
        <v>32601.864403117215</v>
      </c>
      <c r="G23" s="121">
        <f t="shared" si="31"/>
        <v>-39448.991035017796</v>
      </c>
      <c r="H23" s="121">
        <f t="shared" si="31"/>
        <v>145170.8904656111</v>
      </c>
      <c r="I23" s="121">
        <f t="shared" si="31"/>
        <v>-87408.142161527299</v>
      </c>
      <c r="J23" s="121">
        <f t="shared" si="31"/>
        <v>9818.756082236323</v>
      </c>
      <c r="K23" s="121">
        <f t="shared" si="31"/>
        <v>27377.917784388486</v>
      </c>
      <c r="L23" s="329">
        <f>($B72*S$68+$C72*S$72+$D72*S$76+E72*S80+F72*S84)*L99</f>
        <v>70571.446410472374</v>
      </c>
      <c r="M23" s="329">
        <f>($E72*T$80+$F72*T$84)*M99</f>
        <v>-13402.210314277792</v>
      </c>
      <c r="N23" s="222">
        <f t="shared" ref="N23:N25" si="32">SUM(B23:M23)</f>
        <v>-42243.691037488519</v>
      </c>
      <c r="O23" s="120"/>
      <c r="R23"/>
    </row>
    <row r="24" spans="1:28" s="87" customFormat="1" x14ac:dyDescent="0.25">
      <c r="A24" s="96" t="s">
        <v>6</v>
      </c>
      <c r="B24" s="329">
        <f t="shared" si="30"/>
        <v>-250830.28818418895</v>
      </c>
      <c r="C24" s="329">
        <f t="shared" si="30"/>
        <v>-1429516.4597340256</v>
      </c>
      <c r="D24" s="329">
        <f t="shared" si="30"/>
        <v>-961793.16902499984</v>
      </c>
      <c r="E24" s="121">
        <f t="shared" si="31"/>
        <v>85835.126571861052</v>
      </c>
      <c r="F24" s="121">
        <f t="shared" si="31"/>
        <v>88297.611991012018</v>
      </c>
      <c r="G24" s="121">
        <f t="shared" si="31"/>
        <v>-187451.10758399806</v>
      </c>
      <c r="H24" s="121">
        <f t="shared" si="31"/>
        <v>542520.52004266833</v>
      </c>
      <c r="I24" s="121">
        <f t="shared" si="31"/>
        <v>-317479.01348266267</v>
      </c>
      <c r="J24" s="121">
        <f t="shared" si="31"/>
        <v>-26745.791487998671</v>
      </c>
      <c r="K24" s="121">
        <f t="shared" si="31"/>
        <v>95790.872959999979</v>
      </c>
      <c r="L24" s="329">
        <f>($B73*S$68+$C73*S$72+$D73*S$76+E73*S80+F73*S84)*L100</f>
        <v>73630.378693861305</v>
      </c>
      <c r="M24" s="329">
        <f>($E73*T$80+$F73*T$84)*M100</f>
        <v>-188988.67453819467</v>
      </c>
      <c r="N24" s="222">
        <f t="shared" si="32"/>
        <v>-2476729.993776666</v>
      </c>
      <c r="O24" s="120"/>
    </row>
    <row r="25" spans="1:28" x14ac:dyDescent="0.25">
      <c r="A25" s="89" t="s">
        <v>34</v>
      </c>
      <c r="B25" s="115">
        <f t="shared" ref="B25:D25" si="33">SUM(B23:B24)</f>
        <v>-268732.29030259303</v>
      </c>
      <c r="C25" s="115">
        <f t="shared" ref="C25" si="34">SUM(C23:C24)</f>
        <v>-1531107.3638052477</v>
      </c>
      <c r="D25" s="115">
        <f t="shared" si="33"/>
        <v>-1030290.6093682221</v>
      </c>
      <c r="E25" s="115">
        <f t="shared" ref="E25:I25" si="35">SUM(E23:E24)</f>
        <v>86300.250432218236</v>
      </c>
      <c r="F25" s="115">
        <f t="shared" si="35"/>
        <v>120899.47639412923</v>
      </c>
      <c r="G25" s="115">
        <f t="shared" si="35"/>
        <v>-226900.09861901586</v>
      </c>
      <c r="H25" s="115">
        <f t="shared" si="35"/>
        <v>687691.41050827946</v>
      </c>
      <c r="I25" s="115">
        <f t="shared" si="35"/>
        <v>-404887.15564418997</v>
      </c>
      <c r="J25" s="115">
        <f t="shared" ref="J25:K25" si="36">SUM(J23:J24)</f>
        <v>-16927.035405762348</v>
      </c>
      <c r="K25" s="115">
        <f t="shared" si="36"/>
        <v>123168.79074438846</v>
      </c>
      <c r="L25" s="115">
        <f t="shared" ref="L25:M25" si="37">SUM(L23:L24)</f>
        <v>144201.82510433369</v>
      </c>
      <c r="M25" s="115">
        <f t="shared" si="37"/>
        <v>-202390.88485247246</v>
      </c>
      <c r="N25" s="223">
        <f t="shared" si="32"/>
        <v>-2518973.6848141542</v>
      </c>
      <c r="O25" s="125">
        <f>N25/N32</f>
        <v>0.10090522589304596</v>
      </c>
      <c r="R25"/>
    </row>
    <row r="26" spans="1:28" x14ac:dyDescent="0.2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222"/>
      <c r="O26" s="120"/>
      <c r="R26"/>
    </row>
    <row r="27" spans="1:28" x14ac:dyDescent="0.25">
      <c r="A27" s="96" t="s">
        <v>5</v>
      </c>
      <c r="B27" s="329">
        <f t="shared" ref="B27:D30" si="38">($E74*I$80+$F74*I$84)*B101</f>
        <v>-54871.897973644467</v>
      </c>
      <c r="C27" s="329">
        <f t="shared" si="38"/>
        <v>-319792.25462945789</v>
      </c>
      <c r="D27" s="329">
        <f t="shared" si="38"/>
        <v>-214989.66883314162</v>
      </c>
      <c r="E27" s="121">
        <f t="shared" ref="E27:K30" si="39">($B74*L$68+$C74*L$72+$D74*L$76)*E101</f>
        <v>0</v>
      </c>
      <c r="F27" s="121">
        <f t="shared" si="39"/>
        <v>0</v>
      </c>
      <c r="G27" s="121">
        <f t="shared" si="39"/>
        <v>0</v>
      </c>
      <c r="H27" s="121">
        <f t="shared" si="39"/>
        <v>0</v>
      </c>
      <c r="I27" s="121">
        <f t="shared" si="39"/>
        <v>0</v>
      </c>
      <c r="J27" s="121">
        <f t="shared" si="39"/>
        <v>0</v>
      </c>
      <c r="K27" s="121">
        <f t="shared" si="39"/>
        <v>0</v>
      </c>
      <c r="L27" s="329">
        <f>($B74*S$68+$C74*S$72+$D74*S$76+E74*S80+F74*S84)*L101</f>
        <v>-49849.771545758304</v>
      </c>
      <c r="M27" s="329">
        <f>($E74*T$80+$F74*T$84)*M101</f>
        <v>-40956.290840645881</v>
      </c>
      <c r="N27" s="222">
        <f t="shared" ref="N27:N30" si="40">SUM(B27:M27)</f>
        <v>-680459.88382264832</v>
      </c>
      <c r="O27" s="120">
        <f>N27/$N$32</f>
        <v>2.7257910117209464E-2</v>
      </c>
      <c r="R27"/>
    </row>
    <row r="28" spans="1:28" x14ac:dyDescent="0.25">
      <c r="A28" s="96" t="s">
        <v>24</v>
      </c>
      <c r="B28" s="329">
        <f t="shared" si="38"/>
        <v>-218321.50562206743</v>
      </c>
      <c r="C28" s="329">
        <f t="shared" si="38"/>
        <v>-1238938.4711073593</v>
      </c>
      <c r="D28" s="329">
        <f t="shared" si="38"/>
        <v>-835351.49912736099</v>
      </c>
      <c r="E28" s="121">
        <f t="shared" si="39"/>
        <v>57644.117308777808</v>
      </c>
      <c r="F28" s="121">
        <f t="shared" si="39"/>
        <v>59097.201876743638</v>
      </c>
      <c r="G28" s="121">
        <f t="shared" si="39"/>
        <v>-125192.1213724987</v>
      </c>
      <c r="H28" s="121">
        <f t="shared" si="39"/>
        <v>361558.15991750103</v>
      </c>
      <c r="I28" s="121">
        <f t="shared" si="39"/>
        <v>-209218.26665599737</v>
      </c>
      <c r="J28" s="121">
        <f t="shared" si="39"/>
        <v>-17587.781418665792</v>
      </c>
      <c r="K28" s="121">
        <f t="shared" si="39"/>
        <v>62723.131295999978</v>
      </c>
      <c r="L28" s="329">
        <f>($B75*S$68+$C75*S$72+$D75*S$76+E75*S80+F75*S84)*L102</f>
        <v>2050.1309297779226</v>
      </c>
      <c r="M28" s="329">
        <f>($E75*T$80+$F75*T$84)*M102</f>
        <v>-159701.87547555572</v>
      </c>
      <c r="N28" s="222">
        <f t="shared" si="40"/>
        <v>-2261238.7794507048</v>
      </c>
      <c r="O28" s="120">
        <f>N28/$N$32</f>
        <v>9.0580862838756881E-2</v>
      </c>
      <c r="R28"/>
    </row>
    <row r="29" spans="1:28" s="98" customFormat="1" x14ac:dyDescent="0.25">
      <c r="A29" s="97" t="s">
        <v>8</v>
      </c>
      <c r="B29" s="329">
        <f t="shared" si="38"/>
        <v>-49292.362677785582</v>
      </c>
      <c r="C29" s="329">
        <f t="shared" si="38"/>
        <v>-279726.01361133292</v>
      </c>
      <c r="D29" s="329">
        <f t="shared" si="38"/>
        <v>-187410.94013966664</v>
      </c>
      <c r="E29" s="122">
        <f t="shared" si="39"/>
        <v>16253.518262763675</v>
      </c>
      <c r="F29" s="122">
        <f t="shared" si="39"/>
        <v>326267.57682132098</v>
      </c>
      <c r="G29" s="122">
        <f t="shared" si="39"/>
        <v>-364417.88463332993</v>
      </c>
      <c r="H29" s="122">
        <f t="shared" si="39"/>
        <v>1430325.4399795551</v>
      </c>
      <c r="I29" s="122">
        <f t="shared" si="39"/>
        <v>-860065.66908166162</v>
      </c>
      <c r="J29" s="122">
        <f t="shared" si="39"/>
        <v>109632.22081716802</v>
      </c>
      <c r="K29" s="122">
        <f t="shared" si="39"/>
        <v>222373.77016638598</v>
      </c>
      <c r="L29" s="361">
        <f>($B76*S$68+$C76*S$72+$D76*S$76+E76*S80+F76*S84)*L103</f>
        <v>585897.70629708446</v>
      </c>
      <c r="M29" s="329">
        <f>($E76*T$80+$F76*T$84)*M103</f>
        <v>-36201.708834166704</v>
      </c>
      <c r="N29" s="225">
        <f t="shared" si="40"/>
        <v>913635.65336633485</v>
      </c>
      <c r="O29" s="120">
        <f>N29/$N$32</f>
        <v>-3.6598481573130184E-2</v>
      </c>
    </row>
    <row r="30" spans="1:28" x14ac:dyDescent="0.25">
      <c r="A30" s="226" t="s">
        <v>59</v>
      </c>
      <c r="B30" s="329">
        <f t="shared" si="38"/>
        <v>-980.64523047553405</v>
      </c>
      <c r="C30" s="329">
        <f t="shared" si="38"/>
        <v>-5564.9996507777696</v>
      </c>
      <c r="D30" s="329">
        <f t="shared" si="38"/>
        <v>-3752.1885947777769</v>
      </c>
      <c r="E30" s="121">
        <f t="shared" si="39"/>
        <v>-395.29719294037744</v>
      </c>
      <c r="F30" s="121">
        <f t="shared" si="39"/>
        <v>7704.1319240123885</v>
      </c>
      <c r="G30" s="121">
        <f t="shared" si="39"/>
        <v>-10645.152600796413</v>
      </c>
      <c r="H30" s="121">
        <f t="shared" si="39"/>
        <v>35284.957470111127</v>
      </c>
      <c r="I30" s="121">
        <f t="shared" si="39"/>
        <v>-21054.796599444351</v>
      </c>
      <c r="J30" s="121">
        <f t="shared" si="39"/>
        <v>1794.4209459445283</v>
      </c>
      <c r="K30" s="121">
        <f t="shared" si="39"/>
        <v>8592.8737011109679</v>
      </c>
      <c r="L30" s="329">
        <f>($B77*S$68+$C77*S$72+$D77*S$76+E77*S80+F77*S84)*L104</f>
        <v>30182.871765666721</v>
      </c>
      <c r="M30" s="329">
        <f>($E77*T$80+$F77*T$84)*M104</f>
        <v>-734.15328272222303</v>
      </c>
      <c r="N30" s="222">
        <f t="shared" si="40"/>
        <v>40432.022654911285</v>
      </c>
      <c r="O30" s="120">
        <f>N30/$N$32</f>
        <v>-1.6196288210162768E-3</v>
      </c>
      <c r="R30"/>
    </row>
    <row r="31" spans="1:28" x14ac:dyDescent="0.25">
      <c r="A31" s="9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224"/>
      <c r="O31" s="120"/>
      <c r="R31"/>
    </row>
    <row r="32" spans="1:28" s="90" customFormat="1" x14ac:dyDescent="0.25">
      <c r="A32" s="95" t="s">
        <v>21</v>
      </c>
      <c r="B32" s="161">
        <f t="shared" ref="B32:O32" si="41">SUM(B9,B13,B17,B21,B25,B27:B30)</f>
        <v>-11825454.669617718</v>
      </c>
      <c r="C32" s="161">
        <f t="shared" si="41"/>
        <v>-67225133.070676059</v>
      </c>
      <c r="D32" s="161">
        <f t="shared" si="41"/>
        <v>-45362657.639095739</v>
      </c>
      <c r="E32" s="161">
        <f t="shared" si="41"/>
        <v>205028.76636473593</v>
      </c>
      <c r="F32" s="161">
        <f t="shared" si="41"/>
        <v>20791059.395056807</v>
      </c>
      <c r="G32" s="161">
        <f t="shared" si="41"/>
        <v>-26247139.799799912</v>
      </c>
      <c r="H32" s="161">
        <f t="shared" si="41"/>
        <v>93836510.198020741</v>
      </c>
      <c r="I32" s="161">
        <f t="shared" si="41"/>
        <v>-56457374.093504317</v>
      </c>
      <c r="J32" s="161">
        <f t="shared" si="41"/>
        <v>5826160.2417845363</v>
      </c>
      <c r="K32" s="161">
        <f t="shared" ref="K32:M32" si="42">SUM(K9,K13,K17,K21,K25,K27:K30)</f>
        <v>18971925.94518207</v>
      </c>
      <c r="L32" s="161">
        <f t="shared" si="42"/>
        <v>51564996.053110488</v>
      </c>
      <c r="M32" s="161">
        <f t="shared" si="42"/>
        <v>-9041679.7696651537</v>
      </c>
      <c r="N32" s="227">
        <f t="shared" si="41"/>
        <v>-24963758.442839511</v>
      </c>
      <c r="O32" s="163">
        <f t="shared" si="41"/>
        <v>0.99999999999999989</v>
      </c>
    </row>
    <row r="33" spans="1:18" s="90" customFormat="1" x14ac:dyDescent="0.25">
      <c r="A33" s="95" t="s">
        <v>84</v>
      </c>
      <c r="B33" s="162">
        <f>IF('Actual Total Usage'!B32=0,0,B32/'Actual Total Usage'!B32)</f>
        <v>-8.2622624696873145E-3</v>
      </c>
      <c r="C33" s="162">
        <f>IF('Actual Total Usage'!C32=0,0,C32/'Actual Total Usage'!C32)</f>
        <v>-4.4828637010784565E-2</v>
      </c>
      <c r="D33" s="162">
        <f>IF('Actual Total Usage'!D32=0,0,D32/'Actual Total Usage'!D32)</f>
        <v>-3.0454705244112576E-2</v>
      </c>
      <c r="E33" s="162">
        <f>IF('Actual Total Usage'!E32=0,0,E32/'Actual Total Usage'!E32)</f>
        <v>1.3682404012096592E-4</v>
      </c>
      <c r="F33" s="162">
        <f>IF('Actual Total Usage'!F32=0,0,F32/'Actual Total Usage'!F32)</f>
        <v>1.2297004734868765E-2</v>
      </c>
      <c r="G33" s="162">
        <f>IF('Actual Total Usage'!G32=0,0,G32/'Actual Total Usage'!G32)</f>
        <v>-1.3509998932372574E-2</v>
      </c>
      <c r="H33" s="162">
        <f>IF('Actual Total Usage'!H32=0,0,H32/'Actual Total Usage'!H32)</f>
        <v>4.4303508724958265E-2</v>
      </c>
      <c r="I33" s="162">
        <f>IF('Actual Total Usage'!I32=0,0,I32/'Actual Total Usage'!I32)</f>
        <v>-2.8700871594628429E-2</v>
      </c>
      <c r="J33" s="162">
        <f>IF('Actual Total Usage'!J32=0,0,J32/'Actual Total Usage'!J32)</f>
        <v>2.9971270496128325E-3</v>
      </c>
      <c r="K33" s="162">
        <f>IF('Actual Total Usage'!K32=0,0,K32/'Actual Total Usage'!K32)</f>
        <v>1.1163694392083746E-2</v>
      </c>
      <c r="L33" s="162">
        <f>IF('Actual Total Usage'!L32=0,0,L32/'Actual Total Usage'!L32)</f>
        <v>3.4570235811225779E-2</v>
      </c>
      <c r="M33" s="162">
        <f>IF('Actual Total Usage'!M32=0,0,M32/'Actual Total Usage'!M32)</f>
        <v>-6.4368454844058228E-3</v>
      </c>
      <c r="N33" s="162">
        <f>N32/'Actual Total Usage'!N32</f>
        <v>-1.2372290113279987E-3</v>
      </c>
      <c r="O33" s="164"/>
    </row>
    <row r="34" spans="1:18" x14ac:dyDescent="0.25"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29"/>
      <c r="R34" s="120"/>
    </row>
    <row r="35" spans="1:18" x14ac:dyDescent="0.25">
      <c r="A35" s="66" t="s">
        <v>45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29"/>
      <c r="R35" s="120"/>
    </row>
    <row r="36" spans="1:18" x14ac:dyDescent="0.25">
      <c r="A36" t="s">
        <v>44</v>
      </c>
      <c r="B36" s="121">
        <f t="array" ref="B36:N36">TRANSPOSE('Summary Sheet'!F12:F24)</f>
        <v>-9219106.7768805642</v>
      </c>
      <c r="C36" s="121">
        <v>-52210434.437473401</v>
      </c>
      <c r="D36" s="121">
        <v>-14954023.956459759</v>
      </c>
      <c r="E36" s="121">
        <v>-1132839.247447727</v>
      </c>
      <c r="F36" s="121">
        <v>20354591.291598782</v>
      </c>
      <c r="G36" s="121">
        <v>-23586418.125352629</v>
      </c>
      <c r="H36" s="121">
        <v>83905327.63374868</v>
      </c>
      <c r="I36" s="121">
        <v>-52866388.744541407</v>
      </c>
      <c r="J36" s="121">
        <v>5684788.8911022069</v>
      </c>
      <c r="K36" s="121">
        <v>10522398.951545874</v>
      </c>
      <c r="L36" s="121">
        <v>17148010.417034343</v>
      </c>
      <c r="M36" s="121">
        <v>-5572755.3521982115</v>
      </c>
      <c r="N36" s="121">
        <v>-21926849.455323808</v>
      </c>
      <c r="O36" s="121"/>
      <c r="P36" s="121"/>
      <c r="Q36" s="224"/>
      <c r="R36" s="120"/>
    </row>
    <row r="37" spans="1:18" x14ac:dyDescent="0.25">
      <c r="A37" t="s">
        <v>84</v>
      </c>
      <c r="B37" s="160">
        <f>IF('Actual Total Usage'!B32=0,0,B36/'Actual Total Usage'!B32)</f>
        <v>-6.4412474661426815E-3</v>
      </c>
      <c r="C37" s="160">
        <f>IF('Actual Total Usage'!C32=0,0,C36/'Actual Total Usage'!C32)</f>
        <v>-3.4816184166005154E-2</v>
      </c>
      <c r="D37" s="160">
        <f>IF('Actual Total Usage'!D32=0,0,D36/'Actual Total Usage'!D32)</f>
        <v>-1.0039543878374461E-2</v>
      </c>
      <c r="E37" s="160">
        <f>IF('Actual Total Usage'!E32=0,0,E36/'Actual Total Usage'!E32)</f>
        <v>-7.5598973447294718E-4</v>
      </c>
      <c r="F37" s="160">
        <f>IF('Actual Total Usage'!F32=0,0,F36/'Actual Total Usage'!F32)</f>
        <v>1.2038852890229303E-2</v>
      </c>
      <c r="G37" s="160">
        <f>IF('Actual Total Usage'!G32=0,0,G36/'Actual Total Usage'!G32)</f>
        <v>-1.2140465061051578E-2</v>
      </c>
      <c r="H37" s="160">
        <f>IF('Actual Total Usage'!H32=0,0,H36/'Actual Total Usage'!H32)</f>
        <v>3.9614649000135921E-2</v>
      </c>
      <c r="I37" s="160">
        <f>IF('Actual Total Usage'!I32=0,0,I36/'Actual Total Usage'!I32)</f>
        <v>-2.6875345504306165E-2</v>
      </c>
      <c r="J37" s="160">
        <f>IF('Actual Total Usage'!J32=0,0,J36/'Actual Total Usage'!J32)</f>
        <v>2.9244019817145062E-3</v>
      </c>
      <c r="K37" s="160">
        <f>IF('Actual Total Usage'!K32=0,0,K36/'Actual Total Usage'!K32)</f>
        <v>6.1917196233032858E-3</v>
      </c>
      <c r="L37" s="160">
        <f>IF('Actual Total Usage'!L32=0,0,L36/'Actual Total Usage'!L32)</f>
        <v>1.1496379505190982E-2</v>
      </c>
      <c r="M37" s="160">
        <f>IF('Actual Total Usage'!M32=0,0,M36/'Actual Total Usage'!M32)</f>
        <v>-3.9672899326563815E-3</v>
      </c>
      <c r="N37" s="160">
        <f>IF('Actual Total Usage'!K32=0,0,N36/'Actual Total Usage'!K32)</f>
        <v>-1.2902466887534216E-2</v>
      </c>
      <c r="O37" s="160"/>
      <c r="P37" s="160"/>
      <c r="Q37" s="160"/>
      <c r="R37" s="120"/>
    </row>
    <row r="38" spans="1:18" x14ac:dyDescent="0.25"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29"/>
      <c r="R38" s="120"/>
    </row>
    <row r="39" spans="1:18" x14ac:dyDescent="0.25">
      <c r="A39" s="66" t="s">
        <v>52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29"/>
      <c r="R39" s="120"/>
    </row>
    <row r="40" spans="1:18" x14ac:dyDescent="0.25">
      <c r="A40" t="s">
        <v>48</v>
      </c>
      <c r="B40" s="124">
        <f t="shared" ref="B40:D40" si="43">B36-B32</f>
        <v>2606347.8927371539</v>
      </c>
      <c r="C40" s="124">
        <f t="shared" si="43"/>
        <v>15014698.633202657</v>
      </c>
      <c r="D40" s="124">
        <f t="shared" si="43"/>
        <v>30408633.682635978</v>
      </c>
      <c r="E40" s="124">
        <f>E36-E32</f>
        <v>-1337868.013812463</v>
      </c>
      <c r="F40" s="124">
        <f t="shared" ref="F40:N40" si="44">F36-F32</f>
        <v>-436468.10345802456</v>
      </c>
      <c r="G40" s="124">
        <f t="shared" si="44"/>
        <v>2660721.6744472831</v>
      </c>
      <c r="H40" s="124">
        <f t="shared" si="44"/>
        <v>-9931182.564272061</v>
      </c>
      <c r="I40" s="124">
        <f t="shared" si="44"/>
        <v>3590985.3489629105</v>
      </c>
      <c r="J40" s="124">
        <f t="shared" si="44"/>
        <v>-141371.35068232939</v>
      </c>
      <c r="K40" s="124">
        <f t="shared" si="44"/>
        <v>-8449526.9936361965</v>
      </c>
      <c r="L40" s="124">
        <f t="shared" si="44"/>
        <v>-34416985.636076145</v>
      </c>
      <c r="M40" s="124">
        <f t="shared" si="44"/>
        <v>3468924.4174669422</v>
      </c>
      <c r="N40" s="124">
        <f t="shared" si="44"/>
        <v>3036908.9875157028</v>
      </c>
      <c r="O40" s="124"/>
      <c r="P40" s="124"/>
      <c r="Q40" s="228"/>
      <c r="R40" s="120"/>
    </row>
    <row r="41" spans="1:18" x14ac:dyDescent="0.25">
      <c r="Q41" s="29"/>
    </row>
    <row r="43" spans="1:18" x14ac:dyDescent="0.25">
      <c r="A43" s="66" t="s">
        <v>47</v>
      </c>
      <c r="R43" s="103"/>
    </row>
    <row r="44" spans="1:18" x14ac:dyDescent="0.25">
      <c r="A44" s="66" t="s">
        <v>26</v>
      </c>
      <c r="B44" s="62">
        <f t="shared" ref="B44:M44" si="45">B7</f>
        <v>42917</v>
      </c>
      <c r="C44" s="62">
        <f t="shared" si="45"/>
        <v>42948</v>
      </c>
      <c r="D44" s="62">
        <f t="shared" si="45"/>
        <v>42979</v>
      </c>
      <c r="E44" s="62">
        <f t="shared" si="45"/>
        <v>43009</v>
      </c>
      <c r="F44" s="62">
        <f t="shared" si="45"/>
        <v>43040</v>
      </c>
      <c r="G44" s="62">
        <f t="shared" si="45"/>
        <v>43070</v>
      </c>
      <c r="H44" s="62">
        <f t="shared" si="45"/>
        <v>43101</v>
      </c>
      <c r="I44" s="62">
        <f t="shared" si="45"/>
        <v>43132</v>
      </c>
      <c r="J44" s="62">
        <f t="shared" si="45"/>
        <v>43160</v>
      </c>
      <c r="K44" s="62">
        <f t="shared" si="45"/>
        <v>43191</v>
      </c>
      <c r="L44" s="62">
        <f t="shared" si="45"/>
        <v>43221</v>
      </c>
      <c r="M44" s="62">
        <f t="shared" si="45"/>
        <v>43252</v>
      </c>
      <c r="N44" s="85" t="s">
        <v>20</v>
      </c>
      <c r="O44" s="103" t="s">
        <v>51</v>
      </c>
      <c r="R44"/>
    </row>
    <row r="45" spans="1:18" x14ac:dyDescent="0.25">
      <c r="A45" s="89" t="s">
        <v>54</v>
      </c>
      <c r="B45" s="4">
        <f>IF(B$32=0,0,B9+B$40*(B9/B$32))</f>
        <v>-5993996.9342778185</v>
      </c>
      <c r="C45" s="4">
        <f t="shared" ref="C45:M45" si="46">IF(C$32=0,0,C9+C$40*(C9/C$32))</f>
        <v>-33920188.590283319</v>
      </c>
      <c r="D45" s="4">
        <f t="shared" si="46"/>
        <v>-9721052.815079134</v>
      </c>
      <c r="E45" s="4">
        <f t="shared" si="46"/>
        <v>1856368.5699666671</v>
      </c>
      <c r="F45" s="4">
        <f t="shared" si="46"/>
        <v>16161517.994940855</v>
      </c>
      <c r="G45" s="4">
        <f t="shared" si="46"/>
        <v>-19321049.715404246</v>
      </c>
      <c r="H45" s="4">
        <f t="shared" si="46"/>
        <v>66877985.715663314</v>
      </c>
      <c r="I45" s="4">
        <f t="shared" si="46"/>
        <v>-42015191.180842318</v>
      </c>
      <c r="J45" s="4">
        <f t="shared" si="46"/>
        <v>4288040.5180652607</v>
      </c>
      <c r="K45" s="4">
        <f t="shared" si="46"/>
        <v>9065379.7749847509</v>
      </c>
      <c r="L45" s="4">
        <f t="shared" si="46"/>
        <v>16312540.537563369</v>
      </c>
      <c r="M45" s="4">
        <f t="shared" si="46"/>
        <v>-3591209.1667542555</v>
      </c>
      <c r="N45" s="4">
        <f>SUM(B45:M45)</f>
        <v>-855.29145687678829</v>
      </c>
      <c r="O45" s="196">
        <f t="shared" ref="O45:O57" si="47">N45/N$59</f>
        <v>3.9006582255214291E-5</v>
      </c>
      <c r="R45"/>
    </row>
    <row r="46" spans="1:18" x14ac:dyDescent="0.25">
      <c r="A46" s="89" t="s">
        <v>36</v>
      </c>
      <c r="B46" s="4">
        <f>IF(B$32=0,0,B11+B$40*(B11/B$32))</f>
        <v>-51866.116005442469</v>
      </c>
      <c r="C46" s="4">
        <f t="shared" ref="C46:M46" si="48">IF(C$32=0,0,C11+C$40*(C11/C$32))</f>
        <v>-293453.96816677559</v>
      </c>
      <c r="D46" s="4">
        <f t="shared" si="48"/>
        <v>-84008.654150290706</v>
      </c>
      <c r="E46" s="4">
        <f t="shared" si="48"/>
        <v>-21129.498112384044</v>
      </c>
      <c r="F46" s="4">
        <f t="shared" si="48"/>
        <v>260960.57013201018</v>
      </c>
      <c r="G46" s="4">
        <f t="shared" si="48"/>
        <v>-290016.58837733458</v>
      </c>
      <c r="H46" s="4">
        <f t="shared" si="48"/>
        <v>1062589.1911901003</v>
      </c>
      <c r="I46" s="4">
        <f t="shared" si="48"/>
        <v>-669634.00379598024</v>
      </c>
      <c r="J46" s="4">
        <f t="shared" si="48"/>
        <v>78514.517845554539</v>
      </c>
      <c r="K46" s="4">
        <f t="shared" si="48"/>
        <v>124376.19689582882</v>
      </c>
      <c r="L46" s="4">
        <f t="shared" si="48"/>
        <v>217939.19901774998</v>
      </c>
      <c r="M46" s="4">
        <f t="shared" si="48"/>
        <v>-30845.699786461424</v>
      </c>
      <c r="N46" s="4">
        <f t="shared" ref="N46:N57" si="49">SUM(B46:M46)</f>
        <v>303425.14668657468</v>
      </c>
      <c r="O46" s="196">
        <f t="shared" si="47"/>
        <v>-1.3838064027611757E-2</v>
      </c>
      <c r="R46"/>
    </row>
    <row r="47" spans="1:18" x14ac:dyDescent="0.25">
      <c r="A47" s="89" t="s">
        <v>162</v>
      </c>
      <c r="B47" s="4">
        <f>IF(B$32=0,0,B12+B$40*(B12/B$32))</f>
        <v>-1106754.3031913806</v>
      </c>
      <c r="C47" s="4">
        <f t="shared" ref="C47:M47" si="50">IF(C$32=0,0,C12+C$40*(C12/C$32))</f>
        <v>-6279180.4093360845</v>
      </c>
      <c r="D47" s="4">
        <f t="shared" si="50"/>
        <v>-1797670.2480998384</v>
      </c>
      <c r="E47" s="4">
        <f t="shared" si="50"/>
        <v>-665609.04744658852</v>
      </c>
      <c r="F47" s="4">
        <f t="shared" si="50"/>
        <v>1900307.3774781718</v>
      </c>
      <c r="G47" s="4">
        <f t="shared" si="50"/>
        <v>-1891702.4769702519</v>
      </c>
      <c r="H47" s="4">
        <f t="shared" si="50"/>
        <v>7564321.0367255788</v>
      </c>
      <c r="I47" s="4">
        <f t="shared" si="50"/>
        <v>-4812299.6869630916</v>
      </c>
      <c r="J47" s="4">
        <f t="shared" si="50"/>
        <v>666994.54677685536</v>
      </c>
      <c r="K47" s="4">
        <f t="shared" si="50"/>
        <v>688628.69162838906</v>
      </c>
      <c r="L47" s="4">
        <f t="shared" si="50"/>
        <v>644961.41896647867</v>
      </c>
      <c r="M47" s="4">
        <f t="shared" si="50"/>
        <v>-665270.00660253956</v>
      </c>
      <c r="N47" s="4">
        <f t="shared" si="49"/>
        <v>-5753273.1070343005</v>
      </c>
      <c r="O47" s="196">
        <f t="shared" si="47"/>
        <v>0.2623848500787429</v>
      </c>
      <c r="R47"/>
    </row>
    <row r="48" spans="1:18" x14ac:dyDescent="0.25">
      <c r="A48" s="89" t="s">
        <v>37</v>
      </c>
      <c r="B48" s="4">
        <f>IF(B$32=0,0,B15+B$40*(B15/B$32))</f>
        <v>-52015.553709330336</v>
      </c>
      <c r="C48" s="4">
        <f t="shared" ref="C48:M48" si="51">IF(C$32=0,0,C15+C$40*(C15/C$32))</f>
        <v>-294063.47557542752</v>
      </c>
      <c r="D48" s="4">
        <f t="shared" si="51"/>
        <v>-84704.313328577933</v>
      </c>
      <c r="E48" s="4">
        <f t="shared" si="51"/>
        <v>-33363.048251793531</v>
      </c>
      <c r="F48" s="4">
        <f t="shared" si="51"/>
        <v>125365.64863906994</v>
      </c>
      <c r="G48" s="4">
        <f t="shared" si="51"/>
        <v>-128037.57449443951</v>
      </c>
      <c r="H48" s="4">
        <f t="shared" si="51"/>
        <v>496056.77448765596</v>
      </c>
      <c r="I48" s="4">
        <f t="shared" si="51"/>
        <v>-315282.30709854752</v>
      </c>
      <c r="J48" s="4">
        <f t="shared" si="51"/>
        <v>41118.281201910257</v>
      </c>
      <c r="K48" s="4">
        <f t="shared" si="51"/>
        <v>49140.353601177325</v>
      </c>
      <c r="L48" s="4">
        <f t="shared" si="51"/>
        <v>62989.792565281576</v>
      </c>
      <c r="M48" s="4">
        <f t="shared" si="51"/>
        <v>-30486.462379306384</v>
      </c>
      <c r="N48" s="4">
        <f t="shared" si="49"/>
        <v>-163281.88434232777</v>
      </c>
      <c r="O48" s="196">
        <f t="shared" si="47"/>
        <v>7.4466641764935927E-3</v>
      </c>
      <c r="R48"/>
    </row>
    <row r="49" spans="1:19" x14ac:dyDescent="0.25">
      <c r="A49" s="89" t="s">
        <v>155</v>
      </c>
      <c r="B49" s="4">
        <f>IF(B$32=0,0,B16+B$40*(B16/B$32))</f>
        <v>-976799.01610296825</v>
      </c>
      <c r="C49" s="4">
        <f t="shared" ref="C49:M49" si="52">IF(C$32=0,0,C16+C$40*(C16/C$32))</f>
        <v>-5529468.495989155</v>
      </c>
      <c r="D49" s="4">
        <f t="shared" si="52"/>
        <v>-1583397.9700731486</v>
      </c>
      <c r="E49" s="4">
        <f t="shared" si="52"/>
        <v>-889063.84842723678</v>
      </c>
      <c r="F49" s="4">
        <f t="shared" si="52"/>
        <v>1288350.5209576974</v>
      </c>
      <c r="G49" s="4">
        <f t="shared" si="52"/>
        <v>-1098989.7880007136</v>
      </c>
      <c r="H49" s="4">
        <f t="shared" si="52"/>
        <v>5048346.1800966635</v>
      </c>
      <c r="I49" s="4">
        <f t="shared" si="52"/>
        <v>-3280556.2383542312</v>
      </c>
      <c r="J49" s="4">
        <f t="shared" si="52"/>
        <v>555109.29428621579</v>
      </c>
      <c r="K49" s="4">
        <f t="shared" si="52"/>
        <v>296756.52374752308</v>
      </c>
      <c r="L49" s="4">
        <f t="shared" si="52"/>
        <v>-215160.43170677085</v>
      </c>
      <c r="M49" s="4">
        <f t="shared" si="52"/>
        <v>-613926.41265288694</v>
      </c>
      <c r="N49" s="4">
        <f t="shared" si="49"/>
        <v>-6998799.6822190117</v>
      </c>
      <c r="O49" s="196">
        <f t="shared" si="47"/>
        <v>0.31918856817433555</v>
      </c>
      <c r="R49"/>
    </row>
    <row r="50" spans="1:19" x14ac:dyDescent="0.25">
      <c r="A50" s="89" t="s">
        <v>38</v>
      </c>
      <c r="B50" s="4">
        <f>IF(B$32=0,0,B19+B$40*(B19/B$32))</f>
        <v>-8502.6182917716415</v>
      </c>
      <c r="C50" s="4">
        <f t="shared" ref="C50:M50" si="53">IF(C$32=0,0,C19+C$40*(C19/C$32))</f>
        <v>-48068.496979607822</v>
      </c>
      <c r="D50" s="4">
        <f t="shared" si="53"/>
        <v>-13756.691735101038</v>
      </c>
      <c r="E50" s="4">
        <f t="shared" si="53"/>
        <v>-2475.0166899193487</v>
      </c>
      <c r="F50" s="4">
        <f t="shared" si="53"/>
        <v>24024.343329479892</v>
      </c>
      <c r="G50" s="4">
        <f t="shared" si="53"/>
        <v>-26453.030958757503</v>
      </c>
      <c r="H50" s="4">
        <f t="shared" si="53"/>
        <v>97536.1891262766</v>
      </c>
      <c r="I50" s="4">
        <f t="shared" si="53"/>
        <v>-61535.148748784326</v>
      </c>
      <c r="J50" s="4">
        <f t="shared" si="53"/>
        <v>7310.6394492631625</v>
      </c>
      <c r="K50" s="4">
        <f t="shared" si="53"/>
        <v>11201.428659611593</v>
      </c>
      <c r="L50" s="4">
        <f t="shared" si="53"/>
        <v>18069.082937380444</v>
      </c>
      <c r="M50" s="4">
        <f t="shared" si="53"/>
        <v>-4672.9666624490819</v>
      </c>
      <c r="N50" s="4">
        <f t="shared" si="49"/>
        <v>-7322.2865643790719</v>
      </c>
      <c r="O50" s="196">
        <f t="shared" si="47"/>
        <v>3.3394157146462441E-4</v>
      </c>
      <c r="R50"/>
    </row>
    <row r="51" spans="1:19" x14ac:dyDescent="0.25">
      <c r="A51" s="89" t="s">
        <v>156</v>
      </c>
      <c r="B51" s="4">
        <f>IF(B$32=0,0,B20+B$40*(B20/B$32))</f>
        <v>-567495.01293579885</v>
      </c>
      <c r="C51" s="4">
        <f t="shared" ref="C51:M51" si="54">IF(C$32=0,0,C20+C$40*(C20/C$32))</f>
        <v>-3224715.2343544029</v>
      </c>
      <c r="D51" s="4">
        <f t="shared" si="54"/>
        <v>-920524.86185118021</v>
      </c>
      <c r="E51" s="4">
        <f t="shared" si="54"/>
        <v>-494614.94327951164</v>
      </c>
      <c r="F51" s="4">
        <f t="shared" si="54"/>
        <v>90886.221904062666</v>
      </c>
      <c r="G51" s="4">
        <f t="shared" si="54"/>
        <v>-176726.78297955764</v>
      </c>
      <c r="H51" s="4">
        <f t="shared" si="54"/>
        <v>509792.66288181877</v>
      </c>
      <c r="I51" s="4">
        <f t="shared" si="54"/>
        <v>-311768.50598754315</v>
      </c>
      <c r="J51" s="4">
        <f t="shared" si="54"/>
        <v>-27344.471673993587</v>
      </c>
      <c r="K51" s="4">
        <f t="shared" si="54"/>
        <v>55713.722989311675</v>
      </c>
      <c r="L51" s="4">
        <f t="shared" si="54"/>
        <v>-130266.30573294542</v>
      </c>
      <c r="M51" s="4">
        <f t="shared" si="54"/>
        <v>-365164.02237936488</v>
      </c>
      <c r="N51" s="4">
        <f t="shared" si="49"/>
        <v>-5562227.5333991032</v>
      </c>
      <c r="O51" s="196">
        <f t="shared" si="47"/>
        <v>0.2536719898922189</v>
      </c>
      <c r="R51"/>
    </row>
    <row r="52" spans="1:19" x14ac:dyDescent="0.25">
      <c r="A52" s="89" t="s">
        <v>39</v>
      </c>
      <c r="B52" s="4">
        <f>IF(B$32=0,0,B23+B$40*(B23/B$32))</f>
        <v>-13956.374081204294</v>
      </c>
      <c r="C52" s="4">
        <f t="shared" ref="C52:M52" si="55">IF(C$32=0,0,C23+C$40*(C23/C$32))</f>
        <v>-78900.628294447612</v>
      </c>
      <c r="D52" s="4">
        <f t="shared" si="55"/>
        <v>-22580.519245546056</v>
      </c>
      <c r="E52" s="4">
        <f t="shared" si="55"/>
        <v>-2569.9348109994921</v>
      </c>
      <c r="F52" s="4">
        <f t="shared" si="55"/>
        <v>31917.451278473483</v>
      </c>
      <c r="G52" s="4">
        <f t="shared" si="55"/>
        <v>-35449.972997907767</v>
      </c>
      <c r="H52" s="4">
        <f t="shared" si="55"/>
        <v>129806.73622341364</v>
      </c>
      <c r="I52" s="4">
        <f t="shared" si="55"/>
        <v>-81848.525496355025</v>
      </c>
      <c r="J52" s="4">
        <f t="shared" si="55"/>
        <v>9580.5046865038712</v>
      </c>
      <c r="K52" s="4">
        <f t="shared" si="55"/>
        <v>15184.614056703977</v>
      </c>
      <c r="L52" s="4">
        <f t="shared" si="55"/>
        <v>23468.631645884947</v>
      </c>
      <c r="M52" s="4">
        <f t="shared" si="55"/>
        <v>-8260.3278553121745</v>
      </c>
      <c r="N52" s="4">
        <f t="shared" si="49"/>
        <v>-33608.34489079249</v>
      </c>
      <c r="O52" s="196">
        <f t="shared" si="47"/>
        <v>1.5327484670914476E-3</v>
      </c>
      <c r="R52"/>
    </row>
    <row r="53" spans="1:19" x14ac:dyDescent="0.25">
      <c r="A53" s="89" t="s">
        <v>6</v>
      </c>
      <c r="B53" s="4">
        <f>IF(B$32=0,0,B24+B$40*(B24/B$32))</f>
        <v>-195546.9175816912</v>
      </c>
      <c r="C53" s="4">
        <f t="shared" ref="C53:M53" si="56">IF(C$32=0,0,C24+C$40*(C24/C$32))</f>
        <v>-1110234.6992718545</v>
      </c>
      <c r="D53" s="4">
        <f t="shared" si="56"/>
        <v>-317059.86463993043</v>
      </c>
      <c r="E53" s="4">
        <f t="shared" si="56"/>
        <v>-474262.23117036669</v>
      </c>
      <c r="F53" s="4">
        <f t="shared" si="56"/>
        <v>86443.974304095856</v>
      </c>
      <c r="G53" s="4">
        <f t="shared" si="56"/>
        <v>-168448.8380547408</v>
      </c>
      <c r="H53" s="4">
        <f t="shared" si="56"/>
        <v>485102.88677777309</v>
      </c>
      <c r="I53" s="4">
        <f t="shared" si="56"/>
        <v>-297285.68171113404</v>
      </c>
      <c r="J53" s="4">
        <f t="shared" si="56"/>
        <v>-26096.806820428286</v>
      </c>
      <c r="K53" s="4">
        <f t="shared" si="56"/>
        <v>53128.490176187785</v>
      </c>
      <c r="L53" s="4">
        <f t="shared" si="56"/>
        <v>24485.883787367304</v>
      </c>
      <c r="M53" s="4">
        <f t="shared" si="56"/>
        <v>-116481.41433531145</v>
      </c>
      <c r="N53" s="4">
        <f t="shared" si="49"/>
        <v>-2056255.2185400333</v>
      </c>
      <c r="O53" s="196">
        <f t="shared" si="47"/>
        <v>9.3777960337150884E-2</v>
      </c>
      <c r="R53"/>
    </row>
    <row r="54" spans="1:19" x14ac:dyDescent="0.25">
      <c r="A54" s="95" t="s">
        <v>5</v>
      </c>
      <c r="B54" s="4">
        <f>IF(B$32=0,0,B27+B$40*(B27/B$32))</f>
        <v>-42778.04960589121</v>
      </c>
      <c r="C54" s="4">
        <f t="shared" ref="C54:M54" si="57">IF(C$32=0,0,C27+C$40*(C27/C$32))</f>
        <v>-248366.82028415657</v>
      </c>
      <c r="D54" s="4">
        <f t="shared" si="57"/>
        <v>-70872.40530967791</v>
      </c>
      <c r="E54" s="4">
        <f t="shared" si="57"/>
        <v>0</v>
      </c>
      <c r="F54" s="4">
        <f t="shared" si="57"/>
        <v>0</v>
      </c>
      <c r="G54" s="4">
        <f t="shared" si="57"/>
        <v>0</v>
      </c>
      <c r="H54" s="4">
        <f t="shared" si="57"/>
        <v>0</v>
      </c>
      <c r="I54" s="4">
        <f t="shared" si="57"/>
        <v>0</v>
      </c>
      <c r="J54" s="4">
        <f t="shared" si="57"/>
        <v>0</v>
      </c>
      <c r="K54" s="4">
        <f t="shared" si="57"/>
        <v>0</v>
      </c>
      <c r="L54" s="4">
        <f t="shared" si="57"/>
        <v>-16577.61014609602</v>
      </c>
      <c r="M54" s="4">
        <f t="shared" si="57"/>
        <v>-25243.029481550468</v>
      </c>
      <c r="N54" s="4">
        <f t="shared" si="49"/>
        <v>-403837.91482737212</v>
      </c>
      <c r="O54" s="196">
        <f t="shared" si="47"/>
        <v>1.8417507524288723E-2</v>
      </c>
      <c r="R54"/>
    </row>
    <row r="55" spans="1:19" x14ac:dyDescent="0.25">
      <c r="A55" s="89" t="s">
        <v>24</v>
      </c>
      <c r="B55" s="4">
        <f>IF(B$32=0,0,B28+B$40*(B28/B$32))</f>
        <v>-170203.1193092583</v>
      </c>
      <c r="C55" s="4">
        <f t="shared" ref="C55:M55" si="58">IF(C$32=0,0,C28+C$40*(C28/C$32))</f>
        <v>-962222.20564157516</v>
      </c>
      <c r="D55" s="4">
        <f t="shared" si="58"/>
        <v>-275377.74416569981</v>
      </c>
      <c r="E55" s="4">
        <f t="shared" si="58"/>
        <v>-318499.29953583301</v>
      </c>
      <c r="F55" s="4">
        <f t="shared" si="58"/>
        <v>57856.570356593635</v>
      </c>
      <c r="G55" s="4">
        <f t="shared" si="58"/>
        <v>-112501.16177284048</v>
      </c>
      <c r="H55" s="4">
        <f t="shared" si="58"/>
        <v>323292.66937266284</v>
      </c>
      <c r="I55" s="4">
        <f t="shared" si="58"/>
        <v>-195910.88666604593</v>
      </c>
      <c r="J55" s="4">
        <f t="shared" si="58"/>
        <v>-17161.015193317213</v>
      </c>
      <c r="K55" s="4">
        <f t="shared" si="58"/>
        <v>34788.129201732998</v>
      </c>
      <c r="L55" s="4">
        <f t="shared" si="58"/>
        <v>681.77386271700243</v>
      </c>
      <c r="M55" s="4">
        <f t="shared" si="58"/>
        <v>-98430.767731719243</v>
      </c>
      <c r="N55" s="4">
        <f t="shared" si="49"/>
        <v>-1733687.0572225826</v>
      </c>
      <c r="O55" s="196">
        <f t="shared" si="47"/>
        <v>7.9066856401554156E-2</v>
      </c>
      <c r="R55"/>
    </row>
    <row r="56" spans="1:19" s="98" customFormat="1" x14ac:dyDescent="0.25">
      <c r="A56" s="101" t="s">
        <v>8</v>
      </c>
      <c r="B56" s="4">
        <f>IF(B$32=0,0,B29+B$40*(B29/B$32))</f>
        <v>-38428.252232767474</v>
      </c>
      <c r="C56" s="4">
        <f t="shared" ref="C56:M56" si="59">IF(C$32=0,0,C29+C$40*(C29/C$32))</f>
        <v>-217249.35343387065</v>
      </c>
      <c r="D56" s="4">
        <f t="shared" si="59"/>
        <v>-61780.941294229837</v>
      </c>
      <c r="E56" s="4">
        <f t="shared" si="59"/>
        <v>-89805.073325232574</v>
      </c>
      <c r="F56" s="4">
        <f t="shared" si="59"/>
        <v>319418.21971213468</v>
      </c>
      <c r="G56" s="4">
        <f t="shared" si="59"/>
        <v>-327476.16177911166</v>
      </c>
      <c r="H56" s="4">
        <f t="shared" si="59"/>
        <v>1278947.0155178648</v>
      </c>
      <c r="I56" s="4">
        <f t="shared" si="59"/>
        <v>-805360.97786270583</v>
      </c>
      <c r="J56" s="4">
        <f t="shared" si="59"/>
        <v>106972.00302499841</v>
      </c>
      <c r="K56" s="4">
        <f t="shared" si="59"/>
        <v>123335.16021573462</v>
      </c>
      <c r="L56" s="4">
        <f t="shared" si="59"/>
        <v>194841.08872132614</v>
      </c>
      <c r="M56" s="4">
        <f t="shared" si="59"/>
        <v>-22312.587019634633</v>
      </c>
      <c r="N56" s="4">
        <f t="shared" si="49"/>
        <v>461100.14024450601</v>
      </c>
      <c r="O56" s="196">
        <f t="shared" si="47"/>
        <v>-2.1029019293629152E-2</v>
      </c>
    </row>
    <row r="57" spans="1:19" x14ac:dyDescent="0.25">
      <c r="A57" s="89" t="s">
        <v>59</v>
      </c>
      <c r="B57" s="4">
        <f>IF(B$32=0,0,B30+B$40*(B30/B$32))</f>
        <v>-764.50955524104654</v>
      </c>
      <c r="C57" s="4">
        <f t="shared" ref="C57:M57" si="60">IF(C$32=0,0,C30+C$40*(C30/C$32))</f>
        <v>-4322.059862730639</v>
      </c>
      <c r="D57" s="4">
        <f t="shared" si="60"/>
        <v>-1236.9274874032812</v>
      </c>
      <c r="E57" s="4">
        <f t="shared" si="60"/>
        <v>2184.1236354714624</v>
      </c>
      <c r="F57" s="4">
        <f t="shared" si="60"/>
        <v>7542.3985661410916</v>
      </c>
      <c r="G57" s="4">
        <f t="shared" si="60"/>
        <v>-9566.0335627306431</v>
      </c>
      <c r="H57" s="4">
        <f t="shared" si="60"/>
        <v>31550.575685571574</v>
      </c>
      <c r="I57" s="4">
        <f t="shared" si="60"/>
        <v>-19715.601014669577</v>
      </c>
      <c r="J57" s="4">
        <f t="shared" si="60"/>
        <v>1750.8794533845605</v>
      </c>
      <c r="K57" s="4">
        <f t="shared" si="60"/>
        <v>4765.8653889220859</v>
      </c>
      <c r="L57" s="4">
        <f t="shared" si="60"/>
        <v>10037.355552603472</v>
      </c>
      <c r="M57" s="4">
        <f t="shared" si="60"/>
        <v>-452.48855741942174</v>
      </c>
      <c r="N57" s="4">
        <f t="shared" si="49"/>
        <v>21773.578241899635</v>
      </c>
      <c r="O57" s="196">
        <f t="shared" si="47"/>
        <v>-9.930098843549571E-4</v>
      </c>
      <c r="R57"/>
    </row>
    <row r="58" spans="1:19" x14ac:dyDescent="0.25">
      <c r="A58" s="9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96"/>
      <c r="R58"/>
    </row>
    <row r="59" spans="1:19" s="90" customFormat="1" x14ac:dyDescent="0.25">
      <c r="A59" s="95" t="s">
        <v>21</v>
      </c>
      <c r="B59" s="91">
        <f t="shared" ref="B59:O59" si="61">SUM(B45:B57)</f>
        <v>-9219106.7768805623</v>
      </c>
      <c r="C59" s="91">
        <f t="shared" ref="C59:M59" si="62">SUM(C45:C57)</f>
        <v>-52210434.437473409</v>
      </c>
      <c r="D59" s="91">
        <f t="shared" si="62"/>
        <v>-14954023.956459759</v>
      </c>
      <c r="E59" s="91">
        <f t="shared" si="62"/>
        <v>-1132839.247447727</v>
      </c>
      <c r="F59" s="91">
        <f t="shared" si="62"/>
        <v>20354591.291598782</v>
      </c>
      <c r="G59" s="91">
        <f t="shared" si="62"/>
        <v>-23586418.125352632</v>
      </c>
      <c r="H59" s="91">
        <f t="shared" si="62"/>
        <v>83905327.63374871</v>
      </c>
      <c r="I59" s="91">
        <f t="shared" si="62"/>
        <v>-52866388.744541399</v>
      </c>
      <c r="J59" s="91">
        <f t="shared" si="62"/>
        <v>5684788.8911022069</v>
      </c>
      <c r="K59" s="91">
        <f t="shared" si="62"/>
        <v>10522398.951545876</v>
      </c>
      <c r="L59" s="91">
        <f t="shared" si="62"/>
        <v>17148010.417034343</v>
      </c>
      <c r="M59" s="91">
        <f t="shared" si="62"/>
        <v>-5572755.3521982115</v>
      </c>
      <c r="N59" s="91">
        <f t="shared" si="61"/>
        <v>-21926849.455323797</v>
      </c>
      <c r="O59" s="196">
        <f t="shared" si="61"/>
        <v>1.0000000000000002</v>
      </c>
    </row>
    <row r="60" spans="1:19" x14ac:dyDescent="0.25">
      <c r="O60" s="102"/>
      <c r="R60"/>
    </row>
    <row r="61" spans="1:19" x14ac:dyDescent="0.25">
      <c r="A61" s="95" t="s">
        <v>49</v>
      </c>
      <c r="B61" s="4">
        <f>ROUND(B59,1)-B36</f>
        <v>-2.3119436576962471E-2</v>
      </c>
      <c r="C61" s="4">
        <f t="shared" ref="C61:N61" si="63">ROUND(C59,1)-C36</f>
        <v>3.7473402917385101E-2</v>
      </c>
      <c r="D61" s="4">
        <f t="shared" si="63"/>
        <v>-4.3540241196751595E-2</v>
      </c>
      <c r="E61" s="4">
        <f t="shared" si="63"/>
        <v>4.7447727061808109E-2</v>
      </c>
      <c r="F61" s="4">
        <f t="shared" si="63"/>
        <v>8.4012188017368317E-3</v>
      </c>
      <c r="G61" s="4">
        <f t="shared" si="63"/>
        <v>2.5352627038955688E-2</v>
      </c>
      <c r="H61" s="4">
        <f t="shared" si="63"/>
        <v>-3.374868631362915E-2</v>
      </c>
      <c r="I61" s="4">
        <f t="shared" si="63"/>
        <v>4.4541403651237488E-2</v>
      </c>
      <c r="J61" s="4">
        <f t="shared" si="63"/>
        <v>8.8977934792637825E-3</v>
      </c>
      <c r="K61" s="4">
        <f t="shared" si="63"/>
        <v>4.8454126343131065E-2</v>
      </c>
      <c r="L61" s="4">
        <f t="shared" si="63"/>
        <v>-1.7034344375133514E-2</v>
      </c>
      <c r="M61" s="4">
        <f t="shared" si="63"/>
        <v>-4.780178889632225E-2</v>
      </c>
      <c r="N61" s="4">
        <f t="shared" si="63"/>
        <v>-4.4676192104816437E-2</v>
      </c>
      <c r="O61" s="102"/>
      <c r="R61"/>
    </row>
    <row r="63" spans="1:19" ht="15.6" x14ac:dyDescent="0.3">
      <c r="A63" s="183" t="s">
        <v>187</v>
      </c>
      <c r="H63" s="183" t="s">
        <v>104</v>
      </c>
      <c r="R63"/>
      <c r="S63" s="102"/>
    </row>
    <row r="64" spans="1:19" x14ac:dyDescent="0.25">
      <c r="A64" s="140" t="s">
        <v>103</v>
      </c>
      <c r="B64" s="153" t="s">
        <v>76</v>
      </c>
      <c r="C64" s="153" t="s">
        <v>166</v>
      </c>
      <c r="D64" s="153" t="s">
        <v>77</v>
      </c>
      <c r="E64" s="153" t="s">
        <v>78</v>
      </c>
      <c r="F64" s="153" t="s">
        <v>79</v>
      </c>
      <c r="R64"/>
      <c r="S64" s="102"/>
    </row>
    <row r="65" spans="1:20" x14ac:dyDescent="0.25">
      <c r="A65" s="185" t="s">
        <v>157</v>
      </c>
      <c r="B65" s="346">
        <v>0.45007799999999998</v>
      </c>
      <c r="C65" s="347"/>
      <c r="D65" s="346">
        <v>0.38681100000000002</v>
      </c>
      <c r="E65" s="348"/>
      <c r="F65" s="346">
        <v>0.38304700000000003</v>
      </c>
      <c r="I65" s="62">
        <f>B7</f>
        <v>42917</v>
      </c>
      <c r="J65" s="62">
        <f>C7</f>
        <v>42948</v>
      </c>
      <c r="K65" s="62">
        <f t="shared" ref="K65:Q65" si="64">D7</f>
        <v>42979</v>
      </c>
      <c r="L65" s="62">
        <f t="shared" si="64"/>
        <v>43009</v>
      </c>
      <c r="M65" s="62">
        <f t="shared" si="64"/>
        <v>43040</v>
      </c>
      <c r="N65" s="62">
        <f t="shared" si="64"/>
        <v>43070</v>
      </c>
      <c r="O65" s="62">
        <f t="shared" si="64"/>
        <v>43101</v>
      </c>
      <c r="P65" s="62">
        <f t="shared" si="64"/>
        <v>43132</v>
      </c>
      <c r="Q65" s="62">
        <f t="shared" si="64"/>
        <v>43160</v>
      </c>
      <c r="R65" s="62">
        <f>K7</f>
        <v>43191</v>
      </c>
      <c r="S65" s="62">
        <f>L7</f>
        <v>43221</v>
      </c>
      <c r="T65" s="62">
        <f>M7</f>
        <v>43252</v>
      </c>
    </row>
    <row r="66" spans="1:20" x14ac:dyDescent="0.25">
      <c r="A66" s="185" t="s">
        <v>36</v>
      </c>
      <c r="B66" s="346">
        <v>0.19203000000000001</v>
      </c>
      <c r="C66" s="349"/>
      <c r="D66" s="346">
        <v>0.26062000000000002</v>
      </c>
      <c r="E66" s="346"/>
      <c r="F66" s="346">
        <v>0.110552</v>
      </c>
      <c r="H66" s="29" t="s">
        <v>106</v>
      </c>
      <c r="I66" s="191">
        <f>'System Model '!C$4</f>
        <v>57.0138888888889</v>
      </c>
      <c r="J66" s="191">
        <f>'System Model '!C$5</f>
        <v>47.509722222222202</v>
      </c>
      <c r="K66" s="191">
        <f>'System Model '!C$6</f>
        <v>136.759722222222</v>
      </c>
      <c r="L66" s="191">
        <f>'System Model '!C$7</f>
        <v>386.027777777778</v>
      </c>
      <c r="M66" s="191">
        <f>'System Model '!C$8</f>
        <v>583.59097222222204</v>
      </c>
      <c r="N66" s="191">
        <f>'System Model '!C$9</f>
        <v>747.57777777777801</v>
      </c>
      <c r="O66" s="191">
        <f>'System Model '!C$10</f>
        <v>723.21388888888896</v>
      </c>
      <c r="P66" s="191">
        <f>'System Model '!C$11</f>
        <v>616.98611111111097</v>
      </c>
      <c r="Q66" s="191">
        <f>'System Model '!C$12</f>
        <v>592.16805555555595</v>
      </c>
      <c r="R66" s="191">
        <f>'System Model '!C$13</f>
        <v>450.14722222222201</v>
      </c>
      <c r="S66" s="191">
        <f>'System Model '!C$14</f>
        <v>296.66111111111098</v>
      </c>
      <c r="T66" s="191">
        <f>'System Model '!C$15</f>
        <v>162.50833333333301</v>
      </c>
    </row>
    <row r="67" spans="1:20" x14ac:dyDescent="0.25">
      <c r="A67" s="185" t="s">
        <v>160</v>
      </c>
      <c r="B67" s="346">
        <v>0.290464</v>
      </c>
      <c r="C67" s="349"/>
      <c r="D67" s="346">
        <v>0.79522599999999999</v>
      </c>
      <c r="E67" s="346"/>
      <c r="F67" s="346">
        <v>0.782663</v>
      </c>
      <c r="H67" s="38" t="s">
        <v>107</v>
      </c>
      <c r="I67" s="193">
        <f>'System Model '!E$4</f>
        <v>18.916799999999999</v>
      </c>
      <c r="J67" s="193">
        <f>'System Model '!E$5</f>
        <v>4.7084000000000001</v>
      </c>
      <c r="K67" s="193">
        <f>'System Model '!E$6</f>
        <v>102.2084</v>
      </c>
      <c r="L67" s="193">
        <f>'System Model '!E$7</f>
        <v>389.20829999999995</v>
      </c>
      <c r="M67" s="194">
        <f>'System Model '!E$8</f>
        <v>563.87490000000003</v>
      </c>
      <c r="N67" s="193">
        <f>'System Model '!E$9</f>
        <v>780.5</v>
      </c>
      <c r="O67" s="193">
        <f>'System Model '!E$10</f>
        <v>628.70833333333326</v>
      </c>
      <c r="P67" s="193">
        <f>'System Model '!E$11</f>
        <v>672.58333333333303</v>
      </c>
      <c r="Q67" s="193">
        <f>'System Model '!E$12</f>
        <v>589.83333333333337</v>
      </c>
      <c r="R67" s="193">
        <f>'System Model '!E$13</f>
        <v>419.04166666666703</v>
      </c>
      <c r="S67" s="193">
        <f>'System Model '!E$14</f>
        <v>172.458333333333</v>
      </c>
      <c r="T67" s="193">
        <f>'System Model '!E$15</f>
        <v>124.833333333333</v>
      </c>
    </row>
    <row r="68" spans="1:20" x14ac:dyDescent="0.25">
      <c r="A68" s="185" t="s">
        <v>37</v>
      </c>
      <c r="B68" s="346">
        <v>6.6323090000000002</v>
      </c>
      <c r="C68" s="349"/>
      <c r="D68" s="346">
        <v>14.319699999999999</v>
      </c>
      <c r="E68" s="346"/>
      <c r="F68" s="346">
        <v>10.76488</v>
      </c>
      <c r="H68" s="29" t="s">
        <v>105</v>
      </c>
      <c r="I68" s="191">
        <f t="shared" ref="I68:Q68" si="65">I66-I67</f>
        <v>38.097088888888905</v>
      </c>
      <c r="J68" s="191">
        <f t="shared" si="65"/>
        <v>42.801322222222204</v>
      </c>
      <c r="K68" s="191">
        <f t="shared" si="65"/>
        <v>34.551322222221998</v>
      </c>
      <c r="L68" s="191">
        <f t="shared" si="65"/>
        <v>-3.1805222222219527</v>
      </c>
      <c r="M68" s="191">
        <f t="shared" si="65"/>
        <v>19.71607222222201</v>
      </c>
      <c r="N68" s="191">
        <f t="shared" si="65"/>
        <v>-32.92222222222199</v>
      </c>
      <c r="O68" s="191">
        <f t="shared" si="65"/>
        <v>94.505555555555702</v>
      </c>
      <c r="P68" s="191">
        <f t="shared" si="65"/>
        <v>-55.597222222222058</v>
      </c>
      <c r="Q68" s="191">
        <f t="shared" si="65"/>
        <v>2.334722222222581</v>
      </c>
      <c r="R68" s="191">
        <f t="shared" ref="R68:T68" si="66">R66-R67</f>
        <v>31.105555555554986</v>
      </c>
      <c r="S68" s="191">
        <f t="shared" si="66"/>
        <v>124.20277777777798</v>
      </c>
      <c r="T68" s="191">
        <f t="shared" si="66"/>
        <v>37.675000000000011</v>
      </c>
    </row>
    <row r="69" spans="1:20" x14ac:dyDescent="0.25">
      <c r="A69" s="185" t="s">
        <v>3</v>
      </c>
      <c r="B69" s="346">
        <v>0.682006</v>
      </c>
      <c r="C69" s="346"/>
      <c r="D69" s="346">
        <v>9.0357529999999997</v>
      </c>
      <c r="E69" s="346"/>
      <c r="F69" s="346">
        <v>9.0908549999999995</v>
      </c>
      <c r="I69" s="65"/>
      <c r="J69" s="65"/>
      <c r="K69" s="65"/>
      <c r="L69" s="65"/>
      <c r="M69" s="190"/>
      <c r="N69" s="65"/>
      <c r="O69" s="65"/>
      <c r="P69" s="65"/>
      <c r="Q69" s="65"/>
      <c r="R69" s="65"/>
      <c r="S69" s="65"/>
      <c r="T69" s="65"/>
    </row>
    <row r="70" spans="1:20" x14ac:dyDescent="0.25">
      <c r="A70" s="185" t="s">
        <v>38</v>
      </c>
      <c r="B70" s="346">
        <v>39.504219999999997</v>
      </c>
      <c r="C70" s="349"/>
      <c r="D70" s="346">
        <v>56.506360000000001</v>
      </c>
      <c r="E70" s="346"/>
      <c r="F70" s="346">
        <v>38.712510000000002</v>
      </c>
      <c r="H70" s="90" t="s">
        <v>167</v>
      </c>
      <c r="I70" s="191">
        <f>'System Model '!Q$4</f>
        <v>0.11944444444444501</v>
      </c>
      <c r="J70" s="191">
        <f>'System Model '!Q$5</f>
        <v>0</v>
      </c>
      <c r="K70" s="191">
        <f>'System Model '!Q$6</f>
        <v>4.0513888888888898</v>
      </c>
      <c r="L70" s="191">
        <f>'System Model '!Q$7</f>
        <v>99.504166666666606</v>
      </c>
      <c r="M70" s="191">
        <f>'System Model '!Q$8</f>
        <v>285.20763888888899</v>
      </c>
      <c r="N70" s="191">
        <f>'System Model '!Q$9</f>
        <v>437.754166666667</v>
      </c>
      <c r="O70" s="191">
        <f>'System Model '!Q$10</f>
        <v>413.27916666666698</v>
      </c>
      <c r="P70" s="191">
        <f>'System Model '!Q$11</f>
        <v>337.004166666667</v>
      </c>
      <c r="Q70" s="191">
        <f>'System Model '!Q$12</f>
        <v>283.70277777777801</v>
      </c>
      <c r="R70" s="191">
        <f>'System Model '!Q$13</f>
        <v>166.16249999999999</v>
      </c>
      <c r="S70" s="191">
        <f>'System Model '!Q$14</f>
        <v>58.012500000000003</v>
      </c>
      <c r="T70" s="191">
        <f>'System Model '!Q$15</f>
        <v>7.9180555555555596</v>
      </c>
    </row>
    <row r="71" spans="1:20" x14ac:dyDescent="0.25">
      <c r="A71" s="185" t="s">
        <v>4</v>
      </c>
      <c r="B71" s="346"/>
      <c r="C71" s="349">
        <v>7.6311780000000002</v>
      </c>
      <c r="D71" s="346"/>
      <c r="E71" s="346"/>
      <c r="F71" s="346">
        <v>46.376089999999998</v>
      </c>
      <c r="H71" s="324" t="s">
        <v>168</v>
      </c>
      <c r="I71" s="193">
        <f>'System Model '!R$4</f>
        <v>0</v>
      </c>
      <c r="J71" s="193">
        <f>'System Model '!R$5</f>
        <v>0</v>
      </c>
      <c r="K71" s="193">
        <f>'System Model '!R$6</f>
        <v>4.375</v>
      </c>
      <c r="L71" s="193">
        <f>'System Model '!R$7</f>
        <v>84.541599999999988</v>
      </c>
      <c r="M71" s="194">
        <f>'System Model '!R$8</f>
        <v>269.74990000000003</v>
      </c>
      <c r="N71" s="193">
        <f>'System Model '!R$9</f>
        <v>470.5</v>
      </c>
      <c r="O71" s="193">
        <f>'System Model '!R$10</f>
        <v>318.70833333333337</v>
      </c>
      <c r="P71" s="193">
        <f>'System Model '!R$11</f>
        <v>392.58333333333297</v>
      </c>
      <c r="Q71" s="193">
        <f>'System Model '!R$12</f>
        <v>288.375</v>
      </c>
      <c r="R71" s="193">
        <f>'System Model '!R$13</f>
        <v>149.5</v>
      </c>
      <c r="S71" s="193">
        <f>'System Model '!R$14</f>
        <v>2.875</v>
      </c>
      <c r="T71" s="193">
        <f>'System Model '!R$15</f>
        <v>2.125</v>
      </c>
    </row>
    <row r="72" spans="1:20" x14ac:dyDescent="0.25">
      <c r="A72" s="185" t="s">
        <v>39</v>
      </c>
      <c r="B72" s="346">
        <v>54.14217</v>
      </c>
      <c r="C72" s="349"/>
      <c r="D72" s="346">
        <v>73.404399999999995</v>
      </c>
      <c r="E72" s="346"/>
      <c r="F72" s="346">
        <v>68.431479999999993</v>
      </c>
      <c r="H72" s="29" t="s">
        <v>105</v>
      </c>
      <c r="I72" s="191">
        <f t="shared" ref="I72:Q72" si="67">I70-I71</f>
        <v>0.11944444444444501</v>
      </c>
      <c r="J72" s="191">
        <f t="shared" si="67"/>
        <v>0</v>
      </c>
      <c r="K72" s="191">
        <f t="shared" si="67"/>
        <v>-0.32361111111111018</v>
      </c>
      <c r="L72" s="191">
        <f t="shared" si="67"/>
        <v>14.962566666666618</v>
      </c>
      <c r="M72" s="191">
        <f t="shared" si="67"/>
        <v>15.457738888888969</v>
      </c>
      <c r="N72" s="191">
        <f t="shared" si="67"/>
        <v>-32.745833333332996</v>
      </c>
      <c r="O72" s="191">
        <f t="shared" si="67"/>
        <v>94.57083333333361</v>
      </c>
      <c r="P72" s="191">
        <f t="shared" si="67"/>
        <v>-55.579166666665969</v>
      </c>
      <c r="Q72" s="191">
        <f t="shared" si="67"/>
        <v>-4.6722222222219898</v>
      </c>
      <c r="R72" s="191">
        <f t="shared" ref="R72:T72" si="68">R70-R71</f>
        <v>16.662499999999994</v>
      </c>
      <c r="S72" s="191">
        <f t="shared" si="68"/>
        <v>55.137500000000003</v>
      </c>
      <c r="T72" s="191">
        <f t="shared" si="68"/>
        <v>5.7930555555555596</v>
      </c>
    </row>
    <row r="73" spans="1:20" x14ac:dyDescent="0.25">
      <c r="A73" s="185" t="s">
        <v>6</v>
      </c>
      <c r="B73" s="349"/>
      <c r="C73" s="349">
        <v>12.231680000000001</v>
      </c>
      <c r="D73" s="349"/>
      <c r="E73" s="349"/>
      <c r="F73" s="349">
        <v>26.690750000000001</v>
      </c>
      <c r="L73" s="102"/>
      <c r="R73"/>
    </row>
    <row r="74" spans="1:20" x14ac:dyDescent="0.25">
      <c r="A74" s="185" t="s">
        <v>5</v>
      </c>
      <c r="B74" s="349"/>
      <c r="C74" s="349"/>
      <c r="D74" s="349"/>
      <c r="E74" s="349"/>
      <c r="F74" s="349">
        <v>4.0881030000000003</v>
      </c>
      <c r="H74" s="29" t="s">
        <v>108</v>
      </c>
      <c r="I74" s="191">
        <f>'System Model '!G$4</f>
        <v>0</v>
      </c>
      <c r="J74" s="191">
        <f>'System Model '!G$5</f>
        <v>0</v>
      </c>
      <c r="K74" s="191">
        <f>'System Model '!G$6</f>
        <v>0</v>
      </c>
      <c r="L74" s="191">
        <f>'System Model '!G$7</f>
        <v>2.8333333333333299</v>
      </c>
      <c r="M74" s="192">
        <f>'System Model '!G$8</f>
        <v>54.622222222222199</v>
      </c>
      <c r="N74" s="191">
        <f>'System Model '!G$9</f>
        <v>148.73472222222199</v>
      </c>
      <c r="O74" s="191">
        <f>'System Model '!G$10</f>
        <v>131.923611111111</v>
      </c>
      <c r="P74" s="191">
        <f>'System Model '!G$11</f>
        <v>89.9930555555556</v>
      </c>
      <c r="Q74" s="191">
        <f>'System Model '!G$12</f>
        <v>42.775694444444397</v>
      </c>
      <c r="R74" s="191">
        <f>'System Model '!G$13</f>
        <v>8.6638888888888896</v>
      </c>
      <c r="S74" s="191">
        <f>'System Model '!G$14</f>
        <v>0.41666666666666702</v>
      </c>
      <c r="T74" s="191">
        <f>'System Model '!G$15</f>
        <v>0</v>
      </c>
    </row>
    <row r="75" spans="1:20" x14ac:dyDescent="0.25">
      <c r="A75" s="185" t="s">
        <v>24</v>
      </c>
      <c r="B75" s="349"/>
      <c r="C75" s="349">
        <v>29.408819999999999</v>
      </c>
      <c r="D75" s="349"/>
      <c r="E75" s="349"/>
      <c r="F75" s="349">
        <v>82.81765</v>
      </c>
      <c r="H75" s="38" t="s">
        <v>109</v>
      </c>
      <c r="I75" s="193">
        <f>'System Model '!H$4</f>
        <v>0</v>
      </c>
      <c r="J75" s="193">
        <f>'System Model '!H$5</f>
        <v>0</v>
      </c>
      <c r="K75" s="193">
        <f>'System Model '!H$6</f>
        <v>0</v>
      </c>
      <c r="L75" s="193">
        <f>'System Model '!H$7</f>
        <v>0</v>
      </c>
      <c r="M75" s="194">
        <f>'System Model '!H$8</f>
        <v>34.999899999999997</v>
      </c>
      <c r="N75" s="193">
        <f>'System Model '!H$9</f>
        <v>165.79169999999996</v>
      </c>
      <c r="O75" s="193">
        <f>'System Model '!H$10</f>
        <v>49.499999999999993</v>
      </c>
      <c r="P75" s="193">
        <f>'System Model '!H$11</f>
        <v>140.583333333333</v>
      </c>
      <c r="Q75" s="193">
        <f>'System Model '!H$12</f>
        <v>34.208333333333329</v>
      </c>
      <c r="R75" s="193">
        <f>'System Model '!H$13</f>
        <v>2.9166666666666701</v>
      </c>
      <c r="S75" s="193">
        <f>'System Model '!H$14</f>
        <v>0</v>
      </c>
      <c r="T75" s="193">
        <f>'System Model '!H$15</f>
        <v>0</v>
      </c>
    </row>
    <row r="76" spans="1:20" x14ac:dyDescent="0.25">
      <c r="A76" s="186" t="s">
        <v>8</v>
      </c>
      <c r="B76" s="349">
        <v>32.608409999999999</v>
      </c>
      <c r="C76" s="349"/>
      <c r="D76" s="349">
        <v>73.142600000000002</v>
      </c>
      <c r="E76" s="349"/>
      <c r="F76" s="349">
        <v>15.503159999999999</v>
      </c>
      <c r="H76" s="29" t="s">
        <v>105</v>
      </c>
      <c r="I76" s="191">
        <f t="shared" ref="I76" si="69">I74-I75</f>
        <v>0</v>
      </c>
      <c r="J76" s="191">
        <f t="shared" ref="J76" si="70">J74-J75</f>
        <v>0</v>
      </c>
      <c r="K76" s="191">
        <f t="shared" ref="K76" si="71">K74-K75</f>
        <v>0</v>
      </c>
      <c r="L76" s="191">
        <f t="shared" ref="L76" si="72">L74-L75</f>
        <v>2.8333333333333299</v>
      </c>
      <c r="M76" s="191">
        <f t="shared" ref="M76" si="73">M74-M75</f>
        <v>19.622322222222202</v>
      </c>
      <c r="N76" s="191">
        <f t="shared" ref="N76" si="74">N74-N75</f>
        <v>-17.056977777777973</v>
      </c>
      <c r="O76" s="191">
        <f t="shared" ref="O76" si="75">O74-O75</f>
        <v>82.423611111111001</v>
      </c>
      <c r="P76" s="191">
        <f t="shared" ref="P76" si="76">P74-P75</f>
        <v>-50.590277777777402</v>
      </c>
      <c r="Q76" s="191">
        <f t="shared" ref="Q76:T76" si="77">Q74-Q75</f>
        <v>8.5673611111110688</v>
      </c>
      <c r="R76" s="191">
        <f t="shared" si="77"/>
        <v>5.74722222222222</v>
      </c>
      <c r="S76" s="191">
        <f t="shared" si="77"/>
        <v>0.41666666666666702</v>
      </c>
      <c r="T76" s="191">
        <f t="shared" si="77"/>
        <v>0</v>
      </c>
    </row>
    <row r="77" spans="1:20" x14ac:dyDescent="0.25">
      <c r="A77" s="187" t="s">
        <v>59</v>
      </c>
      <c r="B77" s="350">
        <v>31.268139999999999</v>
      </c>
      <c r="C77" s="350"/>
      <c r="D77" s="350">
        <v>17.660070000000001</v>
      </c>
      <c r="E77" s="350"/>
      <c r="F77" s="350">
        <v>6.0914349999999997</v>
      </c>
      <c r="I77" s="65"/>
      <c r="J77" s="65"/>
      <c r="K77" s="65"/>
      <c r="L77" s="65"/>
      <c r="M77" s="190"/>
      <c r="N77" s="65"/>
      <c r="O77" s="65"/>
      <c r="P77" s="65"/>
      <c r="Q77" s="65"/>
      <c r="R77" s="65"/>
      <c r="S77" s="65"/>
      <c r="T77" s="65"/>
    </row>
    <row r="78" spans="1:20" x14ac:dyDescent="0.25">
      <c r="H78" s="29" t="s">
        <v>110</v>
      </c>
      <c r="I78" s="191">
        <f>'System Model '!D$4</f>
        <v>73.7916666666667</v>
      </c>
      <c r="J78" s="191">
        <f>'System Model '!D$5</f>
        <v>66.988888888888894</v>
      </c>
      <c r="K78" s="191">
        <f>'System Model '!D$6</f>
        <v>18.197222222222202</v>
      </c>
      <c r="L78" s="191">
        <f>'System Model '!D$7</f>
        <v>0</v>
      </c>
      <c r="M78" s="192">
        <f>'System Model '!D$8</f>
        <v>0</v>
      </c>
      <c r="N78" s="191">
        <f>'System Model '!D$9</f>
        <v>0</v>
      </c>
      <c r="O78" s="191">
        <f>'System Model '!D$10</f>
        <v>0</v>
      </c>
      <c r="P78" s="191">
        <f>'System Model '!D$11</f>
        <v>0</v>
      </c>
      <c r="Q78" s="191">
        <f>'System Model '!D$12</f>
        <v>0</v>
      </c>
      <c r="R78" s="191">
        <f>'System Model '!D$13</f>
        <v>0.68472222222222301</v>
      </c>
      <c r="S78" s="191">
        <f>'System Model '!D$14</f>
        <v>6.1736111111111098</v>
      </c>
      <c r="T78" s="191">
        <f>'System Model '!D$15</f>
        <v>25.720833333333299</v>
      </c>
    </row>
    <row r="79" spans="1:20" x14ac:dyDescent="0.25">
      <c r="H79" s="38" t="s">
        <v>111</v>
      </c>
      <c r="I79" s="193">
        <f>'System Model '!F$4</f>
        <v>63.333300000000001</v>
      </c>
      <c r="J79" s="193">
        <f>'System Model '!F$5</f>
        <v>141.95839999999998</v>
      </c>
      <c r="K79" s="193">
        <f>'System Model '!F$6</f>
        <v>68.583399999999997</v>
      </c>
      <c r="L79" s="193">
        <f>'System Model '!F$7</f>
        <v>0</v>
      </c>
      <c r="M79" s="194">
        <f>'System Model '!F$8</f>
        <v>0</v>
      </c>
      <c r="N79" s="193">
        <f>'System Model '!F$9</f>
        <v>0</v>
      </c>
      <c r="O79" s="193">
        <f>'System Model '!F$10</f>
        <v>0</v>
      </c>
      <c r="P79" s="193">
        <f>'System Model '!F$11</f>
        <v>0</v>
      </c>
      <c r="Q79" s="193">
        <f>'System Model '!F$12</f>
        <v>0</v>
      </c>
      <c r="R79" s="193">
        <f>'System Model '!F$13</f>
        <v>1.2083333333333299</v>
      </c>
      <c r="S79" s="193">
        <f>'System Model '!F$14</f>
        <v>13.2083333333333</v>
      </c>
      <c r="T79" s="193">
        <f>'System Model '!F$15</f>
        <v>31.9166666666667</v>
      </c>
    </row>
    <row r="80" spans="1:20" x14ac:dyDescent="0.25">
      <c r="A80" s="35"/>
      <c r="B80" s="336"/>
      <c r="C80" s="336"/>
      <c r="D80" s="336"/>
      <c r="E80" s="336"/>
      <c r="F80" s="336"/>
      <c r="H80" s="29" t="s">
        <v>105</v>
      </c>
      <c r="I80" s="191">
        <f t="shared" ref="I80" si="78">I78-I79</f>
        <v>10.458366666666699</v>
      </c>
      <c r="J80" s="191">
        <f t="shared" ref="J80" si="79">J78-J79</f>
        <v>-74.969511111111089</v>
      </c>
      <c r="K80" s="191">
        <f t="shared" ref="K80" si="80">K78-K79</f>
        <v>-50.386177777777796</v>
      </c>
      <c r="L80" s="191">
        <f t="shared" ref="L80" si="81">L78-L79</f>
        <v>0</v>
      </c>
      <c r="M80" s="191">
        <f t="shared" ref="M80" si="82">M78-M79</f>
        <v>0</v>
      </c>
      <c r="N80" s="191">
        <f t="shared" ref="N80" si="83">N78-N79</f>
        <v>0</v>
      </c>
      <c r="O80" s="191">
        <f t="shared" ref="O80" si="84">O78-O79</f>
        <v>0</v>
      </c>
      <c r="P80" s="191">
        <f t="shared" ref="P80" si="85">P78-P79</f>
        <v>0</v>
      </c>
      <c r="Q80" s="191">
        <f t="shared" ref="Q80:T80" si="86">Q78-Q79</f>
        <v>0</v>
      </c>
      <c r="R80" s="191">
        <f t="shared" si="86"/>
        <v>-0.52361111111110692</v>
      </c>
      <c r="S80" s="191">
        <f t="shared" si="86"/>
        <v>-7.0347222222221903</v>
      </c>
      <c r="T80" s="191">
        <f t="shared" si="86"/>
        <v>-6.1958333333334004</v>
      </c>
    </row>
    <row r="81" spans="1:20" x14ac:dyDescent="0.25">
      <c r="I81" s="65"/>
      <c r="J81" s="65"/>
      <c r="K81" s="65"/>
      <c r="L81" s="65"/>
      <c r="M81" s="190"/>
      <c r="N81" s="65"/>
      <c r="O81" s="65"/>
      <c r="P81" s="65"/>
      <c r="Q81" s="65"/>
      <c r="R81" s="65"/>
      <c r="S81" s="65"/>
      <c r="T81" s="65"/>
    </row>
    <row r="82" spans="1:20" x14ac:dyDescent="0.25">
      <c r="H82" s="29" t="s">
        <v>112</v>
      </c>
      <c r="I82" s="191">
        <f>'System Model '!I$4</f>
        <v>179.29305555555601</v>
      </c>
      <c r="J82" s="191">
        <f>'System Model '!I$5</f>
        <v>178.052777777778</v>
      </c>
      <c r="K82" s="191">
        <f>'System Model '!I$6</f>
        <v>72.752777777777794</v>
      </c>
      <c r="L82" s="191">
        <f>'System Model '!I$7</f>
        <v>1.8902777777777799</v>
      </c>
      <c r="M82" s="192">
        <f>'System Model '!I$8</f>
        <v>2.9166666666666698E-2</v>
      </c>
      <c r="N82" s="191">
        <f>'System Model '!I$9</f>
        <v>0</v>
      </c>
      <c r="O82" s="191">
        <f>'System Model '!I$10</f>
        <v>0</v>
      </c>
      <c r="P82" s="191">
        <f>'System Model '!I$11</f>
        <v>2.9166666666666698E-2</v>
      </c>
      <c r="Q82" s="191">
        <f>'System Model '!I$12</f>
        <v>0.102777777777778</v>
      </c>
      <c r="R82" s="191">
        <f>'System Model '!I$13</f>
        <v>3.7069444444444501</v>
      </c>
      <c r="S82" s="191">
        <f>'System Model '!I$14</f>
        <v>26.405555555555601</v>
      </c>
      <c r="T82" s="191">
        <f>'System Model '!I$15</f>
        <v>70.143055555555506</v>
      </c>
    </row>
    <row r="83" spans="1:20" x14ac:dyDescent="0.25">
      <c r="H83" s="38" t="s">
        <v>113</v>
      </c>
      <c r="I83" s="193">
        <f>'System Model '!J$4</f>
        <v>199.41650000000001</v>
      </c>
      <c r="J83" s="193">
        <f>'System Model '!J$5</f>
        <v>292.25000000000006</v>
      </c>
      <c r="K83" s="193">
        <f>'System Model '!J$6</f>
        <v>149.75</v>
      </c>
      <c r="L83" s="193">
        <f>'System Model '!J$7</f>
        <v>0</v>
      </c>
      <c r="M83" s="194">
        <f>'System Model '!J$8</f>
        <v>0.875</v>
      </c>
      <c r="N83" s="193">
        <f>'System Model '!J$9</f>
        <v>0</v>
      </c>
      <c r="O83" s="193">
        <f>'System Model '!J$10</f>
        <v>0</v>
      </c>
      <c r="P83" s="193">
        <f>'System Model '!J$11</f>
        <v>0</v>
      </c>
      <c r="Q83" s="193">
        <f>'System Model '!J$12</f>
        <v>0</v>
      </c>
      <c r="R83" s="193">
        <f>'System Model '!J$13</f>
        <v>13.0833333333333</v>
      </c>
      <c r="S83" s="193">
        <f>'System Model '!J$14</f>
        <v>45.7916666666667</v>
      </c>
      <c r="T83" s="193">
        <f>'System Model '!J$15</f>
        <v>85.2083333333333</v>
      </c>
    </row>
    <row r="84" spans="1:20" x14ac:dyDescent="0.25">
      <c r="H84" s="29" t="s">
        <v>105</v>
      </c>
      <c r="I84" s="191">
        <f t="shared" ref="I84" si="87">I82-I83</f>
        <v>-20.123444444444004</v>
      </c>
      <c r="J84" s="191">
        <f t="shared" ref="J84" si="88">J82-J83</f>
        <v>-114.19722222222205</v>
      </c>
      <c r="K84" s="191">
        <f t="shared" ref="K84" si="89">K82-K83</f>
        <v>-76.997222222222206</v>
      </c>
      <c r="L84" s="191">
        <f t="shared" ref="L84" si="90">L82-L83</f>
        <v>1.8902777777777799</v>
      </c>
      <c r="M84" s="191">
        <f t="shared" ref="M84" si="91">M82-M83</f>
        <v>-0.84583333333333333</v>
      </c>
      <c r="N84" s="191">
        <f t="shared" ref="N84" si="92">N82-N83</f>
        <v>0</v>
      </c>
      <c r="O84" s="191">
        <f t="shared" ref="O84" si="93">O82-O83</f>
        <v>0</v>
      </c>
      <c r="P84" s="191">
        <f t="shared" ref="P84" si="94">P82-P83</f>
        <v>2.9166666666666698E-2</v>
      </c>
      <c r="Q84" s="191">
        <f t="shared" ref="Q84:T84" si="95">Q82-Q83</f>
        <v>0.102777777777778</v>
      </c>
      <c r="R84" s="191">
        <f t="shared" si="95"/>
        <v>-9.3763888888888509</v>
      </c>
      <c r="S84" s="191">
        <f t="shared" si="95"/>
        <v>-19.386111111111099</v>
      </c>
      <c r="T84" s="191">
        <f t="shared" si="95"/>
        <v>-15.065277777777794</v>
      </c>
    </row>
    <row r="89" spans="1:20" ht="15.6" x14ac:dyDescent="0.3">
      <c r="A89" s="183" t="s">
        <v>189</v>
      </c>
    </row>
    <row r="91" spans="1:20" x14ac:dyDescent="0.25">
      <c r="A91" s="188" t="s">
        <v>103</v>
      </c>
      <c r="B91" s="189">
        <f t="shared" ref="B91:J91" si="96">B7</f>
        <v>42917</v>
      </c>
      <c r="C91" s="189">
        <f t="shared" si="96"/>
        <v>42948</v>
      </c>
      <c r="D91" s="189">
        <f t="shared" si="96"/>
        <v>42979</v>
      </c>
      <c r="E91" s="189">
        <f t="shared" si="96"/>
        <v>43009</v>
      </c>
      <c r="F91" s="189">
        <f t="shared" si="96"/>
        <v>43040</v>
      </c>
      <c r="G91" s="189">
        <f t="shared" si="96"/>
        <v>43070</v>
      </c>
      <c r="H91" s="189">
        <f t="shared" si="96"/>
        <v>43101</v>
      </c>
      <c r="I91" s="189">
        <f t="shared" si="96"/>
        <v>43132</v>
      </c>
      <c r="J91" s="189">
        <f t="shared" si="96"/>
        <v>43160</v>
      </c>
      <c r="K91" s="189">
        <f t="shared" ref="K91:M91" si="97">K7</f>
        <v>43191</v>
      </c>
      <c r="L91" s="189">
        <f t="shared" si="97"/>
        <v>43221</v>
      </c>
      <c r="M91" s="189">
        <f t="shared" si="97"/>
        <v>43252</v>
      </c>
      <c r="O91" s="102"/>
      <c r="R91"/>
    </row>
    <row r="92" spans="1:20" x14ac:dyDescent="0.25">
      <c r="A92" s="184" t="s">
        <v>157</v>
      </c>
      <c r="B92" s="291">
        <f>'SAP BW Actual Usage'!C33</f>
        <v>997450</v>
      </c>
      <c r="C92" s="291">
        <f>'SAP BW Actual Usage'!D33</f>
        <v>998447</v>
      </c>
      <c r="D92" s="291">
        <f>'SAP BW Actual Usage'!E33</f>
        <v>999831</v>
      </c>
      <c r="E92" s="291">
        <f>'SAP BW Actual Usage'!F33</f>
        <v>1001369</v>
      </c>
      <c r="F92" s="291">
        <f>'SAP BW Actual Usage'!G33</f>
        <v>1002683</v>
      </c>
      <c r="G92" s="291">
        <f>'SAP BW Actual Usage'!H33</f>
        <v>1003979</v>
      </c>
      <c r="H92" s="291">
        <f>'SAP BW Actual Usage'!I33</f>
        <v>1005060</v>
      </c>
      <c r="I92" s="291">
        <f>'SAP BW Actual Usage'!J33</f>
        <v>1006215</v>
      </c>
      <c r="J92" s="291">
        <f>'SAP BW Actual Usage'!K33</f>
        <v>1006855</v>
      </c>
      <c r="K92" s="291">
        <f>'SAP BW Actual Usage'!L33</f>
        <v>1007514</v>
      </c>
      <c r="L92" s="291">
        <f>'SAP BW Actual Usage'!M33</f>
        <v>1008561</v>
      </c>
      <c r="M92" s="291">
        <f>'SAP BW Actual Usage'!N33</f>
        <v>1009696</v>
      </c>
      <c r="O92" s="102"/>
      <c r="R92"/>
    </row>
    <row r="93" spans="1:20" x14ac:dyDescent="0.25">
      <c r="A93" s="185" t="s">
        <v>36</v>
      </c>
      <c r="B93" s="291">
        <f>'SAP BW Actual Usage'!C34</f>
        <v>29905</v>
      </c>
      <c r="C93" s="291">
        <f>'SAP BW Actual Usage'!D34</f>
        <v>29929</v>
      </c>
      <c r="D93" s="291">
        <f>'SAP BW Actual Usage'!E34</f>
        <v>29938</v>
      </c>
      <c r="E93" s="291">
        <f>'SAP BW Actual Usage'!F34</f>
        <v>29954</v>
      </c>
      <c r="F93" s="291">
        <f>'SAP BW Actual Usage'!G34</f>
        <v>29950</v>
      </c>
      <c r="G93" s="291">
        <f>'SAP BW Actual Usage'!H34</f>
        <v>29973</v>
      </c>
      <c r="H93" s="291">
        <f>'SAP BW Actual Usage'!I34</f>
        <v>29987</v>
      </c>
      <c r="I93" s="291">
        <f>'SAP BW Actual Usage'!J34</f>
        <v>29970</v>
      </c>
      <c r="J93" s="291">
        <f>'SAP BW Actual Usage'!K34</f>
        <v>30012</v>
      </c>
      <c r="K93" s="291">
        <f>'SAP BW Actual Usage'!L34</f>
        <v>30016</v>
      </c>
      <c r="L93" s="291">
        <f>'SAP BW Actual Usage'!M34</f>
        <v>30040</v>
      </c>
      <c r="M93" s="291">
        <f>'SAP BW Actual Usage'!N34</f>
        <v>30049</v>
      </c>
      <c r="O93" s="102"/>
      <c r="R93"/>
    </row>
    <row r="94" spans="1:20" x14ac:dyDescent="0.25">
      <c r="A94" s="185" t="s">
        <v>154</v>
      </c>
      <c r="B94" s="291">
        <f>'SAP BW Actual Usage'!C38</f>
        <v>90137</v>
      </c>
      <c r="C94" s="291">
        <f>'SAP BW Actual Usage'!D38</f>
        <v>90458</v>
      </c>
      <c r="D94" s="291">
        <f>'SAP BW Actual Usage'!E38</f>
        <v>90490</v>
      </c>
      <c r="E94" s="291">
        <f>'SAP BW Actual Usage'!F38</f>
        <v>90623</v>
      </c>
      <c r="F94" s="291">
        <f>'SAP BW Actual Usage'!G38</f>
        <v>90997</v>
      </c>
      <c r="G94" s="291">
        <f>'SAP BW Actual Usage'!H38</f>
        <v>91024</v>
      </c>
      <c r="H94" s="291">
        <f>'SAP BW Actual Usage'!I38</f>
        <v>90968</v>
      </c>
      <c r="I94" s="291">
        <f>'SAP BW Actual Usage'!J38</f>
        <v>91153</v>
      </c>
      <c r="J94" s="291">
        <f>'SAP BW Actual Usage'!K38</f>
        <v>91252</v>
      </c>
      <c r="K94" s="291">
        <f>'SAP BW Actual Usage'!L38</f>
        <v>91258</v>
      </c>
      <c r="L94" s="291">
        <f>'SAP BW Actual Usage'!M38</f>
        <v>91332</v>
      </c>
      <c r="M94" s="291">
        <f>'SAP BW Actual Usage'!N38</f>
        <v>91543</v>
      </c>
      <c r="O94" s="102"/>
      <c r="R94"/>
    </row>
    <row r="95" spans="1:20" x14ac:dyDescent="0.25">
      <c r="A95" s="185" t="s">
        <v>37</v>
      </c>
      <c r="B95" s="291">
        <f>'SAP BW Actual Usage'!C36</f>
        <v>308</v>
      </c>
      <c r="C95" s="291">
        <f>'SAP BW Actual Usage'!D36</f>
        <v>308</v>
      </c>
      <c r="D95" s="291">
        <f>'SAP BW Actual Usage'!E36</f>
        <v>310</v>
      </c>
      <c r="E95" s="291">
        <f>'SAP BW Actual Usage'!F36</f>
        <v>310</v>
      </c>
      <c r="F95" s="291">
        <f>'SAP BW Actual Usage'!G36</f>
        <v>311</v>
      </c>
      <c r="G95" s="291">
        <f>'SAP BW Actual Usage'!H36</f>
        <v>308</v>
      </c>
      <c r="H95" s="291">
        <f>'SAP BW Actual Usage'!I36</f>
        <v>307</v>
      </c>
      <c r="I95" s="291">
        <f>'SAP BW Actual Usage'!J36</f>
        <v>308</v>
      </c>
      <c r="J95" s="291">
        <f>'SAP BW Actual Usage'!K36</f>
        <v>305</v>
      </c>
      <c r="K95" s="291">
        <f>'SAP BW Actual Usage'!L36</f>
        <v>307</v>
      </c>
      <c r="L95" s="291">
        <f>'SAP BW Actual Usage'!M36</f>
        <v>305</v>
      </c>
      <c r="M95" s="291">
        <f>'SAP BW Actual Usage'!N36</f>
        <v>305</v>
      </c>
      <c r="O95" s="102"/>
      <c r="R95"/>
    </row>
    <row r="96" spans="1:20" x14ac:dyDescent="0.25">
      <c r="A96" s="185" t="s">
        <v>155</v>
      </c>
      <c r="B96" s="291">
        <f>'SAP BW Actual Usage'!C39</f>
        <v>6849</v>
      </c>
      <c r="C96" s="291">
        <f>'SAP BW Actual Usage'!D39</f>
        <v>6858</v>
      </c>
      <c r="D96" s="291">
        <f>'SAP BW Actual Usage'!E39</f>
        <v>6862</v>
      </c>
      <c r="E96" s="291">
        <f>'SAP BW Actual Usage'!F39</f>
        <v>6867</v>
      </c>
      <c r="F96" s="291">
        <f>'SAP BW Actual Usage'!G39</f>
        <v>6899</v>
      </c>
      <c r="G96" s="291">
        <f>'SAP BW Actual Usage'!H39</f>
        <v>6926</v>
      </c>
      <c r="H96" s="291">
        <f>'SAP BW Actual Usage'!I39</f>
        <v>6977</v>
      </c>
      <c r="I96" s="291">
        <f>'SAP BW Actual Usage'!J39</f>
        <v>7077</v>
      </c>
      <c r="J96" s="291">
        <f>'SAP BW Actual Usage'!K39</f>
        <v>7201</v>
      </c>
      <c r="K96" s="291">
        <f>'SAP BW Actual Usage'!L39</f>
        <v>7315</v>
      </c>
      <c r="L96" s="291">
        <f>'SAP BW Actual Usage'!M39</f>
        <v>7372</v>
      </c>
      <c r="M96" s="291">
        <f>'SAP BW Actual Usage'!N39</f>
        <v>7273</v>
      </c>
      <c r="O96" s="102"/>
      <c r="R96"/>
    </row>
    <row r="97" spans="1:18" x14ac:dyDescent="0.25">
      <c r="A97" s="185" t="s">
        <v>38</v>
      </c>
      <c r="B97" s="291">
        <f>'SAP BW Actual Usage'!C37</f>
        <v>14</v>
      </c>
      <c r="C97" s="291">
        <f>'SAP BW Actual Usage'!D37</f>
        <v>14</v>
      </c>
      <c r="D97" s="291">
        <f>'SAP BW Actual Usage'!E37</f>
        <v>14</v>
      </c>
      <c r="E97" s="291">
        <f>'SAP BW Actual Usage'!F37</f>
        <v>13</v>
      </c>
      <c r="F97" s="291">
        <f>'SAP BW Actual Usage'!G37</f>
        <v>13</v>
      </c>
      <c r="G97" s="291">
        <f>'SAP BW Actual Usage'!H37</f>
        <v>13</v>
      </c>
      <c r="H97" s="291">
        <f>'SAP BW Actual Usage'!I37</f>
        <v>13</v>
      </c>
      <c r="I97" s="291">
        <f>'SAP BW Actual Usage'!J37</f>
        <v>13</v>
      </c>
      <c r="J97" s="291">
        <f>'SAP BW Actual Usage'!K37</f>
        <v>13</v>
      </c>
      <c r="K97" s="291">
        <f>'SAP BW Actual Usage'!L37</f>
        <v>13</v>
      </c>
      <c r="L97" s="291">
        <f>'SAP BW Actual Usage'!M37</f>
        <v>13</v>
      </c>
      <c r="M97" s="291">
        <f>'SAP BW Actual Usage'!N37</f>
        <v>13</v>
      </c>
      <c r="O97" s="102"/>
      <c r="R97"/>
    </row>
    <row r="98" spans="1:18" x14ac:dyDescent="0.25">
      <c r="A98" s="185" t="s">
        <v>156</v>
      </c>
      <c r="B98" s="291">
        <f>'SAP BW Actual Usage'!C40</f>
        <v>780</v>
      </c>
      <c r="C98" s="291">
        <f>'SAP BW Actual Usage'!D40</f>
        <v>784</v>
      </c>
      <c r="D98" s="291">
        <f>'SAP BW Actual Usage'!E40</f>
        <v>782</v>
      </c>
      <c r="E98" s="291">
        <f>'SAP BW Actual Usage'!F40</f>
        <v>784</v>
      </c>
      <c r="F98" s="291">
        <f>'SAP BW Actual Usage'!G40</f>
        <v>787</v>
      </c>
      <c r="G98" s="291">
        <f>'SAP BW Actual Usage'!H40</f>
        <v>787</v>
      </c>
      <c r="H98" s="291">
        <f>'SAP BW Actual Usage'!I40</f>
        <v>790</v>
      </c>
      <c r="I98" s="291">
        <f>'SAP BW Actual Usage'!J40</f>
        <v>785</v>
      </c>
      <c r="J98" s="291">
        <f>'SAP BW Actual Usage'!K40</f>
        <v>786</v>
      </c>
      <c r="K98" s="291">
        <f>'SAP BW Actual Usage'!L40</f>
        <v>790</v>
      </c>
      <c r="L98" s="291">
        <f>'SAP BW Actual Usage'!M40</f>
        <v>819</v>
      </c>
      <c r="M98" s="291">
        <f>'SAP BW Actual Usage'!N40</f>
        <v>848</v>
      </c>
      <c r="O98" s="102"/>
      <c r="R98"/>
    </row>
    <row r="99" spans="1:18" x14ac:dyDescent="0.25">
      <c r="A99" s="185" t="s">
        <v>39</v>
      </c>
      <c r="B99" s="291">
        <f>'SAP BW Actual Usage'!C35</f>
        <v>13</v>
      </c>
      <c r="C99" s="291">
        <f>'SAP BW Actual Usage'!D35</f>
        <v>13</v>
      </c>
      <c r="D99" s="291">
        <f>'SAP BW Actual Usage'!E35</f>
        <v>13</v>
      </c>
      <c r="E99" s="291">
        <f>'SAP BW Actual Usage'!F35</f>
        <v>13</v>
      </c>
      <c r="F99" s="291">
        <f>'SAP BW Actual Usage'!G35</f>
        <v>13</v>
      </c>
      <c r="G99" s="291">
        <f>'SAP BW Actual Usage'!H35</f>
        <v>13</v>
      </c>
      <c r="H99" s="291">
        <f>'SAP BW Actual Usage'!I35</f>
        <v>13</v>
      </c>
      <c r="I99" s="291">
        <f>'SAP BW Actual Usage'!J35</f>
        <v>13</v>
      </c>
      <c r="J99" s="291">
        <f>'SAP BW Actual Usage'!K35</f>
        <v>13</v>
      </c>
      <c r="K99" s="291">
        <f>'SAP BW Actual Usage'!L35</f>
        <v>13</v>
      </c>
      <c r="L99" s="291">
        <f>'SAP BW Actual Usage'!M35</f>
        <v>13</v>
      </c>
      <c r="M99" s="291">
        <f>'SAP BW Actual Usage'!N35</f>
        <v>13</v>
      </c>
      <c r="O99" s="102"/>
      <c r="R99"/>
    </row>
    <row r="100" spans="1:18" x14ac:dyDescent="0.25">
      <c r="A100" s="185" t="s">
        <v>6</v>
      </c>
      <c r="B100" s="291">
        <f>'SAP BW Actual Usage'!C42</f>
        <v>467</v>
      </c>
      <c r="C100" s="291">
        <f>'SAP BW Actual Usage'!D42</f>
        <v>469</v>
      </c>
      <c r="D100" s="291">
        <f>'SAP BW Actual Usage'!E42</f>
        <v>468</v>
      </c>
      <c r="E100" s="291">
        <f>'SAP BW Actual Usage'!F42</f>
        <v>469</v>
      </c>
      <c r="F100" s="291">
        <f>'SAP BW Actual Usage'!G42</f>
        <v>467</v>
      </c>
      <c r="G100" s="291">
        <f>'SAP BW Actual Usage'!H42</f>
        <v>468</v>
      </c>
      <c r="H100" s="291">
        <f>'SAP BW Actual Usage'!I42</f>
        <v>469</v>
      </c>
      <c r="I100" s="291">
        <f>'SAP BW Actual Usage'!J42</f>
        <v>467</v>
      </c>
      <c r="J100" s="291">
        <f>'SAP BW Actual Usage'!K42</f>
        <v>468</v>
      </c>
      <c r="K100" s="291">
        <f>'SAP BW Actual Usage'!L42</f>
        <v>470</v>
      </c>
      <c r="L100" s="291">
        <f>'SAP BW Actual Usage'!M42</f>
        <v>469</v>
      </c>
      <c r="M100" s="291">
        <f>'SAP BW Actual Usage'!N42</f>
        <v>470</v>
      </c>
      <c r="O100" s="102"/>
      <c r="R100"/>
    </row>
    <row r="101" spans="1:18" x14ac:dyDescent="0.25">
      <c r="A101" s="185" t="s">
        <v>5</v>
      </c>
      <c r="B101" s="291">
        <f>'SAP BW Actual Usage'!C41</f>
        <v>667</v>
      </c>
      <c r="C101" s="291">
        <f>'SAP BW Actual Usage'!D41</f>
        <v>685</v>
      </c>
      <c r="D101" s="291">
        <f>'SAP BW Actual Usage'!E41</f>
        <v>683</v>
      </c>
      <c r="E101" s="291">
        <f>'SAP BW Actual Usage'!F41</f>
        <v>638</v>
      </c>
      <c r="F101" s="291">
        <f>'SAP BW Actual Usage'!G41</f>
        <v>551</v>
      </c>
      <c r="G101" s="291">
        <f>'SAP BW Actual Usage'!H41</f>
        <v>539</v>
      </c>
      <c r="H101" s="291">
        <f>'SAP BW Actual Usage'!I41</f>
        <v>533</v>
      </c>
      <c r="I101" s="291">
        <f>'SAP BW Actual Usage'!J41</f>
        <v>521</v>
      </c>
      <c r="J101" s="291">
        <f>'SAP BW Actual Usage'!K41</f>
        <v>529</v>
      </c>
      <c r="K101" s="291">
        <f>'SAP BW Actual Usage'!L41</f>
        <v>564</v>
      </c>
      <c r="L101" s="291">
        <f>'SAP BW Actual Usage'!M41</f>
        <v>629</v>
      </c>
      <c r="M101" s="291">
        <f>'SAP BW Actual Usage'!N41</f>
        <v>665</v>
      </c>
      <c r="O101" s="102"/>
      <c r="R101"/>
    </row>
    <row r="102" spans="1:18" x14ac:dyDescent="0.25">
      <c r="A102" s="185" t="s">
        <v>24</v>
      </c>
      <c r="B102" s="291">
        <f>'SAP BW Actual Usage'!C44</f>
        <v>131</v>
      </c>
      <c r="C102" s="291">
        <f>'SAP BW Actual Usage'!D44</f>
        <v>131</v>
      </c>
      <c r="D102" s="291">
        <f>'SAP BW Actual Usage'!E44</f>
        <v>131</v>
      </c>
      <c r="E102" s="291">
        <f>'SAP BW Actual Usage'!F44</f>
        <v>131</v>
      </c>
      <c r="F102" s="291">
        <f>'SAP BW Actual Usage'!G44</f>
        <v>130</v>
      </c>
      <c r="G102" s="291">
        <f>'SAP BW Actual Usage'!H44</f>
        <v>130</v>
      </c>
      <c r="H102" s="291">
        <f>'SAP BW Actual Usage'!I44</f>
        <v>130</v>
      </c>
      <c r="I102" s="291">
        <f>'SAP BW Actual Usage'!J44</f>
        <v>128</v>
      </c>
      <c r="J102" s="291">
        <f>'SAP BW Actual Usage'!K44</f>
        <v>128</v>
      </c>
      <c r="K102" s="291">
        <f>'SAP BW Actual Usage'!L44</f>
        <v>128</v>
      </c>
      <c r="L102" s="291">
        <f>'SAP BW Actual Usage'!M44</f>
        <v>128</v>
      </c>
      <c r="M102" s="291">
        <f>'SAP BW Actual Usage'!N44</f>
        <v>128</v>
      </c>
      <c r="O102" s="102"/>
      <c r="R102"/>
    </row>
    <row r="103" spans="1:18" x14ac:dyDescent="0.25">
      <c r="A103" s="186" t="s">
        <v>8</v>
      </c>
      <c r="B103" s="291">
        <f>'SAP BW Actual Usage'!C45</f>
        <v>158</v>
      </c>
      <c r="C103" s="291">
        <f>'SAP BW Actual Usage'!D45</f>
        <v>158</v>
      </c>
      <c r="D103" s="291">
        <f>'SAP BW Actual Usage'!E45</f>
        <v>157</v>
      </c>
      <c r="E103" s="291">
        <f>'SAP BW Actual Usage'!F45</f>
        <v>157</v>
      </c>
      <c r="F103" s="291">
        <f>'SAP BW Actual Usage'!G45</f>
        <v>157</v>
      </c>
      <c r="G103" s="291">
        <f>'SAP BW Actual Usage'!H45</f>
        <v>157</v>
      </c>
      <c r="H103" s="291">
        <f>'SAP BW Actual Usage'!I45</f>
        <v>157</v>
      </c>
      <c r="I103" s="291">
        <f>'SAP BW Actual Usage'!J45</f>
        <v>156</v>
      </c>
      <c r="J103" s="291">
        <f>'SAP BW Actual Usage'!K45</f>
        <v>156</v>
      </c>
      <c r="K103" s="291">
        <f>'SAP BW Actual Usage'!L45</f>
        <v>155</v>
      </c>
      <c r="L103" s="291">
        <f>'SAP BW Actual Usage'!M45</f>
        <v>155</v>
      </c>
      <c r="M103" s="291">
        <f>'SAP BW Actual Usage'!N45</f>
        <v>155</v>
      </c>
      <c r="O103" s="102"/>
      <c r="R103"/>
    </row>
    <row r="104" spans="1:18" x14ac:dyDescent="0.25">
      <c r="A104" s="294" t="s">
        <v>27</v>
      </c>
      <c r="B104" s="291">
        <f>'SAP BW Actual Usage'!C32</f>
        <v>8</v>
      </c>
      <c r="C104" s="291">
        <f>'SAP BW Actual Usage'!D32</f>
        <v>8</v>
      </c>
      <c r="D104" s="291">
        <f>'SAP BW Actual Usage'!E32</f>
        <v>8</v>
      </c>
      <c r="E104" s="291">
        <f>'SAP BW Actual Usage'!F32</f>
        <v>8</v>
      </c>
      <c r="F104" s="291">
        <f>'SAP BW Actual Usage'!G32</f>
        <v>8</v>
      </c>
      <c r="G104" s="291">
        <f>'SAP BW Actual Usage'!H32</f>
        <v>8</v>
      </c>
      <c r="H104" s="291">
        <f>'SAP BW Actual Usage'!I32</f>
        <v>8</v>
      </c>
      <c r="I104" s="291">
        <f>'SAP BW Actual Usage'!J32</f>
        <v>8</v>
      </c>
      <c r="J104" s="291">
        <f>'SAP BW Actual Usage'!K32</f>
        <v>8</v>
      </c>
      <c r="K104" s="291">
        <f>'SAP BW Actual Usage'!L32</f>
        <v>8</v>
      </c>
      <c r="L104" s="291">
        <f>'SAP BW Actual Usage'!M32</f>
        <v>8</v>
      </c>
      <c r="M104" s="291">
        <f>'SAP BW Actual Usage'!N32</f>
        <v>8</v>
      </c>
      <c r="O104" s="102"/>
      <c r="R104"/>
    </row>
    <row r="105" spans="1:18" x14ac:dyDescent="0.25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18" x14ac:dyDescent="0.25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8" x14ac:dyDescent="0.25">
      <c r="A107" s="318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</row>
    <row r="108" spans="1:18" x14ac:dyDescent="0.25">
      <c r="A108" s="318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8" x14ac:dyDescent="0.25">
      <c r="A109" s="318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8" x14ac:dyDescent="0.25">
      <c r="A110" s="318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8" x14ac:dyDescent="0.25"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8" x14ac:dyDescent="0.25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2:16" x14ac:dyDescent="0.25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</row>
    <row r="114" spans="2:16" x14ac:dyDescent="0.25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2:16" x14ac:dyDescent="0.25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</row>
    <row r="116" spans="2:16" x14ac:dyDescent="0.25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2:16" x14ac:dyDescent="0.25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</row>
    <row r="118" spans="2:16" x14ac:dyDescent="0.25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2:16" x14ac:dyDescent="0.25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</row>
    <row r="120" spans="2:16" x14ac:dyDescent="0.25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2:16" x14ac:dyDescent="0.25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2:16" x14ac:dyDescent="0.25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2:16" x14ac:dyDescent="0.25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</row>
    <row r="124" spans="2:16" x14ac:dyDescent="0.25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2:16" x14ac:dyDescent="0.25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</row>
    <row r="126" spans="2:16" x14ac:dyDescent="0.25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2:16" x14ac:dyDescent="0.25"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</row>
    <row r="128" spans="2:16" x14ac:dyDescent="0.25"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2:16" x14ac:dyDescent="0.25"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2:16" x14ac:dyDescent="0.25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2:16" x14ac:dyDescent="0.25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2" spans="2:16" x14ac:dyDescent="0.25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2:16" x14ac:dyDescent="0.25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</row>
    <row r="134" spans="2:16" x14ac:dyDescent="0.25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2:16" x14ac:dyDescent="0.25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</row>
    <row r="136" spans="2:16" x14ac:dyDescent="0.25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2:16" x14ac:dyDescent="0.25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2:16" x14ac:dyDescent="0.25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2:16" x14ac:dyDescent="0.25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</row>
    <row r="140" spans="2:16" x14ac:dyDescent="0.25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2:16" x14ac:dyDescent="0.25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2:16" x14ac:dyDescent="0.25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</sheetData>
  <phoneticPr fontId="2" type="noConversion"/>
  <printOptions horizontalCentered="1"/>
  <pageMargins left="0.7" right="0.7" top="0.75" bottom="0.75" header="0.3" footer="0.3"/>
  <pageSetup scale="38" orientation="landscape" r:id="rId1"/>
  <headerFooter alignWithMargins="0">
    <oddFooter xml:space="preserve">&amp;L&amp;F 
&amp;A&amp;RPage &amp;P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zoomScaleNormal="75" workbookViewId="0">
      <pane xSplit="1" ySplit="7" topLeftCell="H8" activePane="bottomRight" state="frozen"/>
      <selection activeCell="A66" sqref="A66"/>
      <selection pane="topRight" activeCell="A66" sqref="A66"/>
      <selection pane="bottomLeft" activeCell="A66" sqref="A66"/>
      <selection pane="bottomRight" sqref="A1:N45"/>
    </sheetView>
  </sheetViews>
  <sheetFormatPr defaultRowHeight="13.2" x14ac:dyDescent="0.25"/>
  <cols>
    <col min="1" max="1" width="27.6640625" customWidth="1"/>
    <col min="2" max="14" width="16" customWidth="1"/>
    <col min="16" max="16" width="14.33203125" customWidth="1"/>
    <col min="17" max="17" width="12.33203125" customWidth="1"/>
  </cols>
  <sheetData>
    <row r="1" spans="1:28" x14ac:dyDescent="0.25">
      <c r="A1" s="66" t="s">
        <v>41</v>
      </c>
    </row>
    <row r="2" spans="1:28" x14ac:dyDescent="0.25">
      <c r="A2" s="66" t="s">
        <v>28</v>
      </c>
    </row>
    <row r="3" spans="1:28" x14ac:dyDescent="0.25">
      <c r="A3" s="29"/>
    </row>
    <row r="4" spans="1:28" x14ac:dyDescent="0.25">
      <c r="A4" s="109"/>
    </row>
    <row r="5" spans="1:28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28" x14ac:dyDescent="0.25">
      <c r="A6" s="86" t="s">
        <v>25</v>
      </c>
    </row>
    <row r="7" spans="1:28" x14ac:dyDescent="0.25">
      <c r="A7" s="66" t="s">
        <v>26</v>
      </c>
      <c r="B7" s="62">
        <f>'Sales &amp; Revenue Adj.'!C5</f>
        <v>42917</v>
      </c>
      <c r="C7" s="62">
        <f>'Sales &amp; Revenue Adj.'!D5</f>
        <v>42948</v>
      </c>
      <c r="D7" s="62">
        <f>'Sales &amp; Revenue Adj.'!E5</f>
        <v>42979</v>
      </c>
      <c r="E7" s="62">
        <f>'Sales &amp; Revenue Adj.'!F5</f>
        <v>43009</v>
      </c>
      <c r="F7" s="62">
        <f>'Sales &amp; Revenue Adj.'!G5</f>
        <v>43040</v>
      </c>
      <c r="G7" s="62">
        <f>'Sales &amp; Revenue Adj.'!H5</f>
        <v>43070</v>
      </c>
      <c r="H7" s="62">
        <f>'Sales &amp; Revenue Adj.'!I5</f>
        <v>43101</v>
      </c>
      <c r="I7" s="62">
        <f>'Sales &amp; Revenue Adj.'!J5</f>
        <v>43132</v>
      </c>
      <c r="J7" s="62">
        <f>'Sales &amp; Revenue Adj.'!K5</f>
        <v>43160</v>
      </c>
      <c r="K7" s="62">
        <f>'Sales &amp; Revenue Adj.'!L5</f>
        <v>43191</v>
      </c>
      <c r="L7" s="62">
        <f>'Sales &amp; Revenue Adj.'!M5</f>
        <v>43221</v>
      </c>
      <c r="M7" s="62">
        <f>'Sales &amp; Revenue Adj.'!N5</f>
        <v>43252</v>
      </c>
      <c r="N7" s="85" t="s">
        <v>20</v>
      </c>
    </row>
    <row r="8" spans="1:28" x14ac:dyDescent="0.25">
      <c r="A8" s="96" t="s">
        <v>157</v>
      </c>
      <c r="B8" s="4">
        <f>'Actual Total Usage'!B8+'Temp Adj. by Schedule'!B45</f>
        <v>658894041.62972224</v>
      </c>
      <c r="C8" s="4">
        <f>'Actual Total Usage'!C8+'Temp Adj. by Schedule'!C45</f>
        <v>656660585.87971675</v>
      </c>
      <c r="D8" s="4">
        <f>'Actual Total Usage'!D8+'Temp Adj. by Schedule'!D45</f>
        <v>680605315.62592089</v>
      </c>
      <c r="E8" s="4">
        <f>'Actual Total Usage'!E8+'Temp Adj. by Schedule'!E45</f>
        <v>723424997.80796671</v>
      </c>
      <c r="F8" s="4">
        <f>'Actual Total Usage'!F8+'Temp Adj. by Schedule'!F45</f>
        <v>930248801.23494089</v>
      </c>
      <c r="G8" s="4">
        <f>'Actual Total Usage'!G8+'Temp Adj. by Schedule'!G45</f>
        <v>1094413505.7955956</v>
      </c>
      <c r="H8" s="4">
        <f>'Actual Total Usage'!H8+'Temp Adj. by Schedule'!H45</f>
        <v>1312478482.8336635</v>
      </c>
      <c r="I8" s="4">
        <f>'Actual Total Usage'!I8+'Temp Adj. by Schedule'!I45</f>
        <v>1081187639.0991576</v>
      </c>
      <c r="J8" s="4">
        <f>'Actual Total Usage'!J8+'Temp Adj. by Schedule'!J45</f>
        <v>1124111667.4870651</v>
      </c>
      <c r="K8" s="4">
        <f>'Actual Total Usage'!K8+'Temp Adj. by Schedule'!K45</f>
        <v>933663404.66798472</v>
      </c>
      <c r="L8" s="4">
        <f>'Actual Total Usage'!L8+'Temp Adj. by Schedule'!L45</f>
        <v>757682043.58456337</v>
      </c>
      <c r="M8" s="4">
        <f>'Actual Total Usage'!M8+'Temp Adj. by Schedule'!M45</f>
        <v>659761976.2122457</v>
      </c>
      <c r="N8" s="222">
        <f>SUM(B8:M8)</f>
        <v>10613132461.858545</v>
      </c>
      <c r="P8" s="231" t="s">
        <v>49</v>
      </c>
    </row>
    <row r="9" spans="1:28" x14ac:dyDescent="0.25">
      <c r="A9" s="89" t="s">
        <v>30</v>
      </c>
      <c r="B9" s="118">
        <f t="shared" ref="B9:I9" si="0">SUM(B8:B8)</f>
        <v>658894041.62972224</v>
      </c>
      <c r="C9" s="118">
        <f t="shared" si="0"/>
        <v>656660585.87971675</v>
      </c>
      <c r="D9" s="118">
        <f t="shared" si="0"/>
        <v>680605315.62592089</v>
      </c>
      <c r="E9" s="118">
        <f t="shared" si="0"/>
        <v>723424997.80796671</v>
      </c>
      <c r="F9" s="118">
        <f t="shared" si="0"/>
        <v>930248801.23494089</v>
      </c>
      <c r="G9" s="118">
        <f t="shared" si="0"/>
        <v>1094413505.7955956</v>
      </c>
      <c r="H9" s="118">
        <f t="shared" si="0"/>
        <v>1312478482.8336635</v>
      </c>
      <c r="I9" s="118">
        <f t="shared" si="0"/>
        <v>1081187639.0991576</v>
      </c>
      <c r="J9" s="118">
        <f t="shared" ref="J9:M9" si="1">SUM(J8:J8)</f>
        <v>1124111667.4870651</v>
      </c>
      <c r="K9" s="118">
        <f t="shared" si="1"/>
        <v>933663404.66798472</v>
      </c>
      <c r="L9" s="118">
        <f t="shared" si="1"/>
        <v>757682043.58456337</v>
      </c>
      <c r="M9" s="118">
        <f t="shared" si="1"/>
        <v>659761976.2122457</v>
      </c>
      <c r="N9" s="223">
        <f>SUM(B9:M9)</f>
        <v>10613132461.858545</v>
      </c>
      <c r="P9" s="230">
        <f>N9-'Actual Total Usage'!N9</f>
        <v>-855.29145431518555</v>
      </c>
      <c r="Q9" s="229">
        <f>P9-'Temp Adj. by Schedule'!N45</f>
        <v>2.5616027414798737E-6</v>
      </c>
    </row>
    <row r="10" spans="1:28" x14ac:dyDescent="0.25">
      <c r="A10" s="90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24"/>
      <c r="P10" s="231"/>
      <c r="Q10" s="229"/>
    </row>
    <row r="11" spans="1:28" x14ac:dyDescent="0.25">
      <c r="A11" s="96" t="s">
        <v>36</v>
      </c>
      <c r="B11" s="4">
        <f>'Actual Total Usage'!B11+'Temp Adj. by Schedule'!B46</f>
        <v>17546340.522994556</v>
      </c>
      <c r="C11" s="4">
        <f>'Actual Total Usage'!C11+'Temp Adj. by Schedule'!C46</f>
        <v>18139883.374833222</v>
      </c>
      <c r="D11" s="4">
        <f>'Actual Total Usage'!D11+'Temp Adj. by Schedule'!D46</f>
        <v>18181857.826849706</v>
      </c>
      <c r="E11" s="4">
        <f>'Actual Total Usage'!E11+'Temp Adj. by Schedule'!E46</f>
        <v>18582963.458887614</v>
      </c>
      <c r="F11" s="4">
        <f>'Actual Total Usage'!F11+'Temp Adj. by Schedule'!F46</f>
        <v>21088754.555132009</v>
      </c>
      <c r="G11" s="4">
        <f>'Actual Total Usage'!G11+'Temp Adj. by Schedule'!G46</f>
        <v>24459374.342622668</v>
      </c>
      <c r="H11" s="4">
        <f>'Actual Total Usage'!H11+'Temp Adj. by Schedule'!H46</f>
        <v>28654898.408190101</v>
      </c>
      <c r="I11" s="4">
        <f>'Actual Total Usage'!I11+'Temp Adj. by Schedule'!I46</f>
        <v>25073657.200204019</v>
      </c>
      <c r="J11" s="4">
        <f>'Actual Total Usage'!J11+'Temp Adj. by Schedule'!J46</f>
        <v>25226861.772845555</v>
      </c>
      <c r="K11" s="4">
        <f>'Actual Total Usage'!K11+'Temp Adj. by Schedule'!K46</f>
        <v>21936594.336895831</v>
      </c>
      <c r="L11" s="4">
        <f>'Actual Total Usage'!L11+'Temp Adj. by Schedule'!L46</f>
        <v>18274189.460017748</v>
      </c>
      <c r="M11" s="4">
        <f>'Actual Total Usage'!M11+'Temp Adj. by Schedule'!M46</f>
        <v>17660630.35421354</v>
      </c>
      <c r="N11" s="222">
        <f t="shared" ref="N11:N13" si="2">SUM(B11:M11)</f>
        <v>254826005.61368656</v>
      </c>
      <c r="P11" s="230">
        <f>N11-'Actual Total Usage'!N11</f>
        <v>303425.14668655396</v>
      </c>
      <c r="Q11" s="229">
        <f>P11-'Temp Adj. by Schedule'!N46</f>
        <v>-2.0721927285194397E-8</v>
      </c>
    </row>
    <row r="12" spans="1:28" s="87" customFormat="1" x14ac:dyDescent="0.25">
      <c r="A12" s="96" t="s">
        <v>154</v>
      </c>
      <c r="B12" s="119">
        <f>'Actual Total Usage'!B12+'Temp Adj. by Schedule'!B47</f>
        <v>197060696.3548086</v>
      </c>
      <c r="C12" s="119">
        <f>'Actual Total Usage'!C12+'Temp Adj. by Schedule'!C47</f>
        <v>204227884.30366391</v>
      </c>
      <c r="D12" s="119">
        <f>'Actual Total Usage'!D12+'Temp Adj. by Schedule'!D47</f>
        <v>205706536.25590017</v>
      </c>
      <c r="E12" s="119">
        <f>'Actual Total Usage'!E12+'Temp Adj. by Schedule'!E47</f>
        <v>197179214.55455342</v>
      </c>
      <c r="F12" s="119">
        <f>'Actual Total Usage'!F12+'Temp Adj. by Schedule'!F47</f>
        <v>211448559.41047817</v>
      </c>
      <c r="G12" s="119">
        <f>'Actual Total Usage'!G12+'Temp Adj. by Schedule'!G47</f>
        <v>225235779.31702974</v>
      </c>
      <c r="H12" s="119">
        <f>'Actual Total Usage'!H12+'Temp Adj. by Schedule'!H47</f>
        <v>250024272.26772556</v>
      </c>
      <c r="I12" s="119">
        <f>'Actual Total Usage'!I12+'Temp Adj. by Schedule'!I47</f>
        <v>220054811.4900369</v>
      </c>
      <c r="J12" s="119">
        <f>'Actual Total Usage'!J12+'Temp Adj. by Schedule'!J47</f>
        <v>225313379.37077683</v>
      </c>
      <c r="K12" s="119">
        <f>'Actual Total Usage'!K12+'Temp Adj. by Schedule'!K47</f>
        <v>201269301.62262839</v>
      </c>
      <c r="L12" s="119">
        <f>'Actual Total Usage'!L12+'Temp Adj. by Schedule'!L47</f>
        <v>186293063.81996647</v>
      </c>
      <c r="M12" s="119">
        <f>'Actual Total Usage'!M12+'Temp Adj. by Schedule'!M47</f>
        <v>183469569.60039744</v>
      </c>
      <c r="N12" s="93">
        <f t="shared" si="2"/>
        <v>2507283068.3679657</v>
      </c>
      <c r="P12" s="230">
        <f>N12-'Actual Total Usage'!N12</f>
        <v>-5753273.1070337296</v>
      </c>
      <c r="Q12" s="229">
        <f>P12-'Temp Adj. by Schedule'!N47</f>
        <v>5.7090073823928833E-7</v>
      </c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x14ac:dyDescent="0.25">
      <c r="A13" s="89" t="s">
        <v>31</v>
      </c>
      <c r="B13" s="118">
        <f t="shared" ref="B13:I13" si="3">SUM(B11:B12)</f>
        <v>214607036.87780315</v>
      </c>
      <c r="C13" s="118">
        <f t="shared" si="3"/>
        <v>222367767.67849714</v>
      </c>
      <c r="D13" s="118">
        <f t="shared" si="3"/>
        <v>223888394.08274987</v>
      </c>
      <c r="E13" s="118">
        <f t="shared" si="3"/>
        <v>215762178.01344103</v>
      </c>
      <c r="F13" s="118">
        <f t="shared" si="3"/>
        <v>232537313.96561018</v>
      </c>
      <c r="G13" s="118">
        <f t="shared" si="3"/>
        <v>249695153.65965241</v>
      </c>
      <c r="H13" s="118">
        <f t="shared" si="3"/>
        <v>278679170.67591566</v>
      </c>
      <c r="I13" s="118">
        <f t="shared" si="3"/>
        <v>245128468.69024092</v>
      </c>
      <c r="J13" s="118">
        <f t="shared" ref="J13:M13" si="4">SUM(J11:J12)</f>
        <v>250540241.1436224</v>
      </c>
      <c r="K13" s="118">
        <f t="shared" si="4"/>
        <v>223205895.95952421</v>
      </c>
      <c r="L13" s="118">
        <f t="shared" si="4"/>
        <v>204567253.27998421</v>
      </c>
      <c r="M13" s="118">
        <f t="shared" si="4"/>
        <v>201130199.95461097</v>
      </c>
      <c r="N13" s="223">
        <f t="shared" si="2"/>
        <v>2762109073.9816518</v>
      </c>
      <c r="P13" s="230"/>
      <c r="Q13" s="229"/>
    </row>
    <row r="14" spans="1:28" x14ac:dyDescent="0.25">
      <c r="A14" s="9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22"/>
      <c r="P14" s="231"/>
      <c r="Q14" s="229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5">
      <c r="A15" s="96" t="s">
        <v>37</v>
      </c>
      <c r="B15" s="4">
        <f>'Actual Total Usage'!B15+'Temp Adj. by Schedule'!B48</f>
        <v>10778802.113290669</v>
      </c>
      <c r="C15" s="4">
        <f>'Actual Total Usage'!C15+'Temp Adj. by Schedule'!C48</f>
        <v>11168633.586424574</v>
      </c>
      <c r="D15" s="4">
        <f>'Actual Total Usage'!D15+'Temp Adj. by Schedule'!D48</f>
        <v>11287740.082671423</v>
      </c>
      <c r="E15" s="4">
        <f>'Actual Total Usage'!E15+'Temp Adj. by Schedule'!E48</f>
        <v>11298317.354748208</v>
      </c>
      <c r="F15" s="4">
        <f>'Actual Total Usage'!F15+'Temp Adj. by Schedule'!F48</f>
        <v>12620920.644639069</v>
      </c>
      <c r="G15" s="4">
        <f>'Actual Total Usage'!G15+'Temp Adj. by Schedule'!G48</f>
        <v>13845410.36650556</v>
      </c>
      <c r="H15" s="4">
        <f>'Actual Total Usage'!H15+'Temp Adj. by Schedule'!H48</f>
        <v>15470485.043487655</v>
      </c>
      <c r="I15" s="4">
        <f>'Actual Total Usage'!I15+'Temp Adj. by Schedule'!I48</f>
        <v>13187126.153901452</v>
      </c>
      <c r="J15" s="4">
        <f>'Actual Total Usage'!J15+'Temp Adj. by Schedule'!J48</f>
        <v>13737264.614201911</v>
      </c>
      <c r="K15" s="4">
        <f>'Actual Total Usage'!K15+'Temp Adj. by Schedule'!K48</f>
        <v>11948583.093601178</v>
      </c>
      <c r="L15" s="4">
        <f>'Actual Total Usage'!L15+'Temp Adj. by Schedule'!L48</f>
        <v>10738488.103565283</v>
      </c>
      <c r="M15" s="4">
        <f>'Actual Total Usage'!M15+'Temp Adj. by Schedule'!M48</f>
        <v>10184884.897620693</v>
      </c>
      <c r="N15" s="222">
        <f t="shared" ref="N15:N17" si="5">SUM(B15:M15)</f>
        <v>146266656.0546577</v>
      </c>
      <c r="P15" s="230">
        <f>N15-'Actual Total Usage'!N15</f>
        <v>-163281.88434231281</v>
      </c>
      <c r="Q15" s="229">
        <f>P15-'Temp Adj. by Schedule'!N48</f>
        <v>1.4959368854761124E-8</v>
      </c>
    </row>
    <row r="16" spans="1:28" s="87" customFormat="1" x14ac:dyDescent="0.25">
      <c r="A16" s="96" t="s">
        <v>155</v>
      </c>
      <c r="B16" s="119">
        <f>'Actual Total Usage'!B16+'Temp Adj. by Schedule'!B49</f>
        <v>221692420.17289704</v>
      </c>
      <c r="C16" s="119">
        <f>'Actual Total Usage'!C16+'Temp Adj. by Schedule'!C49</f>
        <v>225581758.55201086</v>
      </c>
      <c r="D16" s="119">
        <f>'Actual Total Usage'!D16+'Temp Adj. by Schedule'!D49</f>
        <v>228919058.67592686</v>
      </c>
      <c r="E16" s="119">
        <f>'Actual Total Usage'!E16+'Temp Adj. by Schedule'!E49</f>
        <v>222720641.78357276</v>
      </c>
      <c r="F16" s="119">
        <f>'Actual Total Usage'!F16+'Temp Adj. by Schedule'!F49</f>
        <v>226575014.95395771</v>
      </c>
      <c r="G16" s="119">
        <f>'Actual Total Usage'!G16+'Temp Adj. by Schedule'!G49</f>
        <v>237970772.23299929</v>
      </c>
      <c r="H16" s="119">
        <f>'Actual Total Usage'!H16+'Temp Adj. by Schedule'!H49</f>
        <v>258226822.54609665</v>
      </c>
      <c r="I16" s="119">
        <f>'Actual Total Usage'!I16+'Temp Adj. by Schedule'!I49</f>
        <v>243931871.93364576</v>
      </c>
      <c r="J16" s="119">
        <f>'Actual Total Usage'!J16+'Temp Adj. by Schedule'!J49</f>
        <v>248833854.19228622</v>
      </c>
      <c r="K16" s="119">
        <f>'Actual Total Usage'!K16+'Temp Adj. by Schedule'!K49</f>
        <v>231705069.87074754</v>
      </c>
      <c r="L16" s="119">
        <f>'Actual Total Usage'!L16+'Temp Adj. by Schedule'!L49</f>
        <v>227065267.98029324</v>
      </c>
      <c r="M16" s="119">
        <f>'Actual Total Usage'!M16+'Temp Adj. by Schedule'!M49</f>
        <v>221957562.72834712</v>
      </c>
      <c r="N16" s="93">
        <f t="shared" si="5"/>
        <v>2795180115.6227813</v>
      </c>
      <c r="P16" s="230">
        <f>N16-'Actual Total Usage'!N16</f>
        <v>-6998799.6822185516</v>
      </c>
      <c r="Q16" s="229">
        <f>P16-'Temp Adj. by Schedule'!N49</f>
        <v>4.6007335186004639E-7</v>
      </c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x14ac:dyDescent="0.25">
      <c r="A17" s="89" t="s">
        <v>32</v>
      </c>
      <c r="B17" s="118">
        <f t="shared" ref="B17:I17" si="6">SUM(B15:B16)</f>
        <v>232471222.28618771</v>
      </c>
      <c r="C17" s="118">
        <f t="shared" si="6"/>
        <v>236750392.13843542</v>
      </c>
      <c r="D17" s="118">
        <f t="shared" si="6"/>
        <v>240206798.7585983</v>
      </c>
      <c r="E17" s="118">
        <f t="shared" si="6"/>
        <v>234018959.13832098</v>
      </c>
      <c r="F17" s="118">
        <f t="shared" si="6"/>
        <v>239195935.59859678</v>
      </c>
      <c r="G17" s="118">
        <f t="shared" si="6"/>
        <v>251816182.59950486</v>
      </c>
      <c r="H17" s="118">
        <f t="shared" si="6"/>
        <v>273697307.58958429</v>
      </c>
      <c r="I17" s="118">
        <f t="shared" si="6"/>
        <v>257118998.08754721</v>
      </c>
      <c r="J17" s="118">
        <f t="shared" ref="J17:M17" si="7">SUM(J15:J16)</f>
        <v>262571118.80648813</v>
      </c>
      <c r="K17" s="118">
        <f t="shared" si="7"/>
        <v>243653652.9643487</v>
      </c>
      <c r="L17" s="118">
        <f t="shared" si="7"/>
        <v>237803756.08385852</v>
      </c>
      <c r="M17" s="118">
        <f t="shared" si="7"/>
        <v>232142447.6259678</v>
      </c>
      <c r="N17" s="223">
        <f t="shared" si="5"/>
        <v>2941446771.6774392</v>
      </c>
      <c r="P17" s="230"/>
      <c r="Q17" s="229"/>
    </row>
    <row r="18" spans="1:28" x14ac:dyDescent="0.25">
      <c r="A18" s="9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222"/>
      <c r="P18" s="231"/>
      <c r="Q18" s="229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x14ac:dyDescent="0.25">
      <c r="A19" s="96" t="s">
        <v>38</v>
      </c>
      <c r="B19" s="4">
        <f>'Actual Total Usage'!B19+'Temp Adj. by Schedule'!B50</f>
        <v>1329877.3817082283</v>
      </c>
      <c r="C19" s="4">
        <f>'Actual Total Usage'!C19+'Temp Adj. by Schedule'!C50</f>
        <v>1845531.5030203923</v>
      </c>
      <c r="D19" s="4">
        <f>'Actual Total Usage'!D19+'Temp Adj. by Schedule'!D50</f>
        <v>1354103.3082648991</v>
      </c>
      <c r="E19" s="4">
        <f>'Actual Total Usage'!E19+'Temp Adj. by Schedule'!E50</f>
        <v>1237624.9833100806</v>
      </c>
      <c r="F19" s="4">
        <f>'Actual Total Usage'!F19+'Temp Adj. by Schedule'!F50</f>
        <v>1303184.3433294799</v>
      </c>
      <c r="G19" s="4">
        <f>'Actual Total Usage'!G19+'Temp Adj. by Schedule'!G50</f>
        <v>1462386.9690412425</v>
      </c>
      <c r="H19" s="4">
        <f>'Actual Total Usage'!H19+'Temp Adj. by Schedule'!H50</f>
        <v>1744576.1891262766</v>
      </c>
      <c r="I19" s="4">
        <f>'Actual Total Usage'!I19+'Temp Adj. by Schedule'!I50</f>
        <v>1371364.8512512157</v>
      </c>
      <c r="J19" s="4">
        <f>'Actual Total Usage'!J19+'Temp Adj. by Schedule'!J50</f>
        <v>1534190.6394492632</v>
      </c>
      <c r="K19" s="4">
        <f>'Actual Total Usage'!K19+'Temp Adj. by Schedule'!K50</f>
        <v>1459101.4286596116</v>
      </c>
      <c r="L19" s="4">
        <f>'Actual Total Usage'!L19+'Temp Adj. by Schedule'!L50</f>
        <v>1140729.0829373805</v>
      </c>
      <c r="M19" s="4">
        <f>'Actual Total Usage'!M19+'Temp Adj. by Schedule'!M50</f>
        <v>961587.03333755094</v>
      </c>
      <c r="N19" s="222">
        <f t="shared" ref="N19:N21" si="8">SUM(B19:M19)</f>
        <v>16744257.713435624</v>
      </c>
      <c r="P19" s="230">
        <f>N19-'Actual Total Usage'!N19</f>
        <v>-7322.2865643762052</v>
      </c>
      <c r="Q19" s="229">
        <f>P19-'Temp Adj. by Schedule'!N50</f>
        <v>2.8667272999882698E-9</v>
      </c>
    </row>
    <row r="20" spans="1:28" s="87" customFormat="1" x14ac:dyDescent="0.25">
      <c r="A20" s="96" t="s">
        <v>156</v>
      </c>
      <c r="B20" s="119">
        <f>'Actual Total Usage'!B20+'Temp Adj. by Schedule'!B51</f>
        <v>154039874.75306422</v>
      </c>
      <c r="C20" s="119">
        <f>'Actual Total Usage'!C20+'Temp Adj. by Schedule'!C51</f>
        <v>159855404.0126456</v>
      </c>
      <c r="D20" s="119">
        <f>'Actual Total Usage'!D20+'Temp Adj. by Schedule'!D51</f>
        <v>160027241.77914882</v>
      </c>
      <c r="E20" s="119">
        <f>'Actual Total Usage'!E20+'Temp Adj. by Schedule'!E51</f>
        <v>153566890.4797205</v>
      </c>
      <c r="F20" s="119">
        <f>'Actual Total Usage'!F20+'Temp Adj. by Schedule'!F51</f>
        <v>150533987.42890406</v>
      </c>
      <c r="G20" s="119">
        <f>'Actual Total Usage'!G20+'Temp Adj. by Schedule'!G51</f>
        <v>152626582.23302045</v>
      </c>
      <c r="H20" s="119">
        <f>'Actual Total Usage'!H20+'Temp Adj. by Schedule'!H51</f>
        <v>156985371.57488182</v>
      </c>
      <c r="I20" s="119">
        <f>'Actual Total Usage'!I20+'Temp Adj. by Schedule'!I51</f>
        <v>157309688.38501245</v>
      </c>
      <c r="J20" s="119">
        <f>'Actual Total Usage'!J20+'Temp Adj. by Schedule'!J51</f>
        <v>146458795.71732599</v>
      </c>
      <c r="K20" s="119">
        <f>'Actual Total Usage'!K20+'Temp Adj. by Schedule'!K51</f>
        <v>143276163.91998932</v>
      </c>
      <c r="L20" s="119">
        <f>'Actual Total Usage'!L20+'Temp Adj. by Schedule'!L51</f>
        <v>148922466.30326706</v>
      </c>
      <c r="M20" s="119">
        <f>'Actual Total Usage'!M20+'Temp Adj. by Schedule'!M51</f>
        <v>155036885.38062063</v>
      </c>
      <c r="N20" s="93">
        <f t="shared" si="8"/>
        <v>1838639351.9676008</v>
      </c>
      <c r="P20" s="230">
        <f>N20-'Actual Total Usage'!N20</f>
        <v>-5562227.5333991051</v>
      </c>
      <c r="Q20" s="229">
        <f>P20-'Temp Adj. by Schedule'!N51</f>
        <v>0</v>
      </c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x14ac:dyDescent="0.25">
      <c r="A21" s="89" t="s">
        <v>33</v>
      </c>
      <c r="B21" s="118">
        <f t="shared" ref="B21:I21" si="9">SUM(B19:B20)</f>
        <v>155369752.13477245</v>
      </c>
      <c r="C21" s="118">
        <f t="shared" si="9"/>
        <v>161700935.51566601</v>
      </c>
      <c r="D21" s="118">
        <f t="shared" si="9"/>
        <v>161381345.08741373</v>
      </c>
      <c r="E21" s="118">
        <f t="shared" si="9"/>
        <v>154804515.46303058</v>
      </c>
      <c r="F21" s="118">
        <f t="shared" si="9"/>
        <v>151837171.77223355</v>
      </c>
      <c r="G21" s="118">
        <f t="shared" si="9"/>
        <v>154088969.20206168</v>
      </c>
      <c r="H21" s="118">
        <f t="shared" si="9"/>
        <v>158729947.7640081</v>
      </c>
      <c r="I21" s="118">
        <f t="shared" si="9"/>
        <v>158681053.23626366</v>
      </c>
      <c r="J21" s="118">
        <f t="shared" ref="J21:M21" si="10">SUM(J19:J20)</f>
        <v>147992986.35677525</v>
      </c>
      <c r="K21" s="118">
        <f t="shared" si="10"/>
        <v>144735265.34864894</v>
      </c>
      <c r="L21" s="118">
        <f t="shared" si="10"/>
        <v>150063195.38620445</v>
      </c>
      <c r="M21" s="118">
        <f t="shared" si="10"/>
        <v>155998472.41395819</v>
      </c>
      <c r="N21" s="223">
        <f t="shared" si="8"/>
        <v>1855383609.6810365</v>
      </c>
      <c r="P21" s="230"/>
      <c r="Q21" s="229"/>
    </row>
    <row r="22" spans="1:28" x14ac:dyDescent="0.25">
      <c r="A22" s="9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222"/>
      <c r="P22" s="231"/>
      <c r="Q22" s="229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x14ac:dyDescent="0.25">
      <c r="A23" s="96" t="s">
        <v>39</v>
      </c>
      <c r="B23" s="4">
        <f>'Actual Total Usage'!B23+'Temp Adj. by Schedule'!B52</f>
        <v>2318723.6259187958</v>
      </c>
      <c r="C23" s="4">
        <f>'Actual Total Usage'!C23+'Temp Adj. by Schedule'!C52</f>
        <v>2207579.3717055526</v>
      </c>
      <c r="D23" s="4">
        <f>'Actual Total Usage'!D23+'Temp Adj. by Schedule'!D52</f>
        <v>2350779.4807544542</v>
      </c>
      <c r="E23" s="4">
        <f>'Actual Total Usage'!E23+'Temp Adj. by Schedule'!E52</f>
        <v>2388730.0651890007</v>
      </c>
      <c r="F23" s="4">
        <f>'Actual Total Usage'!F23+'Temp Adj. by Schedule'!F52</f>
        <v>2489577.4512784733</v>
      </c>
      <c r="G23" s="4">
        <f>'Actual Total Usage'!G23+'Temp Adj. by Schedule'!G52</f>
        <v>2771890.0270020925</v>
      </c>
      <c r="H23" s="4">
        <f>'Actual Total Usage'!H23+'Temp Adj. by Schedule'!H52</f>
        <v>3227846.7362234136</v>
      </c>
      <c r="I23" s="4">
        <f>'Actual Total Usage'!I23+'Temp Adj. by Schedule'!I52</f>
        <v>2532171.4745036447</v>
      </c>
      <c r="J23" s="4">
        <f>'Actual Total Usage'!J23+'Temp Adj. by Schedule'!J52</f>
        <v>2846020.5046865037</v>
      </c>
      <c r="K23" s="4">
        <f>'Actual Total Usage'!K23+'Temp Adj. by Schedule'!K52</f>
        <v>2501464.6140567041</v>
      </c>
      <c r="L23" s="4">
        <f>'Actual Total Usage'!L23+'Temp Adj. by Schedule'!L52</f>
        <v>2295608.6316458848</v>
      </c>
      <c r="M23" s="4">
        <f>'Actual Total Usage'!M23+'Temp Adj. by Schedule'!M52</f>
        <v>2300899.6721446877</v>
      </c>
      <c r="N23" s="222">
        <f t="shared" ref="N23:N25" si="11">SUM(B23:M23)</f>
        <v>30231291.655109208</v>
      </c>
      <c r="P23" s="230">
        <f>N23-'Actual Total Usage'!N23</f>
        <v>-33608.344890791923</v>
      </c>
      <c r="Q23" s="229">
        <f>P23-'Temp Adj. by Schedule'!N52</f>
        <v>5.6752469390630722E-10</v>
      </c>
    </row>
    <row r="24" spans="1:28" s="87" customFormat="1" x14ac:dyDescent="0.25">
      <c r="A24" s="96" t="s">
        <v>6</v>
      </c>
      <c r="B24" s="119">
        <f>'Actual Total Usage'!B24+'Temp Adj. by Schedule'!B53</f>
        <v>99336942.710418314</v>
      </c>
      <c r="C24" s="119">
        <f>'Actual Total Usage'!C24+'Temp Adj. by Schedule'!C53</f>
        <v>109352653.63572814</v>
      </c>
      <c r="D24" s="119">
        <f>'Actual Total Usage'!D24+'Temp Adj. by Schedule'!D53</f>
        <v>106766959.42036006</v>
      </c>
      <c r="E24" s="119">
        <f>'Actual Total Usage'!E24+'Temp Adj. by Schedule'!E53</f>
        <v>108904393.63582963</v>
      </c>
      <c r="F24" s="119">
        <f>'Actual Total Usage'!F24+'Temp Adj. by Schedule'!F53</f>
        <v>101330241.10630409</v>
      </c>
      <c r="G24" s="119">
        <f>'Actual Total Usage'!G24+'Temp Adj. by Schedule'!G53</f>
        <v>105148594.94594525</v>
      </c>
      <c r="H24" s="119">
        <f>'Actual Total Usage'!H24+'Temp Adj. by Schedule'!H53</f>
        <v>111778531.82077776</v>
      </c>
      <c r="I24" s="119">
        <f>'Actual Total Usage'!I24+'Temp Adj. by Schedule'!I53</f>
        <v>112151044.02028885</v>
      </c>
      <c r="J24" s="119">
        <f>'Actual Total Usage'!J24+'Temp Adj. by Schedule'!J53</f>
        <v>100944363.29917958</v>
      </c>
      <c r="K24" s="119">
        <f>'Actual Total Usage'!K24+'Temp Adj. by Schedule'!K53</f>
        <v>106268329.08517618</v>
      </c>
      <c r="L24" s="119">
        <f>'Actual Total Usage'!L24+'Temp Adj. by Schedule'!L53</f>
        <v>103221910.35878736</v>
      </c>
      <c r="M24" s="119">
        <f>'Actual Total Usage'!M24+'Temp Adj. by Schedule'!M53</f>
        <v>100986596.46566468</v>
      </c>
      <c r="N24" s="93">
        <f t="shared" si="11"/>
        <v>1266190560.5044599</v>
      </c>
      <c r="P24" s="230">
        <f>N24-'Actual Total Usage'!N24</f>
        <v>-2056255.2185401917</v>
      </c>
      <c r="Q24" s="229">
        <f>P24-'Temp Adj. by Schedule'!N53</f>
        <v>-1.5832483768463135E-7</v>
      </c>
    </row>
    <row r="25" spans="1:28" x14ac:dyDescent="0.25">
      <c r="A25" s="89" t="s">
        <v>34</v>
      </c>
      <c r="B25" s="118">
        <f t="shared" ref="B25:I25" si="12">SUM(B23:B24)</f>
        <v>101655666.3363371</v>
      </c>
      <c r="C25" s="118">
        <f t="shared" si="12"/>
        <v>111560233.00743368</v>
      </c>
      <c r="D25" s="118">
        <f t="shared" si="12"/>
        <v>109117738.90111451</v>
      </c>
      <c r="E25" s="118">
        <f t="shared" si="12"/>
        <v>111293123.70101863</v>
      </c>
      <c r="F25" s="118">
        <f t="shared" si="12"/>
        <v>103819818.55758257</v>
      </c>
      <c r="G25" s="118">
        <f t="shared" si="12"/>
        <v>107920484.97294734</v>
      </c>
      <c r="H25" s="118">
        <f t="shared" si="12"/>
        <v>115006378.55700117</v>
      </c>
      <c r="I25" s="118">
        <f t="shared" si="12"/>
        <v>114683215.49479251</v>
      </c>
      <c r="J25" s="118">
        <f t="shared" ref="J25:M25" si="13">SUM(J23:J24)</f>
        <v>103790383.80386609</v>
      </c>
      <c r="K25" s="118">
        <f t="shared" si="13"/>
        <v>108769793.69923289</v>
      </c>
      <c r="L25" s="118">
        <f t="shared" si="13"/>
        <v>105517518.99043325</v>
      </c>
      <c r="M25" s="118">
        <f t="shared" si="13"/>
        <v>103287496.13780937</v>
      </c>
      <c r="N25" s="223">
        <f t="shared" si="11"/>
        <v>1296421852.159569</v>
      </c>
      <c r="P25" s="230"/>
      <c r="Q25" s="229"/>
    </row>
    <row r="26" spans="1:28" x14ac:dyDescent="0.25">
      <c r="A26" s="9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222"/>
      <c r="P26" s="231"/>
      <c r="Q26" s="229"/>
    </row>
    <row r="27" spans="1:28" x14ac:dyDescent="0.25">
      <c r="A27" s="89" t="s">
        <v>5</v>
      </c>
      <c r="B27" s="4">
        <f>'Actual Total Usage'!B27+'Temp Adj. by Schedule'!B54</f>
        <v>2328257.7683941089</v>
      </c>
      <c r="C27" s="4">
        <f>'Actual Total Usage'!C27+'Temp Adj. by Schedule'!C54</f>
        <v>3968953.8757158439</v>
      </c>
      <c r="D27" s="4">
        <f>'Actual Total Usage'!D27+'Temp Adj. by Schedule'!D54</f>
        <v>3517131.927690322</v>
      </c>
      <c r="E27" s="4">
        <f>'Actual Total Usage'!E27+'Temp Adj. by Schedule'!E54</f>
        <v>1543509.81</v>
      </c>
      <c r="F27" s="4">
        <f>'Actual Total Usage'!F27+'Temp Adj. by Schedule'!F54</f>
        <v>346375.08299999998</v>
      </c>
      <c r="G27" s="4">
        <f>'Actual Total Usage'!G27+'Temp Adj. by Schedule'!G54</f>
        <v>205569.367</v>
      </c>
      <c r="H27" s="4">
        <f>'Actual Total Usage'!H27+'Temp Adj. by Schedule'!H54</f>
        <v>269388.78899999999</v>
      </c>
      <c r="I27" s="4">
        <f>'Actual Total Usage'!I27+'Temp Adj. by Schedule'!I54</f>
        <v>276136.7</v>
      </c>
      <c r="J27" s="4">
        <f>'Actual Total Usage'!J27+'Temp Adj. by Schedule'!J54</f>
        <v>280808.11599999998</v>
      </c>
      <c r="K27" s="4">
        <f>'Actual Total Usage'!K27+'Temp Adj. by Schedule'!K54</f>
        <v>266694.74800000002</v>
      </c>
      <c r="L27" s="4">
        <f>'Actual Total Usage'!L27+'Temp Adj. by Schedule'!L54</f>
        <v>692132.65385390399</v>
      </c>
      <c r="M27" s="4">
        <f>'Actual Total Usage'!M27+'Temp Adj. by Schedule'!M54</f>
        <v>1853365.0875184496</v>
      </c>
      <c r="N27" s="222">
        <f t="shared" ref="N27:N30" si="14">SUM(B27:M27)</f>
        <v>15548323.926172631</v>
      </c>
      <c r="P27" s="230">
        <f>N27-'Actual Total Usage'!N27</f>
        <v>-403837.91482737288</v>
      </c>
      <c r="Q27" s="229">
        <f>P27-'Temp Adj. by Schedule'!N54</f>
        <v>-7.5669959187507629E-10</v>
      </c>
    </row>
    <row r="28" spans="1:28" x14ac:dyDescent="0.25">
      <c r="A28" s="89" t="s">
        <v>24</v>
      </c>
      <c r="B28" s="4">
        <f>'Actual Total Usage'!B28+'Temp Adj. by Schedule'!B55</f>
        <v>49907456.940690741</v>
      </c>
      <c r="C28" s="4">
        <f>'Actual Total Usage'!C28+'Temp Adj. by Schedule'!C55</f>
        <v>49145707.734358422</v>
      </c>
      <c r="D28" s="4">
        <f>'Actual Total Usage'!D28+'Temp Adj. by Schedule'!D55</f>
        <v>49904450.215834305</v>
      </c>
      <c r="E28" s="4">
        <f>'Actual Total Usage'!E28+'Temp Adj. by Schedule'!E55</f>
        <v>48251451.971464165</v>
      </c>
      <c r="F28" s="4">
        <f>'Actual Total Usage'!F28+'Temp Adj. by Schedule'!F55</f>
        <v>42313064.209356591</v>
      </c>
      <c r="G28" s="4">
        <f>'Actual Total Usage'!G28+'Temp Adj. by Schedule'!G55</f>
        <v>48020551.16522716</v>
      </c>
      <c r="H28" s="4">
        <f>'Actual Total Usage'!H28+'Temp Adj. by Schedule'!H55</f>
        <v>46069022.971372664</v>
      </c>
      <c r="I28" s="4">
        <f>'Actual Total Usage'!I28+'Temp Adj. by Schedule'!I55</f>
        <v>43733919.691333957</v>
      </c>
      <c r="J28" s="4">
        <f>'Actual Total Usage'!J28+'Temp Adj. by Schedule'!J55</f>
        <v>44486104.677806675</v>
      </c>
      <c r="K28" s="4">
        <f>'Actual Total Usage'!K28+'Temp Adj. by Schedule'!K55</f>
        <v>42585838.534201734</v>
      </c>
      <c r="L28" s="4">
        <f>'Actual Total Usage'!L28+'Temp Adj. by Schedule'!L55</f>
        <v>42098701.132862717</v>
      </c>
      <c r="M28" s="4">
        <f>'Actual Total Usage'!M28+'Temp Adj. by Schedule'!M55</f>
        <v>36355963.409268282</v>
      </c>
      <c r="N28" s="222">
        <f t="shared" si="14"/>
        <v>542872232.65377736</v>
      </c>
      <c r="P28" s="230">
        <f>N28-'Actual Total Usage'!N28</f>
        <v>-1733687.057222724</v>
      </c>
      <c r="Q28" s="229">
        <f>P28-'Temp Adj. by Schedule'!N55</f>
        <v>-1.4132820069789886E-7</v>
      </c>
    </row>
    <row r="29" spans="1:28" s="98" customFormat="1" x14ac:dyDescent="0.25">
      <c r="A29" s="101" t="s">
        <v>8</v>
      </c>
      <c r="B29" s="4">
        <f>'Actual Total Usage'!B29+'Temp Adj. by Schedule'!B56</f>
        <v>6488899.4027672326</v>
      </c>
      <c r="C29" s="4">
        <f>'Actual Total Usage'!C29+'Temp Adj. by Schedule'!C56</f>
        <v>4963443.4815661293</v>
      </c>
      <c r="D29" s="4">
        <f>'Actual Total Usage'!D29+'Temp Adj. by Schedule'!D56</f>
        <v>5672604.7487057708</v>
      </c>
      <c r="E29" s="4">
        <f>'Actual Total Usage'!E29+'Temp Adj. by Schedule'!E56</f>
        <v>7895961.2866747677</v>
      </c>
      <c r="F29" s="4">
        <f>'Actual Total Usage'!F29+'Temp Adj. by Schedule'!F56</f>
        <v>10230605.779712135</v>
      </c>
      <c r="G29" s="4">
        <f>'Actual Total Usage'!G29+'Temp Adj. by Schedule'!G56</f>
        <v>12262536.163220888</v>
      </c>
      <c r="H29" s="4">
        <f>'Actual Total Usage'!H29+'Temp Adj. by Schedule'!H56</f>
        <v>15984509.200517865</v>
      </c>
      <c r="I29" s="4">
        <f>'Actual Total Usage'!I29+'Temp Adj. by Schedule'!I56</f>
        <v>12542908.577137293</v>
      </c>
      <c r="J29" s="4">
        <f>'Actual Total Usage'!J29+'Temp Adj. by Schedule'!J56</f>
        <v>14881072.003024999</v>
      </c>
      <c r="K29" s="4">
        <f>'Actual Total Usage'!K29+'Temp Adj. by Schedule'!K56</f>
        <v>12291254.040215736</v>
      </c>
      <c r="L29" s="4">
        <f>'Actual Total Usage'!L29+'Temp Adj. by Schedule'!L56</f>
        <v>9723226.7737213261</v>
      </c>
      <c r="M29" s="4">
        <f>'Actual Total Usage'!M29+'Temp Adj. by Schedule'!M56</f>
        <v>8185652.6829803651</v>
      </c>
      <c r="N29" s="225">
        <f t="shared" si="14"/>
        <v>121122674.14024448</v>
      </c>
      <c r="P29" s="230">
        <f>N29-'Actual Total Usage'!N29</f>
        <v>461100.14024449885</v>
      </c>
      <c r="Q29" s="229">
        <f>P29-'Temp Adj. by Schedule'!N56</f>
        <v>-7.1595422923564911E-9</v>
      </c>
    </row>
    <row r="30" spans="1:28" x14ac:dyDescent="0.25">
      <c r="A30" s="95" t="s">
        <v>59</v>
      </c>
      <c r="B30" s="4">
        <f>'Actual Total Usage'!B30+'Temp Adj. by Schedule'!B57</f>
        <v>319635.49044475897</v>
      </c>
      <c r="C30" s="4">
        <f>'Actual Total Usage'!C30+'Temp Adj. by Schedule'!C57</f>
        <v>273977.94013726938</v>
      </c>
      <c r="D30" s="4">
        <f>'Actual Total Usage'!D30+'Temp Adj. by Schedule'!D57</f>
        <v>264483.07251259673</v>
      </c>
      <c r="E30" s="4">
        <f>'Actual Total Usage'!E30+'Temp Adj. by Schedule'!E57</f>
        <v>357424.12363547145</v>
      </c>
      <c r="F30" s="4">
        <f>'Actual Total Usage'!F30+'Temp Adj. by Schedule'!F57</f>
        <v>567262.39856614114</v>
      </c>
      <c r="G30" s="4">
        <f>'Actual Total Usage'!G30+'Temp Adj. by Schedule'!G57</f>
        <v>784253.96643726935</v>
      </c>
      <c r="H30" s="4">
        <f>'Actual Total Usage'!H30+'Temp Adj. by Schedule'!H57</f>
        <v>1029010.5756855715</v>
      </c>
      <c r="I30" s="4">
        <f>'Actual Total Usage'!I30+'Temp Adj. by Schedule'!I57</f>
        <v>877424.39898533048</v>
      </c>
      <c r="J30" s="4">
        <f>'Actual Total Usage'!J30+'Temp Adj. by Schedule'!J57</f>
        <v>945410.87945338455</v>
      </c>
      <c r="K30" s="4">
        <f>'Actual Total Usage'!K30+'Temp Adj. by Schedule'!K57</f>
        <v>781385.86538892204</v>
      </c>
      <c r="L30" s="4">
        <f>'Actual Total Usage'!L30+'Temp Adj. by Schedule'!L57</f>
        <v>601117.35555260349</v>
      </c>
      <c r="M30" s="4">
        <f>'Actual Total Usage'!M30+'Temp Adj. by Schedule'!M57</f>
        <v>387267.51144258055</v>
      </c>
      <c r="N30" s="222">
        <f t="shared" si="14"/>
        <v>7188653.5782418996</v>
      </c>
      <c r="P30" s="230">
        <f>N30-'Actual Total Usage'!N30</f>
        <v>21773.57824189961</v>
      </c>
      <c r="Q30" s="229">
        <f>P30-'Temp Adj. by Schedule'!N57</f>
        <v>0</v>
      </c>
    </row>
    <row r="31" spans="1:28" x14ac:dyDescent="0.25">
      <c r="A31" s="9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24"/>
      <c r="P31" s="231"/>
      <c r="Q31" s="229"/>
    </row>
    <row r="32" spans="1:28" s="90" customFormat="1" x14ac:dyDescent="0.25">
      <c r="A32" s="95" t="s">
        <v>21</v>
      </c>
      <c r="B32" s="118">
        <f t="shared" ref="B32:N32" si="15">SUM(B9,B13,B17,B21,B25,B27:B30)</f>
        <v>1422041968.8671193</v>
      </c>
      <c r="C32" s="118">
        <f t="shared" si="15"/>
        <v>1447391997.2515266</v>
      </c>
      <c r="D32" s="118">
        <f t="shared" si="15"/>
        <v>1474558262.4205403</v>
      </c>
      <c r="E32" s="118">
        <f t="shared" si="15"/>
        <v>1497352121.3155522</v>
      </c>
      <c r="F32" s="118">
        <f t="shared" si="15"/>
        <v>1711096348.5995989</v>
      </c>
      <c r="G32" s="118">
        <f t="shared" si="15"/>
        <v>1919207206.8916476</v>
      </c>
      <c r="H32" s="118">
        <f t="shared" si="15"/>
        <v>2201943218.9567485</v>
      </c>
      <c r="I32" s="118">
        <f t="shared" si="15"/>
        <v>1914229763.9754586</v>
      </c>
      <c r="J32" s="118">
        <f t="shared" si="15"/>
        <v>1949599793.274102</v>
      </c>
      <c r="K32" s="118">
        <f t="shared" ref="K32:M32" si="16">SUM(K9,K13,K17,K21,K25,K27:K30)</f>
        <v>1709953185.8275456</v>
      </c>
      <c r="L32" s="118">
        <f t="shared" si="16"/>
        <v>1508748945.2410345</v>
      </c>
      <c r="M32" s="118">
        <f t="shared" si="16"/>
        <v>1399102841.0358019</v>
      </c>
      <c r="N32" s="223">
        <f t="shared" si="15"/>
        <v>20155225653.656681</v>
      </c>
      <c r="O32" s="91"/>
      <c r="P32" s="230">
        <f>N32-'Actual Total Usage'!N32</f>
        <v>-21926849.455314636</v>
      </c>
      <c r="Q32" s="229">
        <f>SUM(Q9:Q30)</f>
        <v>3.2826792448759079E-6</v>
      </c>
    </row>
    <row r="33" spans="1:16" s="90" customFormat="1" x14ac:dyDescent="0.25">
      <c r="A33" s="95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1:16" x14ac:dyDescent="0.25">
      <c r="A34" t="s">
        <v>46</v>
      </c>
      <c r="B34" s="84">
        <f>IF(B32=0,0,B32/'Actual Total Usage'!B32-1)</f>
        <v>-6.4412474661428298E-3</v>
      </c>
      <c r="C34" s="84">
        <f>IF(C32=0,0,C32/'Actual Total Usage'!C32-1)</f>
        <v>-3.4816184166005404E-2</v>
      </c>
      <c r="D34" s="84">
        <f>IF(D32=0,0,D32/'Actual Total Usage'!D32-1)</f>
        <v>-1.0039543878374468E-2</v>
      </c>
      <c r="E34" s="84">
        <f>IF(E32=0,0,E32/'Actual Total Usage'!E32-1)</f>
        <v>-7.5598973447299489E-4</v>
      </c>
      <c r="F34" s="84">
        <f>IF(F32=0,0,F32/'Actual Total Usage'!F32-1)</f>
        <v>1.2038852890229546E-2</v>
      </c>
      <c r="G34" s="84">
        <f>IF(G32=0,0,G32/'Actual Total Usage'!G32-1)</f>
        <v>-1.2140465061051486E-2</v>
      </c>
      <c r="H34" s="84">
        <f>IF(H32=0,0,H32/'Actual Total Usage'!H32-1)</f>
        <v>3.9614649000135893E-2</v>
      </c>
      <c r="I34" s="84">
        <f>IF(I32=0,0,I32/'Actual Total Usage'!I32-1)</f>
        <v>-2.6875345504306147E-2</v>
      </c>
      <c r="J34" s="84">
        <f>IF(J32=0,0,J32/'Actual Total Usage'!J32-1)</f>
        <v>2.9244019817145084E-3</v>
      </c>
      <c r="K34" s="84">
        <f>IF(K32=0,0,K32/'Actual Total Usage'!K32-1)</f>
        <v>6.1917196233030047E-3</v>
      </c>
      <c r="L34" s="84">
        <f>IF(L32=0,0,L32/'Actual Total Usage'!L32-1)</f>
        <v>1.1496379505191223E-2</v>
      </c>
      <c r="M34" s="84">
        <f>IF(M32=0,0,M32/'Actual Total Usage'!M32-1)</f>
        <v>-3.9672899326562705E-3</v>
      </c>
      <c r="N34" s="84">
        <f>N32/'Actual Total Usage'!N32-1</f>
        <v>-1.0867167432041525E-3</v>
      </c>
      <c r="P34" s="295">
        <f>P32/'Actual Total Usage'!N32</f>
        <v>-1.0867167432041156E-3</v>
      </c>
    </row>
    <row r="35" spans="1:16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6" x14ac:dyDescent="0.25">
      <c r="A36" s="86" t="s"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6" x14ac:dyDescent="0.25">
      <c r="A37" s="66" t="s">
        <v>26</v>
      </c>
      <c r="B37" s="62">
        <f t="shared" ref="B37:J37" si="17">B7</f>
        <v>42917</v>
      </c>
      <c r="C37" s="62">
        <f t="shared" si="17"/>
        <v>42948</v>
      </c>
      <c r="D37" s="62">
        <f t="shared" si="17"/>
        <v>42979</v>
      </c>
      <c r="E37" s="62">
        <f t="shared" si="17"/>
        <v>43009</v>
      </c>
      <c r="F37" s="62">
        <f t="shared" si="17"/>
        <v>43040</v>
      </c>
      <c r="G37" s="62">
        <f t="shared" si="17"/>
        <v>43070</v>
      </c>
      <c r="H37" s="62">
        <f t="shared" si="17"/>
        <v>43101</v>
      </c>
      <c r="I37" s="62">
        <f t="shared" si="17"/>
        <v>43132</v>
      </c>
      <c r="J37" s="62">
        <f t="shared" si="17"/>
        <v>43160</v>
      </c>
      <c r="K37" s="62">
        <f t="shared" ref="K37:M37" si="18">K7</f>
        <v>43191</v>
      </c>
      <c r="L37" s="62">
        <f t="shared" si="18"/>
        <v>43221</v>
      </c>
      <c r="M37" s="62">
        <f t="shared" si="18"/>
        <v>43252</v>
      </c>
      <c r="N37" s="85" t="s">
        <v>20</v>
      </c>
    </row>
    <row r="38" spans="1:16" x14ac:dyDescent="0.25">
      <c r="A38" s="67" t="s">
        <v>22</v>
      </c>
      <c r="B38" s="4">
        <f>'Actual Total Usage'!B37</f>
        <v>5603974.716</v>
      </c>
      <c r="C38" s="4">
        <f>'Actual Total Usage'!C37</f>
        <v>6166496.4989999998</v>
      </c>
      <c r="D38" s="4">
        <f>'Actual Total Usage'!D37</f>
        <v>5741176.2850000001</v>
      </c>
      <c r="E38" s="4">
        <f>'Actual Total Usage'!E37</f>
        <v>6157825.6359999999</v>
      </c>
      <c r="F38" s="4">
        <f>'Actual Total Usage'!F37</f>
        <v>5712703.4900000002</v>
      </c>
      <c r="G38" s="4">
        <f>'Actual Total Usage'!G37</f>
        <v>6172147.8329999996</v>
      </c>
      <c r="H38" s="4">
        <f>'Actual Total Usage'!H37</f>
        <v>5833297.7620000001</v>
      </c>
      <c r="I38" s="4">
        <f>'Actual Total Usage'!I37</f>
        <v>5903361.0930000003</v>
      </c>
      <c r="J38" s="4">
        <f>'Actual Total Usage'!J37</f>
        <v>5627651.4330000002</v>
      </c>
      <c r="K38" s="4">
        <f>'Actual Total Usage'!K37</f>
        <v>6038794.7130000005</v>
      </c>
      <c r="L38" s="4">
        <f>'Actual Total Usage'!L37</f>
        <v>6061283.9859999996</v>
      </c>
      <c r="M38" s="4">
        <f>'Actual Total Usage'!M37</f>
        <v>5842414.602</v>
      </c>
      <c r="N38" s="4">
        <f>SUM(B38:M38)</f>
        <v>70861128.048000008</v>
      </c>
    </row>
    <row r="39" spans="1:16" x14ac:dyDescent="0.25">
      <c r="A39" s="67" t="s">
        <v>40</v>
      </c>
      <c r="B39" s="4">
        <f>'Actual Total Usage'!B38</f>
        <v>50982145.237999998</v>
      </c>
      <c r="C39" s="4">
        <f>'Actual Total Usage'!C38</f>
        <v>55577022.233000003</v>
      </c>
      <c r="D39" s="4">
        <f>'Actual Total Usage'!D38</f>
        <v>55220358.689999998</v>
      </c>
      <c r="E39" s="4">
        <f>'Actual Total Usage'!E38</f>
        <v>53158183.479000002</v>
      </c>
      <c r="F39" s="4">
        <f>'Actual Total Usage'!F38</f>
        <v>55187671.693000004</v>
      </c>
      <c r="G39" s="4">
        <f>'Actual Total Usage'!G38</f>
        <v>49183661.733000003</v>
      </c>
      <c r="H39" s="4">
        <f>'Actual Total Usage'!H38</f>
        <v>51923761.625</v>
      </c>
      <c r="I39" s="4">
        <f>'Actual Total Usage'!I38</f>
        <v>83844828.819000006</v>
      </c>
      <c r="J39" s="4">
        <f>'Actual Total Usage'!J38</f>
        <v>16550318.004999999</v>
      </c>
      <c r="K39" s="4">
        <f>'Actual Total Usage'!K38</f>
        <v>52598779.873999998</v>
      </c>
      <c r="L39" s="4">
        <f>'Actual Total Usage'!L38</f>
        <v>51025804.240999997</v>
      </c>
      <c r="M39" s="4">
        <f>'Actual Total Usage'!M38</f>
        <v>53857181.723000005</v>
      </c>
      <c r="N39" s="4">
        <f t="shared" ref="N39:N40" si="19">SUM(B39:M39)</f>
        <v>629109717.35300004</v>
      </c>
    </row>
    <row r="40" spans="1:16" x14ac:dyDescent="0.25">
      <c r="A40" s="67" t="s">
        <v>7</v>
      </c>
      <c r="B40" s="4">
        <f>'Actual Total Usage'!B39</f>
        <v>526200</v>
      </c>
      <c r="C40" s="4">
        <f>'Actual Total Usage'!C39</f>
        <v>1019400</v>
      </c>
      <c r="D40" s="4">
        <f>'Actual Total Usage'!D39</f>
        <v>791400</v>
      </c>
      <c r="E40" s="4">
        <f>'Actual Total Usage'!E39</f>
        <v>672600</v>
      </c>
      <c r="F40" s="4">
        <f>'Actual Total Usage'!F39</f>
        <v>325800</v>
      </c>
      <c r="G40" s="4">
        <f>'Actual Total Usage'!G39</f>
        <v>3000</v>
      </c>
      <c r="H40" s="4">
        <f>'Actual Total Usage'!H39</f>
        <v>6000</v>
      </c>
      <c r="I40" s="4">
        <f>'Actual Total Usage'!I39</f>
        <v>5400</v>
      </c>
      <c r="J40" s="4">
        <f>'Actual Total Usage'!J39</f>
        <v>5400</v>
      </c>
      <c r="K40" s="4">
        <f>'Actual Total Usage'!K39</f>
        <v>2496.6</v>
      </c>
      <c r="L40" s="4">
        <f>'Actual Total Usage'!L39</f>
        <v>357143.4</v>
      </c>
      <c r="M40" s="4">
        <f>'Actual Total Usage'!M39</f>
        <v>628320</v>
      </c>
      <c r="N40" s="4">
        <f t="shared" si="19"/>
        <v>4343160</v>
      </c>
    </row>
    <row r="41" spans="1:16" x14ac:dyDescent="0.25">
      <c r="A41" s="67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6" x14ac:dyDescent="0.25">
      <c r="A42" s="95" t="s">
        <v>21</v>
      </c>
      <c r="B42" s="118">
        <f t="shared" ref="B42:N42" si="20">SUM(B38:B40)</f>
        <v>57112319.953999996</v>
      </c>
      <c r="C42" s="118">
        <f t="shared" si="20"/>
        <v>62762918.732000001</v>
      </c>
      <c r="D42" s="118">
        <f t="shared" si="20"/>
        <v>61752934.974999994</v>
      </c>
      <c r="E42" s="118">
        <f t="shared" si="20"/>
        <v>59988609.115000002</v>
      </c>
      <c r="F42" s="118">
        <f t="shared" si="20"/>
        <v>61226175.183000006</v>
      </c>
      <c r="G42" s="118">
        <f t="shared" si="20"/>
        <v>55358809.566</v>
      </c>
      <c r="H42" s="118">
        <f t="shared" si="20"/>
        <v>57763059.387000002</v>
      </c>
      <c r="I42" s="118">
        <f t="shared" si="20"/>
        <v>89753589.912</v>
      </c>
      <c r="J42" s="118">
        <f t="shared" si="20"/>
        <v>22183369.438000001</v>
      </c>
      <c r="K42" s="118">
        <f t="shared" ref="K42:M42" si="21">SUM(K38:K40)</f>
        <v>58640071.186999999</v>
      </c>
      <c r="L42" s="118">
        <f t="shared" si="21"/>
        <v>57444231.626999997</v>
      </c>
      <c r="M42" s="118">
        <f t="shared" si="21"/>
        <v>60327916.325000003</v>
      </c>
      <c r="N42" s="118">
        <f t="shared" si="20"/>
        <v>704314005.40100002</v>
      </c>
    </row>
    <row r="43" spans="1:16" x14ac:dyDescent="0.25">
      <c r="A43" s="2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6" x14ac:dyDescent="0.25">
      <c r="A44" s="2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6" s="94" customFormat="1" ht="13.8" thickBot="1" x14ac:dyDescent="0.3">
      <c r="A45" s="92" t="s">
        <v>23</v>
      </c>
      <c r="B45" s="117">
        <f t="shared" ref="B45:N45" si="22">B42+B32</f>
        <v>1479154288.8211193</v>
      </c>
      <c r="C45" s="117">
        <f t="shared" si="22"/>
        <v>1510154915.9835267</v>
      </c>
      <c r="D45" s="117">
        <f t="shared" si="22"/>
        <v>1536311197.3955402</v>
      </c>
      <c r="E45" s="117">
        <f t="shared" si="22"/>
        <v>1557340730.4305522</v>
      </c>
      <c r="F45" s="117">
        <f t="shared" si="22"/>
        <v>1772322523.782599</v>
      </c>
      <c r="G45" s="117">
        <f t="shared" si="22"/>
        <v>1974566016.4576476</v>
      </c>
      <c r="H45" s="117">
        <f t="shared" si="22"/>
        <v>2259706278.3437486</v>
      </c>
      <c r="I45" s="117">
        <f t="shared" si="22"/>
        <v>2003983353.8874586</v>
      </c>
      <c r="J45" s="117">
        <f t="shared" si="22"/>
        <v>1971783162.7121019</v>
      </c>
      <c r="K45" s="117">
        <f t="shared" ref="K45:M45" si="23">K42+K32</f>
        <v>1768593257.0145457</v>
      </c>
      <c r="L45" s="117">
        <f t="shared" si="23"/>
        <v>1566193176.8680346</v>
      </c>
      <c r="M45" s="117">
        <f t="shared" si="23"/>
        <v>1459430757.3608019</v>
      </c>
      <c r="N45" s="117">
        <f t="shared" si="22"/>
        <v>20859539659.057682</v>
      </c>
    </row>
    <row r="46" spans="1:16" ht="15.6" thickTop="1" x14ac:dyDescent="0.4">
      <c r="A46" s="29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6" x14ac:dyDescent="0.25">
      <c r="B47" s="291"/>
      <c r="C47" s="291"/>
      <c r="D47" s="291"/>
      <c r="E47" s="291"/>
      <c r="F47" s="291"/>
    </row>
    <row r="48" spans="1:16" x14ac:dyDescent="0.25">
      <c r="B48" s="291"/>
      <c r="C48" s="291"/>
      <c r="D48" s="291"/>
      <c r="E48" s="291"/>
      <c r="F48" s="291"/>
    </row>
    <row r="49" spans="2:6" x14ac:dyDescent="0.25">
      <c r="B49" s="291"/>
      <c r="C49" s="291"/>
      <c r="D49" s="291"/>
      <c r="E49" s="291"/>
      <c r="F49" s="291"/>
    </row>
    <row r="50" spans="2:6" x14ac:dyDescent="0.25">
      <c r="B50" s="291"/>
      <c r="C50" s="291"/>
      <c r="D50" s="291"/>
      <c r="E50" s="291"/>
      <c r="F50" s="291"/>
    </row>
    <row r="51" spans="2:6" x14ac:dyDescent="0.25">
      <c r="B51" s="291"/>
      <c r="C51" s="291"/>
      <c r="D51" s="291"/>
      <c r="E51" s="291"/>
      <c r="F51" s="291"/>
    </row>
    <row r="52" spans="2:6" x14ac:dyDescent="0.25">
      <c r="B52" s="291"/>
      <c r="C52" s="291"/>
      <c r="D52" s="291"/>
      <c r="E52" s="291"/>
      <c r="F52" s="291"/>
    </row>
    <row r="54" spans="2:6" x14ac:dyDescent="0.25">
      <c r="B54" s="291"/>
      <c r="C54" s="291"/>
      <c r="D54" s="291"/>
      <c r="E54" s="291"/>
      <c r="F54" s="291"/>
    </row>
    <row r="55" spans="2:6" x14ac:dyDescent="0.25">
      <c r="B55" s="291"/>
      <c r="C55" s="291"/>
      <c r="D55" s="291"/>
      <c r="E55" s="291"/>
      <c r="F55" s="291"/>
    </row>
  </sheetData>
  <phoneticPr fontId="2" type="noConversion"/>
  <printOptions horizontalCentered="1"/>
  <pageMargins left="0.7" right="0.7" top="0.75" bottom="0.75" header="0.3" footer="0.3"/>
  <pageSetup scale="53" orientation="landscape" r:id="rId1"/>
  <headerFooter alignWithMargins="0">
    <oddFooter xml:space="preserve">&amp;L&amp;F 
&amp;A&amp;RPage &amp;P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zoomScaleNormal="75" workbookViewId="0">
      <pane xSplit="1" ySplit="7" topLeftCell="E29" activePane="bottomRight" state="frozen"/>
      <selection pane="topRight"/>
      <selection pane="bottomLeft"/>
      <selection pane="bottomRight" sqref="A1:N44"/>
    </sheetView>
  </sheetViews>
  <sheetFormatPr defaultRowHeight="13.2" x14ac:dyDescent="0.25"/>
  <cols>
    <col min="1" max="1" width="27.6640625" customWidth="1"/>
    <col min="2" max="14" width="16" customWidth="1"/>
  </cols>
  <sheetData>
    <row r="1" spans="1:28" x14ac:dyDescent="0.25">
      <c r="A1" s="66" t="s">
        <v>29</v>
      </c>
    </row>
    <row r="2" spans="1:28" x14ac:dyDescent="0.25">
      <c r="A2" s="66" t="s">
        <v>28</v>
      </c>
    </row>
    <row r="3" spans="1:28" x14ac:dyDescent="0.25">
      <c r="A3" s="90" t="s">
        <v>171</v>
      </c>
    </row>
    <row r="4" spans="1:28" x14ac:dyDescent="0.25">
      <c r="A4" s="109" t="s">
        <v>60</v>
      </c>
    </row>
    <row r="5" spans="1:28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28" x14ac:dyDescent="0.25">
      <c r="A6" s="86" t="s">
        <v>25</v>
      </c>
    </row>
    <row r="7" spans="1:28" x14ac:dyDescent="0.25">
      <c r="A7" s="66" t="s">
        <v>26</v>
      </c>
      <c r="B7" s="62">
        <f>'Sales &amp; Revenue Adj.'!C5</f>
        <v>42917</v>
      </c>
      <c r="C7" s="62">
        <f>'Sales &amp; Revenue Adj.'!D5</f>
        <v>42948</v>
      </c>
      <c r="D7" s="62">
        <f>'Sales &amp; Revenue Adj.'!E5</f>
        <v>42979</v>
      </c>
      <c r="E7" s="62">
        <f>'Sales &amp; Revenue Adj.'!F5</f>
        <v>43009</v>
      </c>
      <c r="F7" s="62">
        <f>'Sales &amp; Revenue Adj.'!G5</f>
        <v>43040</v>
      </c>
      <c r="G7" s="62">
        <f>'Sales &amp; Revenue Adj.'!H5</f>
        <v>43070</v>
      </c>
      <c r="H7" s="62">
        <f>'Sales &amp; Revenue Adj.'!I5</f>
        <v>43101</v>
      </c>
      <c r="I7" s="62">
        <f>'Sales &amp; Revenue Adj.'!J5</f>
        <v>43132</v>
      </c>
      <c r="J7" s="62">
        <f>'Sales &amp; Revenue Adj.'!K5</f>
        <v>43160</v>
      </c>
      <c r="K7" s="62">
        <f>'Sales &amp; Revenue Adj.'!L5</f>
        <v>43191</v>
      </c>
      <c r="L7" s="62">
        <f>'Sales &amp; Revenue Adj.'!M5</f>
        <v>43221</v>
      </c>
      <c r="M7" s="62">
        <f>'Sales &amp; Revenue Adj.'!N5</f>
        <v>43252</v>
      </c>
      <c r="N7" s="85" t="s">
        <v>20</v>
      </c>
    </row>
    <row r="8" spans="1:28" x14ac:dyDescent="0.25">
      <c r="A8" s="96" t="s">
        <v>157</v>
      </c>
      <c r="B8" s="64">
        <f>'SAP BW Actual Usage'!C9</f>
        <v>664888038.56400001</v>
      </c>
      <c r="C8" s="64">
        <f>'SAP BW Actual Usage'!D9</f>
        <v>690580774.47000003</v>
      </c>
      <c r="D8" s="64">
        <f>'SAP BW Actual Usage'!E9</f>
        <v>690326368.44099998</v>
      </c>
      <c r="E8" s="64">
        <f>'SAP BW Actual Usage'!F9</f>
        <v>721568629.23800004</v>
      </c>
      <c r="F8" s="64">
        <f>'SAP BW Actual Usage'!G9</f>
        <v>914087283.24000001</v>
      </c>
      <c r="G8" s="64">
        <f>'SAP BW Actual Usage'!H9</f>
        <v>1113734555.5109999</v>
      </c>
      <c r="H8" s="64">
        <f>'SAP BW Actual Usage'!I9</f>
        <v>1245600497.118</v>
      </c>
      <c r="I8" s="64">
        <f>'SAP BW Actual Usage'!J9</f>
        <v>1123202830.28</v>
      </c>
      <c r="J8" s="64">
        <f>'SAP BW Actual Usage'!K9</f>
        <v>1119823626.9689999</v>
      </c>
      <c r="K8" s="64">
        <f>'SAP BW Actual Usage'!L9</f>
        <v>924598024.89300001</v>
      </c>
      <c r="L8" s="64">
        <f>'SAP BW Actual Usage'!M9</f>
        <v>741369503.04700005</v>
      </c>
      <c r="M8" s="64">
        <f>'SAP BW Actual Usage'!N9</f>
        <v>663353185.37899995</v>
      </c>
      <c r="N8" s="222">
        <f>SUM(B8:M8)</f>
        <v>10613133317.15</v>
      </c>
    </row>
    <row r="9" spans="1:28" x14ac:dyDescent="0.25">
      <c r="A9" s="89" t="s">
        <v>30</v>
      </c>
      <c r="B9" s="116">
        <f t="shared" ref="B9:J9" si="0">SUM(B8:B8)</f>
        <v>664888038.56400001</v>
      </c>
      <c r="C9" s="116">
        <f t="shared" si="0"/>
        <v>690580774.47000003</v>
      </c>
      <c r="D9" s="116">
        <f t="shared" si="0"/>
        <v>690326368.44099998</v>
      </c>
      <c r="E9" s="116">
        <f t="shared" si="0"/>
        <v>721568629.23800004</v>
      </c>
      <c r="F9" s="116">
        <f t="shared" si="0"/>
        <v>914087283.24000001</v>
      </c>
      <c r="G9" s="116">
        <f t="shared" si="0"/>
        <v>1113734555.5109999</v>
      </c>
      <c r="H9" s="116">
        <f t="shared" si="0"/>
        <v>1245600497.118</v>
      </c>
      <c r="I9" s="116">
        <f t="shared" si="0"/>
        <v>1123202830.28</v>
      </c>
      <c r="J9" s="116">
        <f t="shared" si="0"/>
        <v>1119823626.9689999</v>
      </c>
      <c r="K9" s="116">
        <f t="shared" ref="K9:M9" si="1">SUM(K8:K8)</f>
        <v>924598024.89300001</v>
      </c>
      <c r="L9" s="116">
        <f t="shared" si="1"/>
        <v>741369503.04700005</v>
      </c>
      <c r="M9" s="116">
        <f t="shared" si="1"/>
        <v>663353185.37899995</v>
      </c>
      <c r="N9" s="223">
        <f>SUM(B9:M9)</f>
        <v>10613133317.15</v>
      </c>
    </row>
    <row r="10" spans="1:28" x14ac:dyDescent="0.25">
      <c r="A10" s="90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224"/>
    </row>
    <row r="11" spans="1:28" x14ac:dyDescent="0.25">
      <c r="A11" s="96" t="s">
        <v>36</v>
      </c>
      <c r="B11" s="64">
        <f>'SAP BW Actual Usage'!C10</f>
        <v>17598206.638999999</v>
      </c>
      <c r="C11" s="64">
        <f>'SAP BW Actual Usage'!D10</f>
        <v>18433337.342999998</v>
      </c>
      <c r="D11" s="64">
        <f>'SAP BW Actual Usage'!E10</f>
        <v>18265866.480999999</v>
      </c>
      <c r="E11" s="64">
        <f>'SAP BW Actual Usage'!F10</f>
        <v>18604092.956999999</v>
      </c>
      <c r="F11" s="64">
        <f>'SAP BW Actual Usage'!G10</f>
        <v>20827793.984999999</v>
      </c>
      <c r="G11" s="64">
        <f>'SAP BW Actual Usage'!H10</f>
        <v>24749390.931000002</v>
      </c>
      <c r="H11" s="64">
        <f>'SAP BW Actual Usage'!I10</f>
        <v>27592309.217</v>
      </c>
      <c r="I11" s="64">
        <f>'SAP BW Actual Usage'!J10</f>
        <v>25743291.204</v>
      </c>
      <c r="J11" s="64">
        <f>'SAP BW Actual Usage'!K10</f>
        <v>25148347.254999999</v>
      </c>
      <c r="K11" s="64">
        <f>'SAP BW Actual Usage'!L10</f>
        <v>21812218.140000001</v>
      </c>
      <c r="L11" s="64">
        <f>'SAP BW Actual Usage'!M10</f>
        <v>18056250.261</v>
      </c>
      <c r="M11" s="64">
        <f>'SAP BW Actual Usage'!N10</f>
        <v>17691476.054000001</v>
      </c>
      <c r="N11" s="222">
        <f t="shared" ref="N11:N12" si="2">SUM(B11:M11)</f>
        <v>254522580.46700001</v>
      </c>
    </row>
    <row r="12" spans="1:28" s="87" customFormat="1" x14ac:dyDescent="0.25">
      <c r="A12" s="96" t="s">
        <v>154</v>
      </c>
      <c r="B12" s="91">
        <f>'SAP BW Actual Usage'!C14</f>
        <v>198167450.65799999</v>
      </c>
      <c r="C12" s="91">
        <f>'SAP BW Actual Usage'!D14</f>
        <v>210507064.713</v>
      </c>
      <c r="D12" s="91">
        <f>'SAP BW Actual Usage'!E14</f>
        <v>207504206.50400001</v>
      </c>
      <c r="E12" s="91">
        <f>'SAP BW Actual Usage'!F14</f>
        <v>197844823.602</v>
      </c>
      <c r="F12" s="91">
        <f>'SAP BW Actual Usage'!G14</f>
        <v>209548252.03299999</v>
      </c>
      <c r="G12" s="91">
        <f>'SAP BW Actual Usage'!H14</f>
        <v>227127481.794</v>
      </c>
      <c r="H12" s="91">
        <f>'SAP BW Actual Usage'!I14</f>
        <v>242459951.23099998</v>
      </c>
      <c r="I12" s="91">
        <f>'SAP BW Actual Usage'!J14</f>
        <v>224867111.17699999</v>
      </c>
      <c r="J12" s="91">
        <f>'SAP BW Actual Usage'!K14</f>
        <v>224646384.82399997</v>
      </c>
      <c r="K12" s="91">
        <f>'SAP BW Actual Usage'!L14</f>
        <v>200580672.93099999</v>
      </c>
      <c r="L12" s="91">
        <f>'SAP BW Actual Usage'!M14</f>
        <v>185648102.40099999</v>
      </c>
      <c r="M12" s="91">
        <f>'SAP BW Actual Usage'!N14</f>
        <v>184134839.60699996</v>
      </c>
      <c r="N12" s="224">
        <f t="shared" si="2"/>
        <v>2513036341.4749994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x14ac:dyDescent="0.25">
      <c r="A13" s="89" t="s">
        <v>31</v>
      </c>
      <c r="B13" s="116">
        <f t="shared" ref="B13:J13" si="3">SUM(B11:B12)</f>
        <v>215765657.29699999</v>
      </c>
      <c r="C13" s="116">
        <f t="shared" si="3"/>
        <v>228940402.05599999</v>
      </c>
      <c r="D13" s="116">
        <f t="shared" si="3"/>
        <v>225770072.98500001</v>
      </c>
      <c r="E13" s="116">
        <f t="shared" si="3"/>
        <v>216448916.55899999</v>
      </c>
      <c r="F13" s="116">
        <f t="shared" si="3"/>
        <v>230376046.01800001</v>
      </c>
      <c r="G13" s="116">
        <f t="shared" si="3"/>
        <v>251876872.72499999</v>
      </c>
      <c r="H13" s="116">
        <f t="shared" si="3"/>
        <v>270052260.44799995</v>
      </c>
      <c r="I13" s="116">
        <f t="shared" si="3"/>
        <v>250610402.38099998</v>
      </c>
      <c r="J13" s="116">
        <f t="shared" si="3"/>
        <v>249794732.07899997</v>
      </c>
      <c r="K13" s="116">
        <f t="shared" ref="K13:M13" si="4">SUM(K11:K12)</f>
        <v>222392891.07099998</v>
      </c>
      <c r="L13" s="116">
        <f t="shared" si="4"/>
        <v>203704352.662</v>
      </c>
      <c r="M13" s="116">
        <f t="shared" si="4"/>
        <v>201826315.66099995</v>
      </c>
      <c r="N13" s="223">
        <f>SUM(B13:M13)</f>
        <v>2767558921.9419999</v>
      </c>
    </row>
    <row r="14" spans="1:28" x14ac:dyDescent="0.25">
      <c r="A14" s="90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222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5">
      <c r="A15" s="96" t="s">
        <v>37</v>
      </c>
      <c r="B15" s="64">
        <f>'SAP BW Actual Usage'!C12</f>
        <v>10830817.666999999</v>
      </c>
      <c r="C15" s="64">
        <f>'SAP BW Actual Usage'!D12</f>
        <v>11462697.062000001</v>
      </c>
      <c r="D15" s="64">
        <f>'SAP BW Actual Usage'!E12</f>
        <v>11372444.396</v>
      </c>
      <c r="E15" s="64">
        <f>'SAP BW Actual Usage'!F12</f>
        <v>11331680.403000001</v>
      </c>
      <c r="F15" s="64">
        <f>'SAP BW Actual Usage'!G12</f>
        <v>12495554.995999999</v>
      </c>
      <c r="G15" s="64">
        <f>'SAP BW Actual Usage'!H12</f>
        <v>13973447.941</v>
      </c>
      <c r="H15" s="64">
        <f>'SAP BW Actual Usage'!I12</f>
        <v>14974428.268999999</v>
      </c>
      <c r="I15" s="64">
        <f>'SAP BW Actual Usage'!J12</f>
        <v>13502408.460999999</v>
      </c>
      <c r="J15" s="64">
        <f>'SAP BW Actual Usage'!K12</f>
        <v>13696146.333000001</v>
      </c>
      <c r="K15" s="64">
        <f>'SAP BW Actual Usage'!L12</f>
        <v>11899442.74</v>
      </c>
      <c r="L15" s="64">
        <f>'SAP BW Actual Usage'!M12</f>
        <v>10675498.311000001</v>
      </c>
      <c r="M15" s="64">
        <f>'SAP BW Actual Usage'!N12</f>
        <v>10215371.359999999</v>
      </c>
      <c r="N15" s="222">
        <f t="shared" ref="N15:N16" si="5">SUM(B15:M15)</f>
        <v>146429937.93900001</v>
      </c>
    </row>
    <row r="16" spans="1:28" s="87" customFormat="1" x14ac:dyDescent="0.25">
      <c r="A16" s="96" t="s">
        <v>155</v>
      </c>
      <c r="B16" s="91">
        <f>'SAP BW Actual Usage'!C15</f>
        <v>222669219.18900001</v>
      </c>
      <c r="C16" s="91">
        <f>'SAP BW Actual Usage'!D15</f>
        <v>231111227.04800001</v>
      </c>
      <c r="D16" s="91">
        <f>'SAP BW Actual Usage'!E15</f>
        <v>230502456.646</v>
      </c>
      <c r="E16" s="91">
        <f>'SAP BW Actual Usage'!F15</f>
        <v>223609705.632</v>
      </c>
      <c r="F16" s="91">
        <f>'SAP BW Actual Usage'!G15</f>
        <v>225286664.433</v>
      </c>
      <c r="G16" s="91">
        <f>'SAP BW Actual Usage'!H15</f>
        <v>239069762.021</v>
      </c>
      <c r="H16" s="91">
        <f>'SAP BW Actual Usage'!I15</f>
        <v>253178476.366</v>
      </c>
      <c r="I16" s="91">
        <f>'SAP BW Actual Usage'!J15</f>
        <v>247212428.17199999</v>
      </c>
      <c r="J16" s="91">
        <f>'SAP BW Actual Usage'!K15</f>
        <v>248278744.898</v>
      </c>
      <c r="K16" s="91">
        <f>'SAP BW Actual Usage'!L15</f>
        <v>231408313.347</v>
      </c>
      <c r="L16" s="91">
        <f>'SAP BW Actual Usage'!M15</f>
        <v>227280428.412</v>
      </c>
      <c r="M16" s="91">
        <f>'SAP BW Actual Usage'!N15</f>
        <v>222571489.141</v>
      </c>
      <c r="N16" s="224">
        <f t="shared" si="5"/>
        <v>2802178915.3049998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x14ac:dyDescent="0.25">
      <c r="A17" s="89" t="s">
        <v>32</v>
      </c>
      <c r="B17" s="116">
        <f t="shared" ref="B17:J17" si="6">SUM(B15:B16)</f>
        <v>233500036.85600001</v>
      </c>
      <c r="C17" s="116">
        <f t="shared" si="6"/>
        <v>242573924.11000001</v>
      </c>
      <c r="D17" s="116">
        <f t="shared" si="6"/>
        <v>241874901.042</v>
      </c>
      <c r="E17" s="116">
        <f t="shared" si="6"/>
        <v>234941386.035</v>
      </c>
      <c r="F17" s="116">
        <f t="shared" si="6"/>
        <v>237782219.42899999</v>
      </c>
      <c r="G17" s="116">
        <f t="shared" si="6"/>
        <v>253043209.96200001</v>
      </c>
      <c r="H17" s="116">
        <f t="shared" si="6"/>
        <v>268152904.63499999</v>
      </c>
      <c r="I17" s="116">
        <f t="shared" si="6"/>
        <v>260714836.63299999</v>
      </c>
      <c r="J17" s="116">
        <f t="shared" si="6"/>
        <v>261974891.23100001</v>
      </c>
      <c r="K17" s="116">
        <f t="shared" ref="K17:M17" si="7">SUM(K15:K16)</f>
        <v>243307756.08700001</v>
      </c>
      <c r="L17" s="116">
        <f t="shared" si="7"/>
        <v>237955926.72299999</v>
      </c>
      <c r="M17" s="116">
        <f t="shared" si="7"/>
        <v>232786860.50099999</v>
      </c>
      <c r="N17" s="223">
        <f>SUM(B17:M17)</f>
        <v>2948608853.244</v>
      </c>
    </row>
    <row r="18" spans="1:28" x14ac:dyDescent="0.25">
      <c r="A18" s="90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222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1:28" x14ac:dyDescent="0.25">
      <c r="A19" s="96" t="s">
        <v>38</v>
      </c>
      <c r="B19" s="64">
        <f>'SAP BW Actual Usage'!C13</f>
        <v>1338380</v>
      </c>
      <c r="C19" s="64">
        <f>'SAP BW Actual Usage'!D13</f>
        <v>1893600</v>
      </c>
      <c r="D19" s="64">
        <f>'SAP BW Actual Usage'!E13</f>
        <v>1367860</v>
      </c>
      <c r="E19" s="64">
        <f>'SAP BW Actual Usage'!F13</f>
        <v>1240100</v>
      </c>
      <c r="F19" s="64">
        <f>'SAP BW Actual Usage'!G13</f>
        <v>1279160</v>
      </c>
      <c r="G19" s="64">
        <f>'SAP BW Actual Usage'!H13</f>
        <v>1488840</v>
      </c>
      <c r="H19" s="64">
        <f>'SAP BW Actual Usage'!I13</f>
        <v>1647040</v>
      </c>
      <c r="I19" s="64">
        <f>'SAP BW Actual Usage'!J13</f>
        <v>1432900</v>
      </c>
      <c r="J19" s="64">
        <f>'SAP BW Actual Usage'!K13</f>
        <v>1526880</v>
      </c>
      <c r="K19" s="64">
        <f>'SAP BW Actual Usage'!L13</f>
        <v>1447900</v>
      </c>
      <c r="L19" s="64">
        <f>'SAP BW Actual Usage'!M13</f>
        <v>1122660</v>
      </c>
      <c r="M19" s="64">
        <f>'SAP BW Actual Usage'!N13</f>
        <v>966260</v>
      </c>
      <c r="N19" s="222">
        <f t="shared" ref="N19:N20" si="8">SUM(B19:M19)</f>
        <v>16751580</v>
      </c>
    </row>
    <row r="20" spans="1:28" s="87" customFormat="1" x14ac:dyDescent="0.25">
      <c r="A20" s="96" t="s">
        <v>156</v>
      </c>
      <c r="B20" s="91">
        <f>'SAP BW Actual Usage'!C16</f>
        <v>154607369.766</v>
      </c>
      <c r="C20" s="91">
        <f>'SAP BW Actual Usage'!D16</f>
        <v>163080119.24700001</v>
      </c>
      <c r="D20" s="91">
        <f>'SAP BW Actual Usage'!E16</f>
        <v>160947766.641</v>
      </c>
      <c r="E20" s="91">
        <f>'SAP BW Actual Usage'!F16</f>
        <v>154061505.42300001</v>
      </c>
      <c r="F20" s="91">
        <f>'SAP BW Actual Usage'!G16</f>
        <v>150443101.20699999</v>
      </c>
      <c r="G20" s="91">
        <f>'SAP BW Actual Usage'!H16</f>
        <v>152803309.016</v>
      </c>
      <c r="H20" s="91">
        <f>'SAP BW Actual Usage'!I16</f>
        <v>156475578.912</v>
      </c>
      <c r="I20" s="91">
        <f>'SAP BW Actual Usage'!J16</f>
        <v>157621456.891</v>
      </c>
      <c r="J20" s="91">
        <f>'SAP BW Actual Usage'!K16</f>
        <v>146486140.18899998</v>
      </c>
      <c r="K20" s="91">
        <f>'SAP BW Actual Usage'!L16</f>
        <v>143220450.197</v>
      </c>
      <c r="L20" s="91">
        <f>'SAP BW Actual Usage'!M16</f>
        <v>149052732.609</v>
      </c>
      <c r="M20" s="91">
        <f>'SAP BW Actual Usage'!N16</f>
        <v>155402049.403</v>
      </c>
      <c r="N20" s="224">
        <f t="shared" si="8"/>
        <v>1844201579.5009999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x14ac:dyDescent="0.25">
      <c r="A21" s="89" t="s">
        <v>33</v>
      </c>
      <c r="B21" s="116">
        <f t="shared" ref="B21:J21" si="9">SUM(B19:B20)</f>
        <v>155945749.766</v>
      </c>
      <c r="C21" s="116">
        <f t="shared" si="9"/>
        <v>164973719.24700001</v>
      </c>
      <c r="D21" s="116">
        <f t="shared" si="9"/>
        <v>162315626.641</v>
      </c>
      <c r="E21" s="116">
        <f t="shared" si="9"/>
        <v>155301605.42300001</v>
      </c>
      <c r="F21" s="116">
        <f t="shared" si="9"/>
        <v>151722261.20699999</v>
      </c>
      <c r="G21" s="116">
        <f t="shared" si="9"/>
        <v>154292149.016</v>
      </c>
      <c r="H21" s="116">
        <f t="shared" si="9"/>
        <v>158122618.912</v>
      </c>
      <c r="I21" s="116">
        <f t="shared" si="9"/>
        <v>159054356.891</v>
      </c>
      <c r="J21" s="116">
        <f t="shared" si="9"/>
        <v>148013020.18899998</v>
      </c>
      <c r="K21" s="116">
        <f t="shared" ref="K21:M21" si="10">SUM(K19:K20)</f>
        <v>144668350.197</v>
      </c>
      <c r="L21" s="116">
        <f t="shared" si="10"/>
        <v>150175392.609</v>
      </c>
      <c r="M21" s="116">
        <f t="shared" si="10"/>
        <v>156368309.403</v>
      </c>
      <c r="N21" s="223">
        <f>SUM(B21:M21)</f>
        <v>1860953159.5009999</v>
      </c>
    </row>
    <row r="22" spans="1:28" x14ac:dyDescent="0.25">
      <c r="A22" s="90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222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</row>
    <row r="23" spans="1:28" x14ac:dyDescent="0.25">
      <c r="A23" s="96" t="s">
        <v>39</v>
      </c>
      <c r="B23" s="64">
        <f>'SAP BW Actual Usage'!C11</f>
        <v>2332680</v>
      </c>
      <c r="C23" s="64">
        <f>'SAP BW Actual Usage'!D11</f>
        <v>2286480</v>
      </c>
      <c r="D23" s="64">
        <f>'SAP BW Actual Usage'!E11</f>
        <v>2373360</v>
      </c>
      <c r="E23" s="64">
        <f>'SAP BW Actual Usage'!F11</f>
        <v>2391300</v>
      </c>
      <c r="F23" s="64">
        <f>'SAP BW Actual Usage'!G11</f>
        <v>2457660</v>
      </c>
      <c r="G23" s="64">
        <f>'SAP BW Actual Usage'!H11</f>
        <v>2807340</v>
      </c>
      <c r="H23" s="64">
        <f>'SAP BW Actual Usage'!I11</f>
        <v>3098040</v>
      </c>
      <c r="I23" s="64">
        <f>'SAP BW Actual Usage'!J11</f>
        <v>2614020</v>
      </c>
      <c r="J23" s="64">
        <f>'SAP BW Actual Usage'!K11</f>
        <v>2836440</v>
      </c>
      <c r="K23" s="64">
        <f>'SAP BW Actual Usage'!L11</f>
        <v>2486280</v>
      </c>
      <c r="L23" s="64">
        <f>'SAP BW Actual Usage'!M11</f>
        <v>2272140</v>
      </c>
      <c r="M23" s="64">
        <f>'SAP BW Actual Usage'!N11</f>
        <v>2309160</v>
      </c>
      <c r="N23" s="222">
        <f t="shared" ref="N23:N24" si="11">SUM(B23:M23)</f>
        <v>30264900</v>
      </c>
    </row>
    <row r="24" spans="1:28" s="87" customFormat="1" x14ac:dyDescent="0.25">
      <c r="A24" s="96" t="s">
        <v>6</v>
      </c>
      <c r="B24" s="91">
        <f>'SAP BW Actual Usage'!C18</f>
        <v>99532489.628000006</v>
      </c>
      <c r="C24" s="91">
        <f>'SAP BW Actual Usage'!D18</f>
        <v>110462888.33499999</v>
      </c>
      <c r="D24" s="91">
        <f>'SAP BW Actual Usage'!E18</f>
        <v>107084019.285</v>
      </c>
      <c r="E24" s="91">
        <f>'SAP BW Actual Usage'!F18</f>
        <v>109378655.867</v>
      </c>
      <c r="F24" s="91">
        <f>'SAP BW Actual Usage'!G18</f>
        <v>101243797.132</v>
      </c>
      <c r="G24" s="91">
        <f>'SAP BW Actual Usage'!H18</f>
        <v>105317043.78399999</v>
      </c>
      <c r="H24" s="91">
        <f>'SAP BW Actual Usage'!I18</f>
        <v>111293428.93399999</v>
      </c>
      <c r="I24" s="91">
        <f>'SAP BW Actual Usage'!J18</f>
        <v>112448329.70199999</v>
      </c>
      <c r="J24" s="91">
        <f>'SAP BW Actual Usage'!K18</f>
        <v>100970460.10600001</v>
      </c>
      <c r="K24" s="91">
        <f>'SAP BW Actual Usage'!L18</f>
        <v>106215200.595</v>
      </c>
      <c r="L24" s="91">
        <f>'SAP BW Actual Usage'!M18</f>
        <v>103197424.47499999</v>
      </c>
      <c r="M24" s="91">
        <f>'SAP BW Actual Usage'!N18</f>
        <v>101103077.88</v>
      </c>
      <c r="N24" s="224">
        <f t="shared" si="11"/>
        <v>1268246815.723</v>
      </c>
    </row>
    <row r="25" spans="1:28" x14ac:dyDescent="0.25">
      <c r="A25" s="89" t="s">
        <v>34</v>
      </c>
      <c r="B25" s="116">
        <f t="shared" ref="B25:N25" si="12">SUM(B23:B24)</f>
        <v>101865169.62800001</v>
      </c>
      <c r="C25" s="116">
        <f t="shared" si="12"/>
        <v>112749368.33499999</v>
      </c>
      <c r="D25" s="116">
        <f t="shared" si="12"/>
        <v>109457379.285</v>
      </c>
      <c r="E25" s="116">
        <f t="shared" si="12"/>
        <v>111769955.867</v>
      </c>
      <c r="F25" s="116">
        <f t="shared" si="12"/>
        <v>103701457.132</v>
      </c>
      <c r="G25" s="116">
        <f t="shared" si="12"/>
        <v>108124383.78399999</v>
      </c>
      <c r="H25" s="116">
        <f t="shared" si="12"/>
        <v>114391468.93399999</v>
      </c>
      <c r="I25" s="116">
        <f t="shared" si="12"/>
        <v>115062349.70199999</v>
      </c>
      <c r="J25" s="116">
        <f t="shared" si="12"/>
        <v>103806900.10600001</v>
      </c>
      <c r="K25" s="116">
        <f t="shared" ref="K25:M25" si="13">SUM(K23:K24)</f>
        <v>108701480.595</v>
      </c>
      <c r="L25" s="116">
        <f t="shared" si="13"/>
        <v>105469564.47499999</v>
      </c>
      <c r="M25" s="116">
        <f t="shared" si="13"/>
        <v>103412237.88</v>
      </c>
      <c r="N25" s="223">
        <f t="shared" si="12"/>
        <v>1298511715.723</v>
      </c>
    </row>
    <row r="26" spans="1:28" x14ac:dyDescent="0.25">
      <c r="A26" s="90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222"/>
    </row>
    <row r="27" spans="1:28" x14ac:dyDescent="0.25">
      <c r="A27" s="89" t="s">
        <v>5</v>
      </c>
      <c r="B27" s="64">
        <f>'SAP BW Actual Usage'!C17</f>
        <v>2371035.818</v>
      </c>
      <c r="C27" s="64">
        <f>'SAP BW Actual Usage'!D17</f>
        <v>4217320.6960000005</v>
      </c>
      <c r="D27" s="64">
        <f>'SAP BW Actual Usage'!E17</f>
        <v>3588004.3330000001</v>
      </c>
      <c r="E27" s="64">
        <f>'SAP BW Actual Usage'!F17</f>
        <v>1543509.81</v>
      </c>
      <c r="F27" s="64">
        <f>'SAP BW Actual Usage'!G17</f>
        <v>346375.08299999998</v>
      </c>
      <c r="G27" s="64">
        <f>'SAP BW Actual Usage'!H17</f>
        <v>205569.367</v>
      </c>
      <c r="H27" s="64">
        <f>'SAP BW Actual Usage'!I17</f>
        <v>269388.78899999999</v>
      </c>
      <c r="I27" s="64">
        <f>'SAP BW Actual Usage'!J17</f>
        <v>276136.7</v>
      </c>
      <c r="J27" s="64">
        <f>'SAP BW Actual Usage'!K17</f>
        <v>280808.11599999998</v>
      </c>
      <c r="K27" s="64">
        <f>'SAP BW Actual Usage'!L17</f>
        <v>266694.74800000002</v>
      </c>
      <c r="L27" s="64">
        <f>'SAP BW Actual Usage'!M17</f>
        <v>708710.26399999997</v>
      </c>
      <c r="M27" s="64">
        <f>'SAP BW Actual Usage'!N17</f>
        <v>1878608.1170000001</v>
      </c>
      <c r="N27" s="222">
        <f t="shared" ref="N27:N30" si="14">SUM(B27:M27)</f>
        <v>15952161.841000004</v>
      </c>
    </row>
    <row r="28" spans="1:28" x14ac:dyDescent="0.25">
      <c r="A28" s="89" t="s">
        <v>24</v>
      </c>
      <c r="B28" s="64">
        <f>'SAP BW Actual Usage'!C20</f>
        <v>50077660.060000002</v>
      </c>
      <c r="C28" s="64">
        <f>'SAP BW Actual Usage'!D20</f>
        <v>50107929.939999998</v>
      </c>
      <c r="D28" s="64">
        <f>'SAP BW Actual Usage'!E20</f>
        <v>50179827.960000001</v>
      </c>
      <c r="E28" s="64">
        <f>'SAP BW Actual Usage'!F20</f>
        <v>48569951.270999998</v>
      </c>
      <c r="F28" s="64">
        <f>'SAP BW Actual Usage'!G20</f>
        <v>42255207.638999999</v>
      </c>
      <c r="G28" s="64">
        <f>'SAP BW Actual Usage'!H20</f>
        <v>48133052.327</v>
      </c>
      <c r="H28" s="64">
        <f>'SAP BW Actual Usage'!I20</f>
        <v>45745730.302000001</v>
      </c>
      <c r="I28" s="64">
        <f>'SAP BW Actual Usage'!J20</f>
        <v>43929830.578000002</v>
      </c>
      <c r="J28" s="64">
        <f>'SAP BW Actual Usage'!K20</f>
        <v>44503265.692999996</v>
      </c>
      <c r="K28" s="64">
        <f>'SAP BW Actual Usage'!L20</f>
        <v>42551050.405000001</v>
      </c>
      <c r="L28" s="64">
        <f>'SAP BW Actual Usage'!M20</f>
        <v>42098019.358999997</v>
      </c>
      <c r="M28" s="64">
        <f>'SAP BW Actual Usage'!N20</f>
        <v>36454394.177000001</v>
      </c>
      <c r="N28" s="222">
        <f t="shared" si="14"/>
        <v>544605919.71100008</v>
      </c>
    </row>
    <row r="29" spans="1:28" s="98" customFormat="1" x14ac:dyDescent="0.25">
      <c r="A29" s="101" t="s">
        <v>8</v>
      </c>
      <c r="B29" s="99">
        <f>'SAP BW Actual Usage'!C21</f>
        <v>6527327.6550000003</v>
      </c>
      <c r="C29" s="99">
        <f>'SAP BW Actual Usage'!D21</f>
        <v>5180692.835</v>
      </c>
      <c r="D29" s="99">
        <f>'SAP BW Actual Usage'!E21</f>
        <v>5734385.6900000004</v>
      </c>
      <c r="E29" s="99">
        <f>'SAP BW Actual Usage'!F21</f>
        <v>7985766.3600000003</v>
      </c>
      <c r="F29" s="99">
        <f>'SAP BW Actual Usage'!G21</f>
        <v>9911187.5600000005</v>
      </c>
      <c r="G29" s="99">
        <f>'SAP BW Actual Usage'!H21</f>
        <v>12590012.324999999</v>
      </c>
      <c r="H29" s="99">
        <f>'SAP BW Actual Usage'!I21</f>
        <v>14705562.185000001</v>
      </c>
      <c r="I29" s="99">
        <f>'SAP BW Actual Usage'!J21</f>
        <v>13348269.555</v>
      </c>
      <c r="J29" s="99">
        <f>'SAP BW Actual Usage'!K21</f>
        <v>14774100</v>
      </c>
      <c r="K29" s="99">
        <f>'SAP BW Actual Usage'!L21</f>
        <v>12167918.880000001</v>
      </c>
      <c r="L29" s="99">
        <f>'SAP BW Actual Usage'!M21</f>
        <v>9528385.6850000005</v>
      </c>
      <c r="M29" s="99">
        <f>'SAP BW Actual Usage'!N21</f>
        <v>8207965.2699999996</v>
      </c>
      <c r="N29" s="225">
        <f t="shared" si="14"/>
        <v>120661573.99999999</v>
      </c>
    </row>
    <row r="30" spans="1:28" x14ac:dyDescent="0.25">
      <c r="A30" s="89" t="s">
        <v>59</v>
      </c>
      <c r="B30" s="64">
        <f>'SAP BW Actual Usage'!C8</f>
        <v>320400</v>
      </c>
      <c r="C30" s="64">
        <f>'SAP BW Actual Usage'!D8</f>
        <v>278300</v>
      </c>
      <c r="D30" s="64">
        <f>'SAP BW Actual Usage'!E8</f>
        <v>265720</v>
      </c>
      <c r="E30" s="64">
        <f>'SAP BW Actual Usage'!F8</f>
        <v>355240</v>
      </c>
      <c r="F30" s="64">
        <f>'SAP BW Actual Usage'!G8</f>
        <v>559720</v>
      </c>
      <c r="G30" s="64">
        <f>'SAP BW Actual Usage'!H8</f>
        <v>793820</v>
      </c>
      <c r="H30" s="64">
        <f>'SAP BW Actual Usage'!I8</f>
        <v>997460</v>
      </c>
      <c r="I30" s="64">
        <f>'SAP BW Actual Usage'!J8</f>
        <v>897140</v>
      </c>
      <c r="J30" s="64">
        <f>'SAP BW Actual Usage'!K8</f>
        <v>943660</v>
      </c>
      <c r="K30" s="64">
        <f>'SAP BW Actual Usage'!L8</f>
        <v>776620</v>
      </c>
      <c r="L30" s="64">
        <f>'SAP BW Actual Usage'!M8</f>
        <v>591080</v>
      </c>
      <c r="M30" s="64">
        <f>'SAP BW Actual Usage'!N8</f>
        <v>387720</v>
      </c>
      <c r="N30" s="222">
        <f t="shared" si="14"/>
        <v>7166880</v>
      </c>
    </row>
    <row r="31" spans="1:28" x14ac:dyDescent="0.25">
      <c r="A31" s="9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224"/>
    </row>
    <row r="32" spans="1:28" s="90" customFormat="1" x14ac:dyDescent="0.25">
      <c r="A32" s="95" t="s">
        <v>21</v>
      </c>
      <c r="B32" s="115">
        <f t="shared" ref="B32:N32" si="15">SUM(B9,B13,B17,B21,B25,B27:B30)</f>
        <v>1431261075.6440001</v>
      </c>
      <c r="C32" s="115">
        <f t="shared" si="15"/>
        <v>1499602431.6890004</v>
      </c>
      <c r="D32" s="115">
        <f t="shared" si="15"/>
        <v>1489512286.3770001</v>
      </c>
      <c r="E32" s="115">
        <f t="shared" si="15"/>
        <v>1498484960.563</v>
      </c>
      <c r="F32" s="115">
        <f t="shared" si="15"/>
        <v>1690741757.3079996</v>
      </c>
      <c r="G32" s="115">
        <f t="shared" si="15"/>
        <v>1942793625.017</v>
      </c>
      <c r="H32" s="115">
        <f t="shared" si="15"/>
        <v>2118037891.323</v>
      </c>
      <c r="I32" s="115">
        <f t="shared" si="15"/>
        <v>1967096152.72</v>
      </c>
      <c r="J32" s="115">
        <f t="shared" si="15"/>
        <v>1943915004.3829997</v>
      </c>
      <c r="K32" s="115">
        <f t="shared" ref="K32:M32" si="16">SUM(K9,K13,K17,K21,K25,K27:K30)</f>
        <v>1699430786.8760002</v>
      </c>
      <c r="L32" s="115">
        <f t="shared" si="16"/>
        <v>1491600934.8239999</v>
      </c>
      <c r="M32" s="115">
        <f t="shared" si="16"/>
        <v>1404675596.388</v>
      </c>
      <c r="N32" s="223">
        <f t="shared" si="15"/>
        <v>20177152503.111996</v>
      </c>
    </row>
    <row r="33" spans="1:14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224"/>
    </row>
    <row r="34" spans="1:14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</row>
    <row r="35" spans="1:14" x14ac:dyDescent="0.25">
      <c r="A35" s="86" t="s">
        <v>35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</row>
    <row r="36" spans="1:14" x14ac:dyDescent="0.25">
      <c r="A36" s="66" t="s">
        <v>26</v>
      </c>
      <c r="B36" s="62">
        <f t="shared" ref="B36:M36" si="17">B7</f>
        <v>42917</v>
      </c>
      <c r="C36" s="62">
        <f t="shared" si="17"/>
        <v>42948</v>
      </c>
      <c r="D36" s="62">
        <f t="shared" si="17"/>
        <v>42979</v>
      </c>
      <c r="E36" s="62">
        <f t="shared" si="17"/>
        <v>43009</v>
      </c>
      <c r="F36" s="62">
        <f t="shared" si="17"/>
        <v>43040</v>
      </c>
      <c r="G36" s="62">
        <f t="shared" si="17"/>
        <v>43070</v>
      </c>
      <c r="H36" s="62">
        <f t="shared" si="17"/>
        <v>43101</v>
      </c>
      <c r="I36" s="62">
        <f t="shared" si="17"/>
        <v>43132</v>
      </c>
      <c r="J36" s="62">
        <f t="shared" si="17"/>
        <v>43160</v>
      </c>
      <c r="K36" s="62">
        <f t="shared" si="17"/>
        <v>43191</v>
      </c>
      <c r="L36" s="62">
        <f t="shared" si="17"/>
        <v>43221</v>
      </c>
      <c r="M36" s="62">
        <f t="shared" si="17"/>
        <v>43252</v>
      </c>
      <c r="N36" s="85" t="s">
        <v>20</v>
      </c>
    </row>
    <row r="37" spans="1:14" x14ac:dyDescent="0.25">
      <c r="A37" s="67" t="s">
        <v>22</v>
      </c>
      <c r="B37" s="64">
        <f>'SAP BW Actual Usage'!C23</f>
        <v>5603974.716</v>
      </c>
      <c r="C37" s="64">
        <f>'SAP BW Actual Usage'!D23</f>
        <v>6166496.4989999998</v>
      </c>
      <c r="D37" s="64">
        <f>'SAP BW Actual Usage'!E23</f>
        <v>5741176.2850000001</v>
      </c>
      <c r="E37" s="64">
        <f>'SAP BW Actual Usage'!F23</f>
        <v>6157825.6359999999</v>
      </c>
      <c r="F37" s="64">
        <f>'SAP BW Actual Usage'!G23</f>
        <v>5712703.4900000002</v>
      </c>
      <c r="G37" s="64">
        <f>'SAP BW Actual Usage'!H23</f>
        <v>6172147.8329999996</v>
      </c>
      <c r="H37" s="64">
        <f>'SAP BW Actual Usage'!I23</f>
        <v>5833297.7620000001</v>
      </c>
      <c r="I37" s="64">
        <f>'SAP BW Actual Usage'!J23</f>
        <v>5903361.0930000003</v>
      </c>
      <c r="J37" s="64">
        <f>'SAP BW Actual Usage'!K23</f>
        <v>5627651.4330000002</v>
      </c>
      <c r="K37" s="64">
        <f>'SAP BW Actual Usage'!L23</f>
        <v>6038794.7130000005</v>
      </c>
      <c r="L37" s="64">
        <f>'SAP BW Actual Usage'!M23</f>
        <v>6061283.9859999996</v>
      </c>
      <c r="M37" s="64">
        <f>'SAP BW Actual Usage'!N23</f>
        <v>5842414.602</v>
      </c>
      <c r="N37" s="4">
        <f t="shared" ref="N37:N39" si="18">SUM(B37:M37)</f>
        <v>70861128.048000008</v>
      </c>
    </row>
    <row r="38" spans="1:14" x14ac:dyDescent="0.25">
      <c r="A38" s="67" t="s">
        <v>40</v>
      </c>
      <c r="B38" s="64">
        <f>'SAP BW Actual Usage'!C22</f>
        <v>50982145.237999998</v>
      </c>
      <c r="C38" s="64">
        <f>'SAP BW Actual Usage'!D22</f>
        <v>55577022.233000003</v>
      </c>
      <c r="D38" s="64">
        <f>'SAP BW Actual Usage'!E22</f>
        <v>55220358.689999998</v>
      </c>
      <c r="E38" s="64">
        <f>'SAP BW Actual Usage'!F22</f>
        <v>53158183.479000002</v>
      </c>
      <c r="F38" s="64">
        <f>'SAP BW Actual Usage'!G22</f>
        <v>55187671.693000004</v>
      </c>
      <c r="G38" s="64">
        <f>'SAP BW Actual Usage'!H22</f>
        <v>49183661.733000003</v>
      </c>
      <c r="H38" s="64">
        <f>'SAP BW Actual Usage'!I22</f>
        <v>51923761.625</v>
      </c>
      <c r="I38" s="64">
        <f>'SAP BW Actual Usage'!J22</f>
        <v>83844828.819000006</v>
      </c>
      <c r="J38" s="64">
        <f>'SAP BW Actual Usage'!K22</f>
        <v>16550318.004999999</v>
      </c>
      <c r="K38" s="64">
        <f>'SAP BW Actual Usage'!L22</f>
        <v>52598779.873999998</v>
      </c>
      <c r="L38" s="64">
        <f>'SAP BW Actual Usage'!M22</f>
        <v>51025804.240999997</v>
      </c>
      <c r="M38" s="64">
        <f>'SAP BW Actual Usage'!N22</f>
        <v>53857181.723000005</v>
      </c>
      <c r="N38" s="4">
        <f t="shared" si="18"/>
        <v>629109717.35300004</v>
      </c>
    </row>
    <row r="39" spans="1:14" x14ac:dyDescent="0.25">
      <c r="A39" s="67" t="s">
        <v>7</v>
      </c>
      <c r="B39" s="64">
        <f>'SAP BW Actual Usage'!C19</f>
        <v>526200</v>
      </c>
      <c r="C39" s="64">
        <f>'SAP BW Actual Usage'!D19</f>
        <v>1019400</v>
      </c>
      <c r="D39" s="64">
        <f>'SAP BW Actual Usage'!E19</f>
        <v>791400</v>
      </c>
      <c r="E39" s="64">
        <f>'SAP BW Actual Usage'!F19</f>
        <v>672600</v>
      </c>
      <c r="F39" s="64">
        <f>'SAP BW Actual Usage'!G19</f>
        <v>325800</v>
      </c>
      <c r="G39" s="64">
        <f>'SAP BW Actual Usage'!H19</f>
        <v>3000</v>
      </c>
      <c r="H39" s="64">
        <f>'SAP BW Actual Usage'!I19</f>
        <v>6000</v>
      </c>
      <c r="I39" s="64">
        <f>'SAP BW Actual Usage'!J19</f>
        <v>5400</v>
      </c>
      <c r="J39" s="64">
        <f>'SAP BW Actual Usage'!K19</f>
        <v>5400</v>
      </c>
      <c r="K39" s="64">
        <f>'SAP BW Actual Usage'!L19</f>
        <v>2496.6</v>
      </c>
      <c r="L39" s="64">
        <f>'SAP BW Actual Usage'!M19</f>
        <v>357143.4</v>
      </c>
      <c r="M39" s="64">
        <f>'SAP BW Actual Usage'!N19</f>
        <v>628320</v>
      </c>
      <c r="N39" s="4">
        <f t="shared" si="18"/>
        <v>4343160</v>
      </c>
    </row>
    <row r="40" spans="1:14" x14ac:dyDescent="0.25">
      <c r="A40" s="67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4"/>
    </row>
    <row r="41" spans="1:14" x14ac:dyDescent="0.25">
      <c r="A41" s="95" t="s">
        <v>21</v>
      </c>
      <c r="B41" s="116">
        <f t="shared" ref="B41:N41" si="19">SUM(B37:B39)</f>
        <v>57112319.953999996</v>
      </c>
      <c r="C41" s="116">
        <f t="shared" si="19"/>
        <v>62762918.732000001</v>
      </c>
      <c r="D41" s="116">
        <f t="shared" si="19"/>
        <v>61752934.974999994</v>
      </c>
      <c r="E41" s="116">
        <f t="shared" si="19"/>
        <v>59988609.115000002</v>
      </c>
      <c r="F41" s="116">
        <f t="shared" si="19"/>
        <v>61226175.183000006</v>
      </c>
      <c r="G41" s="116">
        <f t="shared" si="19"/>
        <v>55358809.566</v>
      </c>
      <c r="H41" s="116">
        <f t="shared" si="19"/>
        <v>57763059.387000002</v>
      </c>
      <c r="I41" s="116">
        <f t="shared" si="19"/>
        <v>89753589.912</v>
      </c>
      <c r="J41" s="116">
        <f t="shared" si="19"/>
        <v>22183369.438000001</v>
      </c>
      <c r="K41" s="116">
        <f t="shared" ref="K41:M41" si="20">SUM(K37:K39)</f>
        <v>58640071.186999999</v>
      </c>
      <c r="L41" s="116">
        <f t="shared" si="20"/>
        <v>57444231.626999997</v>
      </c>
      <c r="M41" s="116">
        <f t="shared" si="20"/>
        <v>60327916.325000003</v>
      </c>
      <c r="N41" s="116">
        <f t="shared" si="19"/>
        <v>704314005.40100002</v>
      </c>
    </row>
    <row r="42" spans="1:14" x14ac:dyDescent="0.25">
      <c r="A42" s="29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</row>
    <row r="43" spans="1:14" x14ac:dyDescent="0.25">
      <c r="A43" s="29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s="94" customFormat="1" ht="13.8" thickBot="1" x14ac:dyDescent="0.3">
      <c r="A44" s="92" t="s">
        <v>23</v>
      </c>
      <c r="B44" s="117">
        <f t="shared" ref="B44:N44" si="21">B41+B32</f>
        <v>1488373395.598</v>
      </c>
      <c r="C44" s="117">
        <f t="shared" si="21"/>
        <v>1562365350.4210005</v>
      </c>
      <c r="D44" s="117">
        <f t="shared" si="21"/>
        <v>1551265221.352</v>
      </c>
      <c r="E44" s="117">
        <f t="shared" si="21"/>
        <v>1558473569.678</v>
      </c>
      <c r="F44" s="117">
        <f t="shared" si="21"/>
        <v>1751967932.4909997</v>
      </c>
      <c r="G44" s="117">
        <f t="shared" si="21"/>
        <v>1998152434.5829999</v>
      </c>
      <c r="H44" s="117">
        <f t="shared" si="21"/>
        <v>2175800950.71</v>
      </c>
      <c r="I44" s="117">
        <f t="shared" si="21"/>
        <v>2056849742.632</v>
      </c>
      <c r="J44" s="117">
        <f t="shared" si="21"/>
        <v>1966098373.8209996</v>
      </c>
      <c r="K44" s="117">
        <f t="shared" ref="K44:M44" si="22">K41+K32</f>
        <v>1758070858.0630002</v>
      </c>
      <c r="L44" s="117">
        <f t="shared" si="22"/>
        <v>1549045166.451</v>
      </c>
      <c r="M44" s="117">
        <f t="shared" si="22"/>
        <v>1465003512.7130001</v>
      </c>
      <c r="N44" s="117">
        <f t="shared" si="21"/>
        <v>20881466508.512997</v>
      </c>
    </row>
    <row r="45" spans="1:14" ht="15.6" thickTop="1" x14ac:dyDescent="0.4">
      <c r="A45" s="29"/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7" spans="1:14" x14ac:dyDescent="0.25">
      <c r="B47" s="291"/>
      <c r="C47" s="291"/>
      <c r="D47" s="291"/>
      <c r="E47" s="291"/>
      <c r="F47" s="291"/>
    </row>
    <row r="48" spans="1:14" x14ac:dyDescent="0.25">
      <c r="B48" s="291"/>
      <c r="C48" s="291"/>
      <c r="D48" s="291"/>
      <c r="E48" s="291"/>
      <c r="F48" s="291"/>
    </row>
    <row r="49" spans="2:6" x14ac:dyDescent="0.25">
      <c r="B49" s="291"/>
      <c r="C49" s="291"/>
      <c r="D49" s="291"/>
      <c r="E49" s="291"/>
      <c r="F49" s="291"/>
    </row>
    <row r="50" spans="2:6" x14ac:dyDescent="0.25">
      <c r="B50" s="291"/>
      <c r="C50" s="291"/>
      <c r="D50" s="291"/>
      <c r="E50" s="291"/>
      <c r="F50" s="291"/>
    </row>
    <row r="51" spans="2:6" x14ac:dyDescent="0.25">
      <c r="B51" s="291"/>
      <c r="C51" s="291"/>
      <c r="D51" s="291"/>
      <c r="E51" s="291"/>
      <c r="F51" s="291"/>
    </row>
    <row r="52" spans="2:6" x14ac:dyDescent="0.25">
      <c r="B52" s="291"/>
      <c r="C52" s="291"/>
      <c r="D52" s="291"/>
      <c r="E52" s="291"/>
      <c r="F52" s="291"/>
    </row>
    <row r="53" spans="2:6" x14ac:dyDescent="0.25">
      <c r="B53" s="291"/>
      <c r="C53" s="291"/>
      <c r="D53" s="291"/>
      <c r="E53" s="291"/>
      <c r="F53" s="291"/>
    </row>
    <row r="54" spans="2:6" x14ac:dyDescent="0.25">
      <c r="B54" s="291"/>
      <c r="C54" s="291"/>
      <c r="D54" s="291"/>
      <c r="E54" s="291"/>
      <c r="F54" s="291"/>
    </row>
    <row r="55" spans="2:6" x14ac:dyDescent="0.25">
      <c r="B55" s="291"/>
      <c r="C55" s="291"/>
      <c r="D55" s="291"/>
      <c r="E55" s="291"/>
      <c r="F55" s="291"/>
    </row>
    <row r="56" spans="2:6" x14ac:dyDescent="0.25">
      <c r="B56" s="291"/>
      <c r="C56" s="291"/>
      <c r="D56" s="289"/>
      <c r="E56" s="289"/>
      <c r="F56" s="289"/>
    </row>
    <row r="57" spans="2:6" x14ac:dyDescent="0.25">
      <c r="B57" s="291"/>
      <c r="C57" s="291"/>
      <c r="D57" s="289"/>
      <c r="E57" s="289"/>
      <c r="F57" s="289"/>
    </row>
  </sheetData>
  <phoneticPr fontId="2" type="noConversion"/>
  <printOptions horizontalCentered="1"/>
  <pageMargins left="0.7" right="0.7" top="0.75" bottom="0.75" header="0.3" footer="0.3"/>
  <pageSetup scale="53" orientation="landscape" r:id="rId1"/>
  <headerFooter alignWithMargins="0">
    <oddFooter xml:space="preserve">&amp;L&amp;F 
&amp;A&amp;RPage &amp;P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zoomScaleNormal="75" workbookViewId="0">
      <selection sqref="A1:O50"/>
    </sheetView>
  </sheetViews>
  <sheetFormatPr defaultRowHeight="13.2" x14ac:dyDescent="0.25"/>
  <cols>
    <col min="1" max="1" width="25.6640625" customWidth="1"/>
    <col min="2" max="2" width="11.33203125" customWidth="1"/>
    <col min="3" max="15" width="16" customWidth="1"/>
  </cols>
  <sheetData>
    <row r="1" spans="1:30" x14ac:dyDescent="0.25">
      <c r="A1" s="66" t="s">
        <v>29</v>
      </c>
      <c r="B1" s="66"/>
    </row>
    <row r="2" spans="1:30" x14ac:dyDescent="0.25">
      <c r="A2" s="66" t="s">
        <v>28</v>
      </c>
      <c r="B2" s="66"/>
    </row>
    <row r="3" spans="1:30" x14ac:dyDescent="0.25">
      <c r="A3" s="90" t="s">
        <v>171</v>
      </c>
      <c r="B3" s="29"/>
    </row>
    <row r="4" spans="1:30" x14ac:dyDescent="0.25">
      <c r="A4" s="109" t="s">
        <v>61</v>
      </c>
    </row>
    <row r="5" spans="1:30" x14ac:dyDescent="0.25">
      <c r="C5" s="63"/>
      <c r="D5" s="63"/>
      <c r="E5" s="63"/>
      <c r="F5" s="63"/>
      <c r="G5" s="63"/>
      <c r="H5" s="63"/>
      <c r="I5" s="63"/>
      <c r="J5" s="63"/>
      <c r="K5" s="173"/>
      <c r="L5" s="173"/>
      <c r="M5" s="173"/>
      <c r="N5" s="173"/>
    </row>
    <row r="6" spans="1:30" x14ac:dyDescent="0.25">
      <c r="A6" s="86" t="s">
        <v>85</v>
      </c>
      <c r="B6" s="86"/>
      <c r="K6" s="275"/>
      <c r="L6" s="275"/>
      <c r="M6" s="275"/>
      <c r="N6" s="275"/>
    </row>
    <row r="7" spans="1:30" x14ac:dyDescent="0.25">
      <c r="A7" s="66" t="s">
        <v>26</v>
      </c>
      <c r="B7" s="110" t="s">
        <v>58</v>
      </c>
      <c r="C7" s="111">
        <f>'Sales &amp; Revenue Adj.'!C5</f>
        <v>42917</v>
      </c>
      <c r="D7" s="111">
        <f>'Sales &amp; Revenue Adj.'!D5</f>
        <v>42948</v>
      </c>
      <c r="E7" s="111">
        <f>'Sales &amp; Revenue Adj.'!E5</f>
        <v>42979</v>
      </c>
      <c r="F7" s="111">
        <f>'Sales &amp; Revenue Adj.'!F5</f>
        <v>43009</v>
      </c>
      <c r="G7" s="111">
        <f>'Sales &amp; Revenue Adj.'!G5</f>
        <v>43040</v>
      </c>
      <c r="H7" s="111">
        <f>'Sales &amp; Revenue Adj.'!H5</f>
        <v>43070</v>
      </c>
      <c r="I7" s="111">
        <f>'Sales &amp; Revenue Adj.'!I5</f>
        <v>43101</v>
      </c>
      <c r="J7" s="111">
        <f>'Sales &amp; Revenue Adj.'!J5</f>
        <v>43132</v>
      </c>
      <c r="K7" s="111">
        <f>'Sales &amp; Revenue Adj.'!K5</f>
        <v>43160</v>
      </c>
      <c r="L7" s="111">
        <f>'Sales &amp; Revenue Adj.'!L5</f>
        <v>43191</v>
      </c>
      <c r="M7" s="111">
        <f>'Sales &amp; Revenue Adj.'!M5</f>
        <v>43221</v>
      </c>
      <c r="N7" s="111">
        <f>'Sales &amp; Revenue Adj.'!N5</f>
        <v>43252</v>
      </c>
      <c r="O7" s="112" t="s">
        <v>20</v>
      </c>
    </row>
    <row r="8" spans="1:30" s="106" customFormat="1" x14ac:dyDescent="0.25">
      <c r="A8" s="107" t="s">
        <v>55</v>
      </c>
      <c r="B8" s="35">
        <v>5</v>
      </c>
      <c r="C8" s="309">
        <v>320400</v>
      </c>
      <c r="D8" s="309">
        <v>278300</v>
      </c>
      <c r="E8" s="310">
        <v>265720</v>
      </c>
      <c r="F8" s="309">
        <v>355240</v>
      </c>
      <c r="G8" s="309">
        <v>559720</v>
      </c>
      <c r="H8" s="309">
        <v>793820</v>
      </c>
      <c r="I8" s="309">
        <v>997460</v>
      </c>
      <c r="J8" s="309">
        <v>897140</v>
      </c>
      <c r="K8" s="309">
        <v>943660</v>
      </c>
      <c r="L8" s="309">
        <v>776620</v>
      </c>
      <c r="M8" s="309">
        <v>591080</v>
      </c>
      <c r="N8" s="310">
        <v>387720</v>
      </c>
      <c r="O8" s="114">
        <f>SUM(C8:N8)</f>
        <v>7166880</v>
      </c>
      <c r="Q8"/>
      <c r="R8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1:30" s="106" customFormat="1" x14ac:dyDescent="0.25">
      <c r="A9" s="105" t="s">
        <v>157</v>
      </c>
      <c r="B9" s="35">
        <v>7</v>
      </c>
      <c r="C9" s="309">
        <v>664888038.56400001</v>
      </c>
      <c r="D9" s="309">
        <v>690580774.47000003</v>
      </c>
      <c r="E9" s="310">
        <v>690326368.44099998</v>
      </c>
      <c r="F9" s="309">
        <v>721568629.23800004</v>
      </c>
      <c r="G9" s="309">
        <v>914087283.24000001</v>
      </c>
      <c r="H9" s="309">
        <v>1113734555.5109999</v>
      </c>
      <c r="I9" s="309">
        <v>1245600497.118</v>
      </c>
      <c r="J9" s="309">
        <v>1123202830.28</v>
      </c>
      <c r="K9" s="309">
        <v>1119823626.9689999</v>
      </c>
      <c r="L9" s="309">
        <v>924598024.89300001</v>
      </c>
      <c r="M9" s="309">
        <v>741369503.04700005</v>
      </c>
      <c r="N9" s="310">
        <v>663353185.37899995</v>
      </c>
      <c r="O9" s="114">
        <f t="shared" ref="O9:O23" si="0">SUM(C9:N9)</f>
        <v>10613133317.15</v>
      </c>
      <c r="Q9"/>
      <c r="R9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1:30" s="106" customFormat="1" x14ac:dyDescent="0.25">
      <c r="A10" s="107" t="s">
        <v>36</v>
      </c>
      <c r="B10" s="35">
        <v>8</v>
      </c>
      <c r="C10" s="309">
        <v>17598206.638999999</v>
      </c>
      <c r="D10" s="309">
        <v>18433337.342999998</v>
      </c>
      <c r="E10" s="310">
        <v>18265866.480999999</v>
      </c>
      <c r="F10" s="309">
        <v>18604092.956999999</v>
      </c>
      <c r="G10" s="309">
        <v>20827793.984999999</v>
      </c>
      <c r="H10" s="309">
        <v>24749390.931000002</v>
      </c>
      <c r="I10" s="309">
        <v>27592309.217</v>
      </c>
      <c r="J10" s="309">
        <v>25743291.204</v>
      </c>
      <c r="K10" s="309">
        <v>25148347.254999999</v>
      </c>
      <c r="L10" s="309">
        <v>21812218.140000001</v>
      </c>
      <c r="M10" s="309">
        <v>18056250.261</v>
      </c>
      <c r="N10" s="310">
        <v>17691476.054000001</v>
      </c>
      <c r="O10" s="114">
        <f t="shared" si="0"/>
        <v>254522580.46700001</v>
      </c>
      <c r="Q10"/>
      <c r="R10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</row>
    <row r="11" spans="1:30" s="106" customFormat="1" x14ac:dyDescent="0.25">
      <c r="A11" s="107" t="s">
        <v>39</v>
      </c>
      <c r="B11" s="23">
        <v>10</v>
      </c>
      <c r="C11" s="309">
        <v>2332680</v>
      </c>
      <c r="D11" s="309">
        <v>2286480</v>
      </c>
      <c r="E11" s="310">
        <v>2373360</v>
      </c>
      <c r="F11" s="309">
        <v>2391300</v>
      </c>
      <c r="G11" s="309">
        <v>2457660</v>
      </c>
      <c r="H11" s="309">
        <v>2807340</v>
      </c>
      <c r="I11" s="309">
        <v>3098040</v>
      </c>
      <c r="J11" s="309">
        <v>2614020</v>
      </c>
      <c r="K11" s="309">
        <v>2836440</v>
      </c>
      <c r="L11" s="309">
        <v>2486280</v>
      </c>
      <c r="M11" s="309">
        <v>2272140</v>
      </c>
      <c r="N11" s="310">
        <v>2309160</v>
      </c>
      <c r="O11" s="114">
        <f t="shared" si="0"/>
        <v>30264900</v>
      </c>
      <c r="Q11"/>
      <c r="R11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</row>
    <row r="12" spans="1:30" s="106" customFormat="1" x14ac:dyDescent="0.25">
      <c r="A12" s="107" t="s">
        <v>37</v>
      </c>
      <c r="B12" s="35">
        <v>11</v>
      </c>
      <c r="C12" s="309">
        <v>10830817.666999999</v>
      </c>
      <c r="D12" s="309">
        <v>11462697.062000001</v>
      </c>
      <c r="E12" s="310">
        <v>11372444.396</v>
      </c>
      <c r="F12" s="309">
        <v>11331680.403000001</v>
      </c>
      <c r="G12" s="309">
        <v>12495554.995999999</v>
      </c>
      <c r="H12" s="309">
        <v>13973447.941</v>
      </c>
      <c r="I12" s="309">
        <v>14974428.268999999</v>
      </c>
      <c r="J12" s="309">
        <v>13502408.460999999</v>
      </c>
      <c r="K12" s="309">
        <v>13696146.333000001</v>
      </c>
      <c r="L12" s="309">
        <v>11899442.74</v>
      </c>
      <c r="M12" s="309">
        <v>10675498.311000001</v>
      </c>
      <c r="N12" s="310">
        <v>10215371.359999999</v>
      </c>
      <c r="O12" s="114">
        <f t="shared" si="0"/>
        <v>146429937.93900001</v>
      </c>
      <c r="Q12"/>
      <c r="R12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1:30" s="106" customFormat="1" x14ac:dyDescent="0.25">
      <c r="A13" s="107" t="s">
        <v>38</v>
      </c>
      <c r="B13" s="35">
        <v>12</v>
      </c>
      <c r="C13" s="309">
        <v>1338380</v>
      </c>
      <c r="D13" s="309">
        <v>1893600</v>
      </c>
      <c r="E13" s="310">
        <v>1367860</v>
      </c>
      <c r="F13" s="309">
        <v>1240100</v>
      </c>
      <c r="G13" s="309">
        <v>1279160</v>
      </c>
      <c r="H13" s="309">
        <v>1488840</v>
      </c>
      <c r="I13" s="309">
        <v>1647040</v>
      </c>
      <c r="J13" s="309">
        <v>1432900</v>
      </c>
      <c r="K13" s="309">
        <v>1526880</v>
      </c>
      <c r="L13" s="309">
        <v>1447900</v>
      </c>
      <c r="M13" s="309">
        <v>1122660</v>
      </c>
      <c r="N13" s="310">
        <v>966260</v>
      </c>
      <c r="O13" s="114">
        <f t="shared" si="0"/>
        <v>16751580</v>
      </c>
      <c r="Q13"/>
      <c r="R13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</row>
    <row r="14" spans="1:30" s="106" customFormat="1" x14ac:dyDescent="0.25">
      <c r="A14" s="105" t="s">
        <v>154</v>
      </c>
      <c r="B14" s="35">
        <v>24</v>
      </c>
      <c r="C14" s="309">
        <v>198167450.65799999</v>
      </c>
      <c r="D14" s="309">
        <v>210507064.713</v>
      </c>
      <c r="E14" s="310">
        <v>207504206.50400001</v>
      </c>
      <c r="F14" s="309">
        <v>197844823.602</v>
      </c>
      <c r="G14" s="309">
        <v>209548252.03299999</v>
      </c>
      <c r="H14" s="309">
        <v>227127481.794</v>
      </c>
      <c r="I14" s="309">
        <v>242459951.23099998</v>
      </c>
      <c r="J14" s="309">
        <v>224867111.17699999</v>
      </c>
      <c r="K14" s="309">
        <v>224646384.82399997</v>
      </c>
      <c r="L14" s="309">
        <v>200580672.93099999</v>
      </c>
      <c r="M14" s="309">
        <v>185648102.40099999</v>
      </c>
      <c r="N14" s="310">
        <v>184134839.60699996</v>
      </c>
      <c r="O14" s="114">
        <f t="shared" si="0"/>
        <v>2513036341.4749994</v>
      </c>
      <c r="Q14"/>
      <c r="R14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</row>
    <row r="15" spans="1:30" s="106" customFormat="1" x14ac:dyDescent="0.25">
      <c r="A15" s="105" t="s">
        <v>155</v>
      </c>
      <c r="B15" s="35">
        <v>25</v>
      </c>
      <c r="C15" s="309">
        <v>222669219.18900001</v>
      </c>
      <c r="D15" s="309">
        <v>231111227.04800001</v>
      </c>
      <c r="E15" s="310">
        <v>230502456.646</v>
      </c>
      <c r="F15" s="309">
        <v>223609705.632</v>
      </c>
      <c r="G15" s="309">
        <v>225286664.433</v>
      </c>
      <c r="H15" s="309">
        <v>239069762.021</v>
      </c>
      <c r="I15" s="309">
        <v>253178476.366</v>
      </c>
      <c r="J15" s="309">
        <v>247212428.17199999</v>
      </c>
      <c r="K15" s="309">
        <v>248278744.898</v>
      </c>
      <c r="L15" s="309">
        <v>231408313.347</v>
      </c>
      <c r="M15" s="309">
        <v>227280428.412</v>
      </c>
      <c r="N15" s="310">
        <v>222571489.141</v>
      </c>
      <c r="O15" s="114">
        <f t="shared" si="0"/>
        <v>2802178915.3049998</v>
      </c>
      <c r="Q15"/>
      <c r="R1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</row>
    <row r="16" spans="1:30" s="106" customFormat="1" x14ac:dyDescent="0.25">
      <c r="A16" s="105" t="s">
        <v>156</v>
      </c>
      <c r="B16" s="35">
        <v>26</v>
      </c>
      <c r="C16" s="309">
        <v>154607369.766</v>
      </c>
      <c r="D16" s="309">
        <v>163080119.24700001</v>
      </c>
      <c r="E16" s="310">
        <v>160947766.641</v>
      </c>
      <c r="F16" s="309">
        <v>154061505.42300001</v>
      </c>
      <c r="G16" s="309">
        <v>150443101.20699999</v>
      </c>
      <c r="H16" s="309">
        <v>152803309.016</v>
      </c>
      <c r="I16" s="309">
        <v>156475578.912</v>
      </c>
      <c r="J16" s="309">
        <v>157621456.891</v>
      </c>
      <c r="K16" s="309">
        <v>146486140.18899998</v>
      </c>
      <c r="L16" s="309">
        <v>143220450.197</v>
      </c>
      <c r="M16" s="309">
        <v>149052732.609</v>
      </c>
      <c r="N16" s="310">
        <v>155402049.403</v>
      </c>
      <c r="O16" s="114">
        <f t="shared" si="0"/>
        <v>1844201579.5009999</v>
      </c>
      <c r="Q16"/>
      <c r="R16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</row>
    <row r="17" spans="1:30" s="106" customFormat="1" x14ac:dyDescent="0.25">
      <c r="A17" s="107" t="s">
        <v>5</v>
      </c>
      <c r="B17" s="35">
        <v>29</v>
      </c>
      <c r="C17" s="309">
        <v>2371035.818</v>
      </c>
      <c r="D17" s="309">
        <v>4217320.6960000005</v>
      </c>
      <c r="E17" s="310">
        <v>3588004.3330000001</v>
      </c>
      <c r="F17" s="309">
        <v>1543509.81</v>
      </c>
      <c r="G17" s="309">
        <v>346375.08299999998</v>
      </c>
      <c r="H17" s="309">
        <v>205569.367</v>
      </c>
      <c r="I17" s="309">
        <v>269388.78899999999</v>
      </c>
      <c r="J17" s="309">
        <v>276136.7</v>
      </c>
      <c r="K17" s="309">
        <v>280808.11599999998</v>
      </c>
      <c r="L17" s="309">
        <v>266694.74800000002</v>
      </c>
      <c r="M17" s="309">
        <v>708710.26399999997</v>
      </c>
      <c r="N17" s="310">
        <v>1878608.1170000001</v>
      </c>
      <c r="O17" s="114">
        <f t="shared" si="0"/>
        <v>15952161.841000004</v>
      </c>
      <c r="Q17"/>
      <c r="R17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</row>
    <row r="18" spans="1:30" s="106" customFormat="1" x14ac:dyDescent="0.25">
      <c r="A18" s="107" t="s">
        <v>6</v>
      </c>
      <c r="B18" s="35">
        <v>31</v>
      </c>
      <c r="C18" s="309">
        <v>99532489.628000006</v>
      </c>
      <c r="D18" s="309">
        <v>110462888.33499999</v>
      </c>
      <c r="E18" s="310">
        <v>107084019.285</v>
      </c>
      <c r="F18" s="309">
        <v>109378655.867</v>
      </c>
      <c r="G18" s="309">
        <v>101243797.132</v>
      </c>
      <c r="H18" s="309">
        <v>105317043.78399999</v>
      </c>
      <c r="I18" s="309">
        <v>111293428.93399999</v>
      </c>
      <c r="J18" s="309">
        <v>112448329.70199999</v>
      </c>
      <c r="K18" s="309">
        <v>100970460.10600001</v>
      </c>
      <c r="L18" s="309">
        <v>106215200.595</v>
      </c>
      <c r="M18" s="309">
        <v>103197424.47499999</v>
      </c>
      <c r="N18" s="310">
        <v>101103077.88</v>
      </c>
      <c r="O18" s="114">
        <f t="shared" si="0"/>
        <v>1268246815.723</v>
      </c>
      <c r="Q18"/>
      <c r="R18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</row>
    <row r="19" spans="1:30" s="106" customFormat="1" x14ac:dyDescent="0.25">
      <c r="A19" s="67" t="s">
        <v>7</v>
      </c>
      <c r="B19" s="35">
        <v>35</v>
      </c>
      <c r="C19" s="309">
        <v>526200</v>
      </c>
      <c r="D19" s="309">
        <v>1019400</v>
      </c>
      <c r="E19" s="310">
        <v>791400</v>
      </c>
      <c r="F19" s="309">
        <v>672600</v>
      </c>
      <c r="G19" s="309">
        <v>325800</v>
      </c>
      <c r="H19" s="309">
        <v>3000</v>
      </c>
      <c r="I19" s="309">
        <v>6000</v>
      </c>
      <c r="J19" s="309">
        <v>5400</v>
      </c>
      <c r="K19" s="309">
        <v>5400</v>
      </c>
      <c r="L19" s="309">
        <v>2496.6</v>
      </c>
      <c r="M19" s="309">
        <v>357143.4</v>
      </c>
      <c r="N19" s="310">
        <v>628320</v>
      </c>
      <c r="O19" s="114">
        <f t="shared" si="0"/>
        <v>4343160</v>
      </c>
      <c r="Q19"/>
      <c r="R19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</row>
    <row r="20" spans="1:30" s="108" customFormat="1" x14ac:dyDescent="0.25">
      <c r="A20" s="335" t="s">
        <v>24</v>
      </c>
      <c r="B20" s="35">
        <v>40</v>
      </c>
      <c r="C20" s="309">
        <v>50077660.060000002</v>
      </c>
      <c r="D20" s="309">
        <v>50107929.939999998</v>
      </c>
      <c r="E20" s="310">
        <v>50179827.960000001</v>
      </c>
      <c r="F20" s="309">
        <v>48569951.270999998</v>
      </c>
      <c r="G20" s="309">
        <v>42255207.638999999</v>
      </c>
      <c r="H20" s="309">
        <v>48133052.327</v>
      </c>
      <c r="I20" s="309">
        <v>45745730.302000001</v>
      </c>
      <c r="J20" s="309">
        <v>43929830.578000002</v>
      </c>
      <c r="K20" s="309">
        <v>44503265.692999996</v>
      </c>
      <c r="L20" s="309">
        <v>42551050.405000001</v>
      </c>
      <c r="M20" s="309">
        <v>42098019.358999997</v>
      </c>
      <c r="N20" s="310">
        <v>36454394.177000001</v>
      </c>
      <c r="O20" s="114">
        <f t="shared" si="0"/>
        <v>544605919.71100008</v>
      </c>
      <c r="Q20"/>
      <c r="R20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</row>
    <row r="21" spans="1:30" s="106" customFormat="1" x14ac:dyDescent="0.25">
      <c r="A21" s="107" t="s">
        <v>8</v>
      </c>
      <c r="B21" s="35">
        <v>43</v>
      </c>
      <c r="C21" s="309">
        <v>6527327.6550000003</v>
      </c>
      <c r="D21" s="309">
        <v>5180692.835</v>
      </c>
      <c r="E21" s="310">
        <v>5734385.6900000004</v>
      </c>
      <c r="F21" s="309">
        <v>7985766.3600000003</v>
      </c>
      <c r="G21" s="309">
        <v>9911187.5600000005</v>
      </c>
      <c r="H21" s="309">
        <v>12590012.324999999</v>
      </c>
      <c r="I21" s="309">
        <v>14705562.185000001</v>
      </c>
      <c r="J21" s="309">
        <v>13348269.555</v>
      </c>
      <c r="K21" s="309">
        <v>14774100</v>
      </c>
      <c r="L21" s="309">
        <v>12167918.880000001</v>
      </c>
      <c r="M21" s="309">
        <v>9528385.6850000005</v>
      </c>
      <c r="N21" s="310">
        <v>8207965.2699999996</v>
      </c>
      <c r="O21" s="114">
        <f t="shared" si="0"/>
        <v>120661573.99999999</v>
      </c>
      <c r="Q21"/>
      <c r="R21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 spans="1:30" x14ac:dyDescent="0.25">
      <c r="A22" s="89" t="s">
        <v>159</v>
      </c>
      <c r="B22" s="113" t="s">
        <v>57</v>
      </c>
      <c r="C22" s="309">
        <v>50982145.237999998</v>
      </c>
      <c r="D22" s="309">
        <v>55577022.233000003</v>
      </c>
      <c r="E22" s="310">
        <v>55220358.689999998</v>
      </c>
      <c r="F22" s="309">
        <v>53158183.479000002</v>
      </c>
      <c r="G22" s="309">
        <v>55187671.693000004</v>
      </c>
      <c r="H22" s="309">
        <v>49183661.733000003</v>
      </c>
      <c r="I22" s="309">
        <v>51923761.625</v>
      </c>
      <c r="J22" s="309">
        <v>83844828.819000006</v>
      </c>
      <c r="K22" s="309">
        <v>16550318.004999999</v>
      </c>
      <c r="L22" s="309">
        <v>52598779.873999998</v>
      </c>
      <c r="M22" s="309">
        <v>51025804.240999997</v>
      </c>
      <c r="N22" s="310">
        <v>53857181.723000005</v>
      </c>
      <c r="O22" s="114">
        <f t="shared" si="0"/>
        <v>629109717.35300004</v>
      </c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</row>
    <row r="23" spans="1:30" x14ac:dyDescent="0.25">
      <c r="A23" s="89" t="s">
        <v>158</v>
      </c>
      <c r="B23" s="113" t="s">
        <v>56</v>
      </c>
      <c r="C23" s="309">
        <v>5603974.716</v>
      </c>
      <c r="D23" s="309">
        <v>6166496.4989999998</v>
      </c>
      <c r="E23" s="310">
        <v>5741176.2850000001</v>
      </c>
      <c r="F23" s="309">
        <v>6157825.6359999999</v>
      </c>
      <c r="G23" s="309">
        <v>5712703.4900000002</v>
      </c>
      <c r="H23" s="309">
        <v>6172147.8329999996</v>
      </c>
      <c r="I23" s="309">
        <v>5833297.7620000001</v>
      </c>
      <c r="J23" s="309">
        <v>5903361.0930000003</v>
      </c>
      <c r="K23" s="309">
        <v>5627651.4330000002</v>
      </c>
      <c r="L23" s="309">
        <v>6038794.7130000005</v>
      </c>
      <c r="M23" s="309">
        <v>6061283.9859999996</v>
      </c>
      <c r="N23" s="310">
        <v>5842414.602</v>
      </c>
      <c r="O23" s="114">
        <f t="shared" si="0"/>
        <v>70861128.048000008</v>
      </c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</row>
    <row r="24" spans="1:30" s="94" customFormat="1" x14ac:dyDescent="0.25">
      <c r="A24" s="92" t="s">
        <v>23</v>
      </c>
      <c r="B24" s="92"/>
      <c r="C24" s="93">
        <f t="shared" ref="C24:N24" si="1">SUM(C8:C23)</f>
        <v>1488373395.598</v>
      </c>
      <c r="D24" s="93">
        <f t="shared" si="1"/>
        <v>1562365350.4210005</v>
      </c>
      <c r="E24" s="93">
        <f t="shared" si="1"/>
        <v>1551265221.3520002</v>
      </c>
      <c r="F24" s="93">
        <f t="shared" si="1"/>
        <v>1558473569.678</v>
      </c>
      <c r="G24" s="93">
        <f t="shared" si="1"/>
        <v>1751967932.4910002</v>
      </c>
      <c r="H24" s="93">
        <f t="shared" si="1"/>
        <v>1998152434.5829997</v>
      </c>
      <c r="I24" s="93">
        <f t="shared" si="1"/>
        <v>2175800950.71</v>
      </c>
      <c r="J24" s="93">
        <f t="shared" si="1"/>
        <v>2056849742.632</v>
      </c>
      <c r="K24" s="93">
        <f t="shared" si="1"/>
        <v>1966098373.8209999</v>
      </c>
      <c r="L24" s="93">
        <f t="shared" si="1"/>
        <v>1758070858.0630002</v>
      </c>
      <c r="M24" s="93">
        <f t="shared" si="1"/>
        <v>1549045166.451</v>
      </c>
      <c r="N24" s="93">
        <f t="shared" si="1"/>
        <v>1465003512.7130001</v>
      </c>
      <c r="O24" s="114">
        <f>SUM(C24:N24)</f>
        <v>20881466508.513</v>
      </c>
    </row>
    <row r="25" spans="1:30" ht="15" x14ac:dyDescent="0.4">
      <c r="A25" s="29"/>
      <c r="B25" s="29"/>
      <c r="C25" s="68"/>
      <c r="D25" s="68"/>
      <c r="E25" s="68"/>
      <c r="F25" s="68"/>
      <c r="G25" s="68"/>
      <c r="H25" s="68"/>
      <c r="I25" s="68"/>
      <c r="J25" s="68"/>
      <c r="K25" s="174"/>
      <c r="L25" s="174"/>
      <c r="M25" s="174"/>
      <c r="N25" s="174"/>
      <c r="O25" s="68"/>
    </row>
    <row r="26" spans="1:30" x14ac:dyDescent="0.25">
      <c r="K26" s="35"/>
      <c r="L26" s="35"/>
      <c r="M26" s="35"/>
      <c r="N26" s="35"/>
    </row>
    <row r="27" spans="1:30" x14ac:dyDescent="0.25">
      <c r="A27" s="66" t="s">
        <v>29</v>
      </c>
    </row>
    <row r="28" spans="1:30" x14ac:dyDescent="0.25">
      <c r="A28" s="66" t="s">
        <v>148</v>
      </c>
    </row>
    <row r="29" spans="1:30" x14ac:dyDescent="0.25">
      <c r="A29" t="s">
        <v>163</v>
      </c>
    </row>
    <row r="30" spans="1:30" x14ac:dyDescent="0.25">
      <c r="A30" s="66" t="s">
        <v>85</v>
      </c>
      <c r="B30" s="66"/>
      <c r="C30" s="66"/>
      <c r="D30" s="66"/>
      <c r="E30" s="66"/>
      <c r="F30" s="66"/>
      <c r="G30" s="66"/>
      <c r="H30" s="66"/>
      <c r="I30" s="66"/>
      <c r="J30" s="66"/>
      <c r="K30" s="275"/>
      <c r="L30" s="275"/>
      <c r="M30" s="275"/>
      <c r="N30" s="275"/>
    </row>
    <row r="31" spans="1:30" x14ac:dyDescent="0.25">
      <c r="A31" s="66" t="s">
        <v>26</v>
      </c>
      <c r="B31" s="66" t="s">
        <v>58</v>
      </c>
      <c r="C31" s="111">
        <f t="shared" ref="C31:N31" si="2">C7</f>
        <v>42917</v>
      </c>
      <c r="D31" s="111">
        <f t="shared" si="2"/>
        <v>42948</v>
      </c>
      <c r="E31" s="111">
        <f t="shared" si="2"/>
        <v>42979</v>
      </c>
      <c r="F31" s="111">
        <f t="shared" si="2"/>
        <v>43009</v>
      </c>
      <c r="G31" s="111">
        <f t="shared" si="2"/>
        <v>43040</v>
      </c>
      <c r="H31" s="111">
        <f t="shared" si="2"/>
        <v>43070</v>
      </c>
      <c r="I31" s="111">
        <f t="shared" si="2"/>
        <v>43101</v>
      </c>
      <c r="J31" s="111">
        <f t="shared" si="2"/>
        <v>43132</v>
      </c>
      <c r="K31" s="111">
        <f t="shared" si="2"/>
        <v>43160</v>
      </c>
      <c r="L31" s="111">
        <f t="shared" si="2"/>
        <v>43191</v>
      </c>
      <c r="M31" s="111">
        <f t="shared" si="2"/>
        <v>43221</v>
      </c>
      <c r="N31" s="111">
        <f t="shared" si="2"/>
        <v>43252</v>
      </c>
    </row>
    <row r="32" spans="1:30" x14ac:dyDescent="0.25">
      <c r="A32" s="107" t="s">
        <v>55</v>
      </c>
      <c r="B32" s="248">
        <v>5</v>
      </c>
      <c r="C32" s="311">
        <v>8</v>
      </c>
      <c r="D32" s="311">
        <v>8</v>
      </c>
      <c r="E32" s="311">
        <v>8</v>
      </c>
      <c r="F32" s="311">
        <v>8</v>
      </c>
      <c r="G32" s="311">
        <v>8</v>
      </c>
      <c r="H32" s="311">
        <v>8</v>
      </c>
      <c r="I32" s="311">
        <v>8</v>
      </c>
      <c r="J32" s="311">
        <v>8</v>
      </c>
      <c r="K32" s="311">
        <v>8</v>
      </c>
      <c r="L32" s="311">
        <v>8</v>
      </c>
      <c r="M32" s="311">
        <v>8</v>
      </c>
      <c r="N32" s="311">
        <v>8</v>
      </c>
    </row>
    <row r="33" spans="1:14" x14ac:dyDescent="0.25">
      <c r="A33" s="105" t="s">
        <v>157</v>
      </c>
      <c r="B33" s="248">
        <v>7</v>
      </c>
      <c r="C33" s="311">
        <v>997450</v>
      </c>
      <c r="D33" s="311">
        <v>998447</v>
      </c>
      <c r="E33" s="311">
        <v>999831</v>
      </c>
      <c r="F33" s="311">
        <v>1001369</v>
      </c>
      <c r="G33" s="311">
        <v>1002683</v>
      </c>
      <c r="H33" s="311">
        <v>1003979</v>
      </c>
      <c r="I33" s="311">
        <v>1005060</v>
      </c>
      <c r="J33" s="311">
        <v>1006215</v>
      </c>
      <c r="K33" s="311">
        <v>1006855</v>
      </c>
      <c r="L33" s="311">
        <v>1007514</v>
      </c>
      <c r="M33" s="311">
        <v>1008561</v>
      </c>
      <c r="N33" s="311">
        <v>1009696</v>
      </c>
    </row>
    <row r="34" spans="1:14" x14ac:dyDescent="0.25">
      <c r="A34" s="107" t="s">
        <v>36</v>
      </c>
      <c r="B34" s="248">
        <v>8</v>
      </c>
      <c r="C34" s="311">
        <v>29905</v>
      </c>
      <c r="D34" s="311">
        <v>29929</v>
      </c>
      <c r="E34" s="311">
        <v>29938</v>
      </c>
      <c r="F34" s="311">
        <v>29954</v>
      </c>
      <c r="G34" s="311">
        <v>29950</v>
      </c>
      <c r="H34" s="311">
        <v>29973</v>
      </c>
      <c r="I34" s="311">
        <v>29987</v>
      </c>
      <c r="J34" s="311">
        <v>29970</v>
      </c>
      <c r="K34" s="311">
        <v>30012</v>
      </c>
      <c r="L34" s="311">
        <v>30016</v>
      </c>
      <c r="M34" s="311">
        <v>30040</v>
      </c>
      <c r="N34" s="311">
        <v>30049</v>
      </c>
    </row>
    <row r="35" spans="1:14" x14ac:dyDescent="0.25">
      <c r="A35" s="107" t="s">
        <v>39</v>
      </c>
      <c r="B35" s="248">
        <v>10</v>
      </c>
      <c r="C35" s="311">
        <v>13</v>
      </c>
      <c r="D35" s="311">
        <v>13</v>
      </c>
      <c r="E35" s="311">
        <v>13</v>
      </c>
      <c r="F35" s="311">
        <v>13</v>
      </c>
      <c r="G35" s="311">
        <v>13</v>
      </c>
      <c r="H35" s="311">
        <v>13</v>
      </c>
      <c r="I35" s="311">
        <v>13</v>
      </c>
      <c r="J35" s="311">
        <v>13</v>
      </c>
      <c r="K35" s="311">
        <v>13</v>
      </c>
      <c r="L35" s="311">
        <v>13</v>
      </c>
      <c r="M35" s="311">
        <v>13</v>
      </c>
      <c r="N35" s="311">
        <v>13</v>
      </c>
    </row>
    <row r="36" spans="1:14" x14ac:dyDescent="0.25">
      <c r="A36" s="107" t="s">
        <v>37</v>
      </c>
      <c r="B36" s="248">
        <v>11</v>
      </c>
      <c r="C36" s="311">
        <v>308</v>
      </c>
      <c r="D36" s="311">
        <v>308</v>
      </c>
      <c r="E36" s="311">
        <v>310</v>
      </c>
      <c r="F36" s="311">
        <v>310</v>
      </c>
      <c r="G36" s="311">
        <v>311</v>
      </c>
      <c r="H36" s="311">
        <v>308</v>
      </c>
      <c r="I36" s="311">
        <v>307</v>
      </c>
      <c r="J36" s="311">
        <v>308</v>
      </c>
      <c r="K36" s="311">
        <v>305</v>
      </c>
      <c r="L36" s="311">
        <v>307</v>
      </c>
      <c r="M36" s="311">
        <v>305</v>
      </c>
      <c r="N36" s="311">
        <v>305</v>
      </c>
    </row>
    <row r="37" spans="1:14" x14ac:dyDescent="0.25">
      <c r="A37" s="107" t="s">
        <v>38</v>
      </c>
      <c r="B37" s="248">
        <v>12</v>
      </c>
      <c r="C37" s="311">
        <v>14</v>
      </c>
      <c r="D37" s="311">
        <v>14</v>
      </c>
      <c r="E37" s="311">
        <v>14</v>
      </c>
      <c r="F37" s="311">
        <v>13</v>
      </c>
      <c r="G37" s="311">
        <v>13</v>
      </c>
      <c r="H37" s="311">
        <v>13</v>
      </c>
      <c r="I37" s="311">
        <v>13</v>
      </c>
      <c r="J37" s="311">
        <v>13</v>
      </c>
      <c r="K37" s="311">
        <v>13</v>
      </c>
      <c r="L37" s="311">
        <v>13</v>
      </c>
      <c r="M37" s="311">
        <v>13</v>
      </c>
      <c r="N37" s="311">
        <v>13</v>
      </c>
    </row>
    <row r="38" spans="1:14" x14ac:dyDescent="0.25">
      <c r="A38" s="105" t="s">
        <v>154</v>
      </c>
      <c r="B38" s="248">
        <v>24</v>
      </c>
      <c r="C38" s="311">
        <v>90137</v>
      </c>
      <c r="D38" s="311">
        <v>90458</v>
      </c>
      <c r="E38" s="311">
        <v>90490</v>
      </c>
      <c r="F38" s="311">
        <v>90623</v>
      </c>
      <c r="G38" s="311">
        <v>90997</v>
      </c>
      <c r="H38" s="311">
        <v>91024</v>
      </c>
      <c r="I38" s="311">
        <v>90968</v>
      </c>
      <c r="J38" s="311">
        <v>91153</v>
      </c>
      <c r="K38" s="311">
        <v>91252</v>
      </c>
      <c r="L38" s="311">
        <v>91258</v>
      </c>
      <c r="M38" s="311">
        <v>91332</v>
      </c>
      <c r="N38" s="311">
        <v>91543</v>
      </c>
    </row>
    <row r="39" spans="1:14" x14ac:dyDescent="0.25">
      <c r="A39" s="105" t="s">
        <v>155</v>
      </c>
      <c r="B39" s="248">
        <v>25</v>
      </c>
      <c r="C39" s="311">
        <v>6849</v>
      </c>
      <c r="D39" s="311">
        <v>6858</v>
      </c>
      <c r="E39" s="311">
        <v>6862</v>
      </c>
      <c r="F39" s="311">
        <v>6867</v>
      </c>
      <c r="G39" s="311">
        <v>6899</v>
      </c>
      <c r="H39" s="311">
        <v>6926</v>
      </c>
      <c r="I39" s="311">
        <v>6977</v>
      </c>
      <c r="J39" s="311">
        <v>7077</v>
      </c>
      <c r="K39" s="311">
        <v>7201</v>
      </c>
      <c r="L39" s="311">
        <v>7315</v>
      </c>
      <c r="M39" s="311">
        <v>7372</v>
      </c>
      <c r="N39" s="311">
        <v>7273</v>
      </c>
    </row>
    <row r="40" spans="1:14" x14ac:dyDescent="0.25">
      <c r="A40" s="105" t="s">
        <v>156</v>
      </c>
      <c r="B40" s="248">
        <v>26</v>
      </c>
      <c r="C40" s="311">
        <v>780</v>
      </c>
      <c r="D40" s="311">
        <v>784</v>
      </c>
      <c r="E40" s="311">
        <v>782</v>
      </c>
      <c r="F40" s="311">
        <v>784</v>
      </c>
      <c r="G40" s="311">
        <v>787</v>
      </c>
      <c r="H40" s="311">
        <v>787</v>
      </c>
      <c r="I40" s="311">
        <v>790</v>
      </c>
      <c r="J40" s="311">
        <v>785</v>
      </c>
      <c r="K40" s="311">
        <v>786</v>
      </c>
      <c r="L40" s="311">
        <v>790</v>
      </c>
      <c r="M40" s="311">
        <v>819</v>
      </c>
      <c r="N40" s="311">
        <v>848</v>
      </c>
    </row>
    <row r="41" spans="1:14" x14ac:dyDescent="0.25">
      <c r="A41" s="107" t="s">
        <v>5</v>
      </c>
      <c r="B41" s="248">
        <v>29</v>
      </c>
      <c r="C41" s="311">
        <v>667</v>
      </c>
      <c r="D41" s="311">
        <v>685</v>
      </c>
      <c r="E41" s="311">
        <v>683</v>
      </c>
      <c r="F41" s="311">
        <v>638</v>
      </c>
      <c r="G41" s="311">
        <v>551</v>
      </c>
      <c r="H41" s="311">
        <v>539</v>
      </c>
      <c r="I41" s="311">
        <v>533</v>
      </c>
      <c r="J41" s="311">
        <v>521</v>
      </c>
      <c r="K41" s="311">
        <v>529</v>
      </c>
      <c r="L41" s="311">
        <v>564</v>
      </c>
      <c r="M41" s="311">
        <v>629</v>
      </c>
      <c r="N41" s="311">
        <v>665</v>
      </c>
    </row>
    <row r="42" spans="1:14" x14ac:dyDescent="0.25">
      <c r="A42" s="107" t="s">
        <v>6</v>
      </c>
      <c r="B42" s="248">
        <v>31</v>
      </c>
      <c r="C42" s="311">
        <v>467</v>
      </c>
      <c r="D42" s="311">
        <v>469</v>
      </c>
      <c r="E42" s="311">
        <v>468</v>
      </c>
      <c r="F42" s="311">
        <v>469</v>
      </c>
      <c r="G42" s="311">
        <v>467</v>
      </c>
      <c r="H42" s="311">
        <v>468</v>
      </c>
      <c r="I42" s="311">
        <v>469</v>
      </c>
      <c r="J42" s="311">
        <v>467</v>
      </c>
      <c r="K42" s="311">
        <v>468</v>
      </c>
      <c r="L42" s="311">
        <v>470</v>
      </c>
      <c r="M42" s="311">
        <v>469</v>
      </c>
      <c r="N42" s="311">
        <v>470</v>
      </c>
    </row>
    <row r="43" spans="1:14" x14ac:dyDescent="0.25">
      <c r="A43" s="67" t="s">
        <v>7</v>
      </c>
      <c r="B43" s="248">
        <v>35</v>
      </c>
      <c r="C43" s="311">
        <v>1</v>
      </c>
      <c r="D43" s="311">
        <v>1</v>
      </c>
      <c r="E43" s="311">
        <v>1</v>
      </c>
      <c r="F43" s="311">
        <v>1</v>
      </c>
      <c r="G43" s="311">
        <v>1</v>
      </c>
      <c r="H43" s="311">
        <v>1</v>
      </c>
      <c r="I43" s="311">
        <v>1</v>
      </c>
      <c r="J43" s="311">
        <v>1</v>
      </c>
      <c r="K43" s="311">
        <v>1</v>
      </c>
      <c r="L43" s="311">
        <v>1</v>
      </c>
      <c r="M43" s="311">
        <v>2</v>
      </c>
      <c r="N43" s="311">
        <v>2</v>
      </c>
    </row>
    <row r="44" spans="1:14" x14ac:dyDescent="0.25">
      <c r="A44" s="335" t="s">
        <v>24</v>
      </c>
      <c r="B44" s="248">
        <v>40</v>
      </c>
      <c r="C44" s="311">
        <v>131</v>
      </c>
      <c r="D44" s="311">
        <v>131</v>
      </c>
      <c r="E44" s="311">
        <v>131</v>
      </c>
      <c r="F44" s="311">
        <v>131</v>
      </c>
      <c r="G44" s="311">
        <v>130</v>
      </c>
      <c r="H44" s="311">
        <v>130</v>
      </c>
      <c r="I44" s="311">
        <v>130</v>
      </c>
      <c r="J44" s="311">
        <v>128</v>
      </c>
      <c r="K44" s="311">
        <v>128</v>
      </c>
      <c r="L44" s="311">
        <v>128</v>
      </c>
      <c r="M44" s="311">
        <v>128</v>
      </c>
      <c r="N44" s="311">
        <v>128</v>
      </c>
    </row>
    <row r="45" spans="1:14" x14ac:dyDescent="0.25">
      <c r="A45" s="107" t="s">
        <v>8</v>
      </c>
      <c r="B45" s="248">
        <v>43</v>
      </c>
      <c r="C45" s="311">
        <v>158</v>
      </c>
      <c r="D45" s="311">
        <v>158</v>
      </c>
      <c r="E45" s="311">
        <v>157</v>
      </c>
      <c r="F45" s="311">
        <v>157</v>
      </c>
      <c r="G45" s="311">
        <v>157</v>
      </c>
      <c r="H45" s="311">
        <v>157</v>
      </c>
      <c r="I45" s="311">
        <v>157</v>
      </c>
      <c r="J45" s="311">
        <v>156</v>
      </c>
      <c r="K45" s="311">
        <v>156</v>
      </c>
      <c r="L45" s="311">
        <v>155</v>
      </c>
      <c r="M45" s="311">
        <v>155</v>
      </c>
      <c r="N45" s="311">
        <v>155</v>
      </c>
    </row>
    <row r="46" spans="1:14" x14ac:dyDescent="0.25">
      <c r="A46" s="89" t="s">
        <v>159</v>
      </c>
      <c r="B46" s="248" t="s">
        <v>57</v>
      </c>
      <c r="C46" s="311">
        <v>25</v>
      </c>
      <c r="D46" s="311">
        <v>25</v>
      </c>
      <c r="E46" s="311">
        <v>25</v>
      </c>
      <c r="F46" s="311">
        <v>25</v>
      </c>
      <c r="G46" s="311">
        <v>25</v>
      </c>
      <c r="H46" s="311">
        <v>25</v>
      </c>
      <c r="I46" s="311">
        <v>25</v>
      </c>
      <c r="J46" s="311">
        <v>25</v>
      </c>
      <c r="K46" s="311">
        <v>25</v>
      </c>
      <c r="L46" s="311">
        <v>25</v>
      </c>
      <c r="M46" s="311">
        <v>25</v>
      </c>
      <c r="N46" s="311">
        <v>25</v>
      </c>
    </row>
    <row r="47" spans="1:14" x14ac:dyDescent="0.25">
      <c r="A47" s="89" t="s">
        <v>158</v>
      </c>
      <c r="B47" s="248" t="s">
        <v>56</v>
      </c>
      <c r="C47" s="311">
        <v>7583</v>
      </c>
      <c r="D47" s="311">
        <v>7628</v>
      </c>
      <c r="E47" s="311">
        <v>7629</v>
      </c>
      <c r="F47" s="311">
        <v>7630</v>
      </c>
      <c r="G47" s="311">
        <v>7657</v>
      </c>
      <c r="H47" s="311">
        <v>7686</v>
      </c>
      <c r="I47" s="311">
        <v>7688</v>
      </c>
      <c r="J47" s="311">
        <v>7711</v>
      </c>
      <c r="K47" s="311">
        <v>7732</v>
      </c>
      <c r="L47" s="311">
        <v>7767</v>
      </c>
      <c r="M47" s="311">
        <v>7804</v>
      </c>
      <c r="N47" s="311">
        <v>7850</v>
      </c>
    </row>
    <row r="48" spans="1:14" x14ac:dyDescent="0.25">
      <c r="A48" t="s">
        <v>149</v>
      </c>
      <c r="B48" s="248"/>
      <c r="C48" s="311">
        <v>13</v>
      </c>
      <c r="D48" s="311">
        <v>13</v>
      </c>
      <c r="E48" s="311">
        <v>13</v>
      </c>
      <c r="F48" s="311">
        <v>13</v>
      </c>
      <c r="G48" s="311">
        <v>13</v>
      </c>
      <c r="H48" s="311">
        <v>13</v>
      </c>
      <c r="I48" s="311">
        <v>13</v>
      </c>
      <c r="J48" s="311">
        <v>13</v>
      </c>
      <c r="K48" s="311">
        <v>13</v>
      </c>
      <c r="L48" s="311">
        <v>13</v>
      </c>
      <c r="M48" s="311">
        <v>13</v>
      </c>
      <c r="N48" s="311">
        <v>13</v>
      </c>
    </row>
    <row r="49" spans="1:14" x14ac:dyDescent="0.25">
      <c r="A49" t="s">
        <v>150</v>
      </c>
      <c r="B49" s="248"/>
      <c r="C49" s="311">
        <v>3</v>
      </c>
      <c r="D49" s="311">
        <v>3</v>
      </c>
      <c r="E49" s="311">
        <v>3</v>
      </c>
      <c r="F49" s="311">
        <v>3</v>
      </c>
      <c r="G49" s="311">
        <v>3</v>
      </c>
      <c r="H49" s="311">
        <v>3</v>
      </c>
      <c r="I49" s="311">
        <v>3</v>
      </c>
      <c r="J49" s="311">
        <v>3</v>
      </c>
      <c r="K49" s="311">
        <v>3</v>
      </c>
      <c r="L49" s="311">
        <v>3</v>
      </c>
      <c r="M49" s="311">
        <v>3</v>
      </c>
      <c r="N49" s="311">
        <v>3</v>
      </c>
    </row>
    <row r="50" spans="1:14" x14ac:dyDescent="0.25">
      <c r="A50" t="s">
        <v>23</v>
      </c>
      <c r="B50" s="248"/>
      <c r="C50" s="289">
        <f t="shared" ref="C50:N50" si="3">SUM(C32:C49)</f>
        <v>1134512</v>
      </c>
      <c r="D50" s="289">
        <f t="shared" si="3"/>
        <v>1135932</v>
      </c>
      <c r="E50" s="289">
        <f t="shared" si="3"/>
        <v>1137358</v>
      </c>
      <c r="F50" s="289">
        <f t="shared" si="3"/>
        <v>1139008</v>
      </c>
      <c r="G50" s="289">
        <f t="shared" si="3"/>
        <v>1140665</v>
      </c>
      <c r="H50" s="289">
        <f t="shared" si="3"/>
        <v>1142053</v>
      </c>
      <c r="I50" s="289">
        <f t="shared" si="3"/>
        <v>1143142</v>
      </c>
      <c r="J50" s="289">
        <f t="shared" si="3"/>
        <v>1144567</v>
      </c>
      <c r="K50" s="289">
        <f t="shared" si="3"/>
        <v>1145500</v>
      </c>
      <c r="L50" s="289">
        <f t="shared" si="3"/>
        <v>1146360</v>
      </c>
      <c r="M50" s="289">
        <f t="shared" si="3"/>
        <v>1147691</v>
      </c>
      <c r="N50" s="289">
        <f t="shared" si="3"/>
        <v>1149059</v>
      </c>
    </row>
    <row r="51" spans="1:14" x14ac:dyDescent="0.25">
      <c r="A51" s="98"/>
      <c r="B51" s="248"/>
      <c r="C51" s="248"/>
      <c r="D51" s="248"/>
      <c r="E51" s="248"/>
      <c r="F51" s="248"/>
      <c r="G51" s="248"/>
      <c r="H51" s="248"/>
      <c r="I51" s="248"/>
      <c r="J51" s="248"/>
      <c r="K51" s="98"/>
      <c r="L51" s="98"/>
      <c r="M51" s="98"/>
      <c r="N51" s="98"/>
    </row>
  </sheetData>
  <phoneticPr fontId="2" type="noConversion"/>
  <printOptions horizontalCentered="1"/>
  <pageMargins left="0.7" right="0.7" top="0.75" bottom="0.75" header="0.3" footer="0.3"/>
  <pageSetup scale="51" orientation="landscape" r:id="rId1"/>
  <headerFooter alignWithMargins="0">
    <oddFooter xml:space="preserve">&amp;L&amp;F 
&amp;A&amp;RPage &amp;P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1"/>
  <sheetViews>
    <sheetView zoomScale="90" workbookViewId="0">
      <selection sqref="A1:R37"/>
    </sheetView>
  </sheetViews>
  <sheetFormatPr defaultColWidth="9.33203125" defaultRowHeight="13.2" x14ac:dyDescent="0.25"/>
  <cols>
    <col min="1" max="2" width="9.33203125" style="176" bestFit="1" customWidth="1"/>
    <col min="3" max="3" width="12.33203125" style="176" customWidth="1"/>
    <col min="4" max="5" width="11.6640625" style="176" customWidth="1"/>
    <col min="6" max="6" width="12.33203125" style="176" customWidth="1"/>
    <col min="7" max="10" width="12.6640625" style="176" customWidth="1"/>
    <col min="11" max="11" width="14.33203125" style="176" bestFit="1" customWidth="1"/>
    <col min="12" max="12" width="13" style="176" bestFit="1" customWidth="1"/>
    <col min="13" max="13" width="10.6640625" style="176" customWidth="1"/>
    <col min="14" max="14" width="12.6640625" style="176" bestFit="1" customWidth="1"/>
    <col min="15" max="15" width="11.6640625" style="176" customWidth="1"/>
    <col min="16" max="16384" width="9.33203125" style="176"/>
  </cols>
  <sheetData>
    <row r="1" spans="1:30" ht="17.399999999999999" x14ac:dyDescent="0.3">
      <c r="A1" s="172" t="s">
        <v>181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30" x14ac:dyDescent="0.25">
      <c r="A2" s="128"/>
      <c r="B2" s="129"/>
      <c r="C2" s="130"/>
      <c r="D2" s="130"/>
      <c r="E2" s="130"/>
      <c r="F2" s="131" t="s">
        <v>62</v>
      </c>
      <c r="G2" s="130"/>
      <c r="H2" s="130"/>
      <c r="I2" s="130"/>
      <c r="J2" s="130"/>
      <c r="K2" s="132"/>
      <c r="L2" s="129"/>
      <c r="M2" s="133"/>
      <c r="N2" s="133"/>
      <c r="O2" s="127"/>
    </row>
    <row r="3" spans="1:30" ht="39.6" x14ac:dyDescent="0.25">
      <c r="A3" s="134" t="s">
        <v>63</v>
      </c>
      <c r="B3" s="135" t="s">
        <v>64</v>
      </c>
      <c r="C3" s="136" t="s">
        <v>65</v>
      </c>
      <c r="D3" s="136" t="s">
        <v>66</v>
      </c>
      <c r="E3" s="137" t="s">
        <v>102</v>
      </c>
      <c r="F3" s="136" t="s">
        <v>67</v>
      </c>
      <c r="G3" s="136" t="s">
        <v>68</v>
      </c>
      <c r="H3" s="136" t="s">
        <v>69</v>
      </c>
      <c r="I3" s="136" t="s">
        <v>70</v>
      </c>
      <c r="J3" s="136" t="s">
        <v>71</v>
      </c>
      <c r="K3" s="138" t="s">
        <v>72</v>
      </c>
      <c r="L3" s="139" t="s">
        <v>73</v>
      </c>
      <c r="M3" s="135" t="s">
        <v>74</v>
      </c>
      <c r="N3" s="140" t="s">
        <v>75</v>
      </c>
      <c r="O3" s="140" t="s">
        <v>86</v>
      </c>
      <c r="Q3" s="325" t="s">
        <v>169</v>
      </c>
      <c r="R3" s="325" t="s">
        <v>170</v>
      </c>
    </row>
    <row r="4" spans="1:30" x14ac:dyDescent="0.25">
      <c r="A4" s="141">
        <v>2017</v>
      </c>
      <c r="B4" s="142">
        <v>7</v>
      </c>
      <c r="C4" s="143">
        <v>57.0138888888889</v>
      </c>
      <c r="D4" s="246">
        <v>73.7916666666667</v>
      </c>
      <c r="E4" s="312">
        <v>18.916799999999999</v>
      </c>
      <c r="F4" s="312">
        <v>63.333300000000001</v>
      </c>
      <c r="G4" s="143">
        <v>0</v>
      </c>
      <c r="H4" s="312">
        <v>0</v>
      </c>
      <c r="I4" s="143">
        <v>179.29305555555601</v>
      </c>
      <c r="J4" s="315">
        <v>199.41650000000001</v>
      </c>
      <c r="K4" s="305">
        <v>1674840.8119999999</v>
      </c>
      <c r="L4" s="265">
        <f t="shared" ref="L4:L15" si="0">K4/M4*1000</f>
        <v>1476.286220489098</v>
      </c>
      <c r="M4" s="307">
        <f>SUM('SAP BW Actual Usage'!C32:C47)</f>
        <v>1134496</v>
      </c>
      <c r="N4" s="308">
        <f t="shared" ref="N4:N15" si="1">(L4+(C4-E4)*C22+(G4-H4)*D22+(D4-F4)*E22+(I4-J4)*F22)*M4/1000</f>
        <v>1664895.7129958139</v>
      </c>
      <c r="O4" s="298">
        <f t="shared" ref="O4:O6" si="2">N4-K4</f>
        <v>-9945.0990041859914</v>
      </c>
      <c r="P4" s="84"/>
      <c r="Q4" s="326">
        <v>0.11944444444444501</v>
      </c>
      <c r="R4" s="327">
        <v>0</v>
      </c>
    </row>
    <row r="5" spans="1:30" x14ac:dyDescent="0.25">
      <c r="A5" s="141">
        <f t="shared" ref="A5:A15" si="3">A4</f>
        <v>2017</v>
      </c>
      <c r="B5" s="142">
        <v>8</v>
      </c>
      <c r="C5" s="143">
        <v>47.509722222222202</v>
      </c>
      <c r="D5" s="246">
        <v>66.988888888888894</v>
      </c>
      <c r="E5" s="312">
        <v>4.7084000000000001</v>
      </c>
      <c r="F5" s="313">
        <v>141.95839999999998</v>
      </c>
      <c r="G5" s="143">
        <v>0</v>
      </c>
      <c r="H5" s="312">
        <v>0</v>
      </c>
      <c r="I5" s="143">
        <v>178.052777777778</v>
      </c>
      <c r="J5" s="316">
        <v>292.25000000000006</v>
      </c>
      <c r="K5" s="305">
        <v>1762350.6140000001</v>
      </c>
      <c r="L5" s="265">
        <f t="shared" si="0"/>
        <v>1551.4796992031102</v>
      </c>
      <c r="M5" s="307">
        <f>SUM('SAP BW Actual Usage'!D32:D47)</f>
        <v>1135916</v>
      </c>
      <c r="N5" s="308">
        <f t="shared" si="1"/>
        <v>1706028.6782529952</v>
      </c>
      <c r="O5" s="298">
        <f t="shared" si="2"/>
        <v>-56321.935747004813</v>
      </c>
      <c r="P5" s="84"/>
      <c r="Q5" s="326">
        <v>0</v>
      </c>
      <c r="R5" s="327">
        <v>0</v>
      </c>
    </row>
    <row r="6" spans="1:30" x14ac:dyDescent="0.25">
      <c r="A6" s="141">
        <f t="shared" si="3"/>
        <v>2017</v>
      </c>
      <c r="B6" s="142">
        <v>9</v>
      </c>
      <c r="C6" s="143">
        <v>136.759722222222</v>
      </c>
      <c r="D6" s="246">
        <v>18.197222222222202</v>
      </c>
      <c r="E6" s="312">
        <v>102.2084</v>
      </c>
      <c r="F6" s="313">
        <v>68.583399999999997</v>
      </c>
      <c r="G6" s="143">
        <v>0</v>
      </c>
      <c r="H6" s="312">
        <v>0</v>
      </c>
      <c r="I6" s="143">
        <v>72.752777777777794</v>
      </c>
      <c r="J6" s="316">
        <v>149.75</v>
      </c>
      <c r="K6" s="305">
        <v>1614649.5430000001</v>
      </c>
      <c r="L6" s="265">
        <f t="shared" si="0"/>
        <v>1419.6693193428187</v>
      </c>
      <c r="M6" s="307">
        <f>SUM('SAP BW Actual Usage'!E32:E47)</f>
        <v>1137342</v>
      </c>
      <c r="N6" s="308">
        <f t="shared" si="1"/>
        <v>1598552.6388488053</v>
      </c>
      <c r="O6" s="298">
        <f t="shared" si="2"/>
        <v>-16096.904151194729</v>
      </c>
      <c r="P6" s="84"/>
      <c r="Q6" s="326">
        <v>4.0513888888888898</v>
      </c>
      <c r="R6" s="327">
        <v>4.375</v>
      </c>
    </row>
    <row r="7" spans="1:30" x14ac:dyDescent="0.25">
      <c r="A7" s="141">
        <f t="shared" si="3"/>
        <v>2017</v>
      </c>
      <c r="B7" s="142">
        <v>10</v>
      </c>
      <c r="C7" s="143">
        <v>386.027777777778</v>
      </c>
      <c r="D7" s="262">
        <v>0</v>
      </c>
      <c r="E7" s="313">
        <v>389.20829999999995</v>
      </c>
      <c r="F7" s="313">
        <v>0</v>
      </c>
      <c r="G7" s="143">
        <v>2.8333333333333299</v>
      </c>
      <c r="H7" s="312">
        <v>0</v>
      </c>
      <c r="I7" s="143">
        <v>1.8902777777777799</v>
      </c>
      <c r="J7" s="317">
        <v>0</v>
      </c>
      <c r="K7" s="306">
        <v>1788067.702</v>
      </c>
      <c r="L7" s="265">
        <f t="shared" si="0"/>
        <v>1569.8685346341329</v>
      </c>
      <c r="M7" s="307">
        <f>SUM('SAP BW Actual Usage'!F32:F47)</f>
        <v>1138992</v>
      </c>
      <c r="N7" s="308">
        <f t="shared" si="1"/>
        <v>1786848.28408025</v>
      </c>
      <c r="O7" s="298">
        <f t="shared" ref="O7:O15" si="4">N7-K7</f>
        <v>-1219.4179197500926</v>
      </c>
      <c r="P7" s="255"/>
      <c r="Q7" s="246">
        <v>99.504166666666606</v>
      </c>
      <c r="R7" s="316">
        <v>84.541599999999988</v>
      </c>
      <c r="S7" s="143"/>
      <c r="T7" s="143"/>
      <c r="U7" s="143"/>
      <c r="V7" s="143"/>
      <c r="W7" s="143"/>
      <c r="X7" s="143"/>
      <c r="Y7" s="246"/>
      <c r="Z7" s="256"/>
      <c r="AA7" s="143"/>
      <c r="AB7" s="167"/>
      <c r="AC7" s="257"/>
      <c r="AD7" s="258"/>
    </row>
    <row r="8" spans="1:30" x14ac:dyDescent="0.25">
      <c r="A8" s="141">
        <f t="shared" si="3"/>
        <v>2017</v>
      </c>
      <c r="B8" s="142">
        <v>11</v>
      </c>
      <c r="C8" s="143">
        <v>583.59097222222204</v>
      </c>
      <c r="D8" s="262">
        <v>0</v>
      </c>
      <c r="E8" s="313">
        <v>563.87490000000003</v>
      </c>
      <c r="F8" s="313">
        <v>0</v>
      </c>
      <c r="G8" s="143">
        <v>54.622222222222199</v>
      </c>
      <c r="H8" s="313">
        <v>34.999899999999997</v>
      </c>
      <c r="I8" s="143">
        <v>2.9166666666666698E-2</v>
      </c>
      <c r="J8" s="317">
        <v>0.875</v>
      </c>
      <c r="K8" s="306">
        <v>2006678.7039999999</v>
      </c>
      <c r="L8" s="265">
        <f t="shared" si="0"/>
        <v>1759.2429432717688</v>
      </c>
      <c r="M8" s="307">
        <f>SUM('SAP BW Actual Usage'!G32:G47)</f>
        <v>1140649</v>
      </c>
      <c r="N8" s="308">
        <f t="shared" si="1"/>
        <v>2028588.9206755639</v>
      </c>
      <c r="O8" s="298">
        <f t="shared" si="4"/>
        <v>21910.216675563948</v>
      </c>
      <c r="P8" s="255"/>
      <c r="Q8" s="246">
        <v>285.20763888888899</v>
      </c>
      <c r="R8" s="316">
        <v>269.74990000000003</v>
      </c>
      <c r="S8" s="143"/>
      <c r="T8" s="251"/>
      <c r="U8" s="251"/>
      <c r="V8" s="143"/>
      <c r="W8" s="143"/>
      <c r="X8" s="143"/>
      <c r="Y8" s="252"/>
      <c r="Z8" s="259"/>
      <c r="AA8" s="143"/>
      <c r="AB8" s="167"/>
      <c r="AC8" s="257"/>
      <c r="AD8" s="258"/>
    </row>
    <row r="9" spans="1:30" x14ac:dyDescent="0.25">
      <c r="A9" s="141">
        <f t="shared" si="3"/>
        <v>2017</v>
      </c>
      <c r="B9" s="142">
        <v>12</v>
      </c>
      <c r="C9" s="143">
        <v>747.57777777777801</v>
      </c>
      <c r="D9" s="262">
        <v>0</v>
      </c>
      <c r="E9" s="313">
        <v>780.5</v>
      </c>
      <c r="F9" s="313">
        <v>0</v>
      </c>
      <c r="G9" s="143">
        <v>148.73472222222199</v>
      </c>
      <c r="H9" s="313">
        <v>165.79169999999996</v>
      </c>
      <c r="I9" s="143">
        <v>0</v>
      </c>
      <c r="J9" s="317">
        <v>0</v>
      </c>
      <c r="K9" s="306">
        <v>2389752.5690000001</v>
      </c>
      <c r="L9" s="265">
        <f t="shared" si="0"/>
        <v>2092.5351534144693</v>
      </c>
      <c r="M9" s="307">
        <f>SUM('SAP BW Actual Usage'!H32:H47)</f>
        <v>1142037</v>
      </c>
      <c r="N9" s="308">
        <f t="shared" si="1"/>
        <v>2364363.5290372954</v>
      </c>
      <c r="O9" s="298">
        <f t="shared" si="4"/>
        <v>-25389.039962704759</v>
      </c>
      <c r="P9" s="255"/>
      <c r="Q9" s="246">
        <v>437.754166666667</v>
      </c>
      <c r="R9" s="316">
        <v>470.5</v>
      </c>
      <c r="S9" s="143"/>
      <c r="T9" s="251"/>
      <c r="U9" s="251"/>
      <c r="V9" s="143"/>
      <c r="W9" s="143"/>
      <c r="X9" s="143"/>
      <c r="Y9" s="252"/>
      <c r="Z9" s="259"/>
      <c r="AA9" s="143"/>
      <c r="AB9" s="167"/>
      <c r="AC9" s="257"/>
      <c r="AD9" s="258"/>
    </row>
    <row r="10" spans="1:30" x14ac:dyDescent="0.25">
      <c r="A10" s="141">
        <v>2018</v>
      </c>
      <c r="B10" s="142">
        <v>1</v>
      </c>
      <c r="C10" s="143">
        <v>723.21388888888896</v>
      </c>
      <c r="D10" s="262">
        <v>0</v>
      </c>
      <c r="E10" s="313">
        <v>628.70833333333326</v>
      </c>
      <c r="F10" s="313">
        <v>0</v>
      </c>
      <c r="G10" s="143">
        <v>131.923611111111</v>
      </c>
      <c r="H10" s="313">
        <v>49.499999999999993</v>
      </c>
      <c r="I10" s="143">
        <v>0</v>
      </c>
      <c r="J10" s="317">
        <v>0</v>
      </c>
      <c r="K10" s="306">
        <v>2215266.1669999999</v>
      </c>
      <c r="L10" s="265">
        <f t="shared" si="0"/>
        <v>1937.9020046783992</v>
      </c>
      <c r="M10" s="307">
        <f>SUM('SAP BW Actual Usage'!I32:I47)</f>
        <v>1143126</v>
      </c>
      <c r="N10" s="308">
        <f t="shared" si="1"/>
        <v>2305584.0654216884</v>
      </c>
      <c r="O10" s="298">
        <f t="shared" si="4"/>
        <v>90317.898421688471</v>
      </c>
      <c r="P10" s="255"/>
      <c r="Q10" s="246">
        <v>413.27916666666698</v>
      </c>
      <c r="R10" s="316">
        <v>318.70833333333337</v>
      </c>
      <c r="S10" s="143"/>
      <c r="T10" s="251"/>
      <c r="U10" s="251"/>
      <c r="V10" s="143"/>
      <c r="W10" s="251"/>
      <c r="X10" s="143"/>
      <c r="Y10" s="252"/>
      <c r="Z10" s="144"/>
      <c r="AA10" s="143"/>
      <c r="AB10" s="167"/>
      <c r="AC10" s="257"/>
      <c r="AD10" s="258"/>
    </row>
    <row r="11" spans="1:30" x14ac:dyDescent="0.25">
      <c r="A11" s="141">
        <f t="shared" si="3"/>
        <v>2018</v>
      </c>
      <c r="B11" s="142">
        <v>2</v>
      </c>
      <c r="C11" s="143">
        <v>616.98611111111097</v>
      </c>
      <c r="D11" s="246">
        <v>0</v>
      </c>
      <c r="E11" s="313">
        <v>672.58333333333303</v>
      </c>
      <c r="F11" s="313">
        <v>0</v>
      </c>
      <c r="G11" s="143">
        <v>89.9930555555556</v>
      </c>
      <c r="H11" s="313">
        <v>140.583333333333</v>
      </c>
      <c r="I11" s="143">
        <v>2.9166666666666698E-2</v>
      </c>
      <c r="J11" s="316">
        <v>0</v>
      </c>
      <c r="K11" s="305">
        <v>2064898.7</v>
      </c>
      <c r="L11" s="265">
        <f t="shared" si="0"/>
        <v>1804.1124423463873</v>
      </c>
      <c r="M11" s="307">
        <f>SUM('SAP BW Actual Usage'!J32:J47)</f>
        <v>1144551</v>
      </c>
      <c r="N11" s="308">
        <f t="shared" si="1"/>
        <v>2007991.9306302031</v>
      </c>
      <c r="O11" s="298">
        <f t="shared" si="4"/>
        <v>-56906.76936979685</v>
      </c>
      <c r="P11" s="255"/>
      <c r="Q11" s="246">
        <v>337.004166666667</v>
      </c>
      <c r="R11" s="316">
        <v>392.58333333333297</v>
      </c>
      <c r="S11" s="143"/>
      <c r="T11" s="251"/>
      <c r="U11" s="143"/>
      <c r="V11" s="143"/>
      <c r="W11" s="251"/>
      <c r="X11" s="143"/>
      <c r="Y11" s="246"/>
      <c r="Z11" s="144"/>
      <c r="AA11" s="143"/>
      <c r="AB11" s="167"/>
      <c r="AC11" s="257"/>
      <c r="AD11" s="258"/>
    </row>
    <row r="12" spans="1:30" x14ac:dyDescent="0.25">
      <c r="A12" s="141">
        <f t="shared" si="3"/>
        <v>2018</v>
      </c>
      <c r="B12" s="142">
        <v>3</v>
      </c>
      <c r="C12" s="143">
        <v>592.16805555555595</v>
      </c>
      <c r="D12" s="246">
        <v>0</v>
      </c>
      <c r="E12" s="313">
        <v>589.83333333333337</v>
      </c>
      <c r="F12" s="313">
        <v>0</v>
      </c>
      <c r="G12" s="143">
        <v>42.775694444444397</v>
      </c>
      <c r="H12" s="313">
        <v>34.208333333333329</v>
      </c>
      <c r="I12" s="143">
        <v>0.102777777777778</v>
      </c>
      <c r="J12" s="316">
        <v>0</v>
      </c>
      <c r="K12" s="305">
        <v>2062414.077</v>
      </c>
      <c r="L12" s="265">
        <f t="shared" si="0"/>
        <v>1800.4739280513741</v>
      </c>
      <c r="M12" s="307">
        <f>SUM('SAP BW Actual Usage'!K32:K47)</f>
        <v>1145484</v>
      </c>
      <c r="N12" s="308">
        <f t="shared" si="1"/>
        <v>2068533.3330722307</v>
      </c>
      <c r="O12" s="298">
        <f t="shared" si="4"/>
        <v>6119.2560722306371</v>
      </c>
      <c r="P12" s="255"/>
      <c r="Q12" s="246">
        <v>283.70277777777801</v>
      </c>
      <c r="R12" s="316">
        <v>288.375</v>
      </c>
      <c r="S12" s="143"/>
      <c r="T12" s="251"/>
      <c r="U12" s="143"/>
      <c r="V12" s="143"/>
      <c r="W12" s="251"/>
      <c r="X12" s="143"/>
      <c r="Y12" s="246"/>
      <c r="Z12" s="144"/>
      <c r="AA12" s="143"/>
      <c r="AB12" s="260"/>
      <c r="AC12" s="257"/>
      <c r="AD12" s="258"/>
    </row>
    <row r="13" spans="1:30" x14ac:dyDescent="0.25">
      <c r="A13" s="141">
        <f t="shared" si="3"/>
        <v>2018</v>
      </c>
      <c r="B13" s="142">
        <v>4</v>
      </c>
      <c r="C13" s="143">
        <v>450.14722222222201</v>
      </c>
      <c r="D13" s="246">
        <v>0.68472222222222301</v>
      </c>
      <c r="E13" s="313">
        <v>419.04166666666703</v>
      </c>
      <c r="F13" s="313">
        <v>1.2083333333333299</v>
      </c>
      <c r="G13" s="143">
        <v>8.6638888888888896</v>
      </c>
      <c r="H13" s="313">
        <v>2.9166666666666701</v>
      </c>
      <c r="I13" s="143">
        <v>3.7069444444444501</v>
      </c>
      <c r="J13" s="316">
        <v>13.0833333333333</v>
      </c>
      <c r="K13" s="305">
        <v>1768077.5989999999</v>
      </c>
      <c r="L13" s="265">
        <f t="shared" si="0"/>
        <v>1542.362152198642</v>
      </c>
      <c r="M13" s="307">
        <f>SUM('SAP BW Actual Usage'!L32:L47)</f>
        <v>1146344</v>
      </c>
      <c r="N13" s="308">
        <f t="shared" si="1"/>
        <v>1779404.1856001571</v>
      </c>
      <c r="O13" s="298">
        <f t="shared" si="4"/>
        <v>11326.586600157199</v>
      </c>
      <c r="P13" s="255"/>
      <c r="Q13" s="246">
        <v>166.16249999999999</v>
      </c>
      <c r="R13" s="316">
        <v>149.5</v>
      </c>
      <c r="S13" s="143"/>
      <c r="T13" s="251"/>
      <c r="U13" s="143"/>
      <c r="V13" s="143"/>
      <c r="W13" s="251"/>
      <c r="X13" s="143"/>
      <c r="Y13" s="246"/>
      <c r="Z13" s="144"/>
      <c r="AA13" s="143"/>
      <c r="AB13" s="260"/>
      <c r="AC13" s="257"/>
      <c r="AD13" s="258"/>
    </row>
    <row r="14" spans="1:30" x14ac:dyDescent="0.25">
      <c r="A14" s="141">
        <f t="shared" si="3"/>
        <v>2018</v>
      </c>
      <c r="B14" s="142">
        <v>5</v>
      </c>
      <c r="C14" s="143">
        <v>296.66111111111098</v>
      </c>
      <c r="D14" s="246">
        <v>6.1736111111111098</v>
      </c>
      <c r="E14" s="313">
        <v>172.458333333333</v>
      </c>
      <c r="F14" s="313">
        <v>13.2083333333333</v>
      </c>
      <c r="G14" s="143">
        <v>0.41666666666666702</v>
      </c>
      <c r="H14" s="313">
        <v>0</v>
      </c>
      <c r="I14" s="143">
        <v>26.405555555555601</v>
      </c>
      <c r="J14" s="316">
        <v>45.7916666666667</v>
      </c>
      <c r="K14" s="305">
        <v>1593061.4380000001</v>
      </c>
      <c r="L14" s="265">
        <f t="shared" si="0"/>
        <v>1388.0771455333609</v>
      </c>
      <c r="M14" s="307">
        <f>SUM('SAP BW Actual Usage'!M32:M47)</f>
        <v>1147675</v>
      </c>
      <c r="N14" s="308">
        <f t="shared" si="1"/>
        <v>1611520.0068019745</v>
      </c>
      <c r="O14" s="298">
        <f t="shared" si="4"/>
        <v>18458.568801974412</v>
      </c>
      <c r="P14" s="255"/>
      <c r="Q14" s="246">
        <v>58.012500000000003</v>
      </c>
      <c r="R14" s="316">
        <v>2.875</v>
      </c>
      <c r="S14" s="143"/>
      <c r="T14" s="251"/>
      <c r="U14" s="143"/>
      <c r="V14" s="143"/>
      <c r="W14" s="251"/>
      <c r="X14" s="143"/>
      <c r="Y14" s="246"/>
      <c r="Z14" s="144"/>
      <c r="AA14" s="143"/>
      <c r="AB14" s="260"/>
      <c r="AC14" s="257"/>
      <c r="AD14" s="258"/>
    </row>
    <row r="15" spans="1:30" x14ac:dyDescent="0.25">
      <c r="A15" s="141">
        <f t="shared" si="3"/>
        <v>2018</v>
      </c>
      <c r="B15" s="142">
        <v>6</v>
      </c>
      <c r="C15" s="253">
        <v>162.50833333333301</v>
      </c>
      <c r="D15" s="254">
        <v>25.720833333333299</v>
      </c>
      <c r="E15" s="314">
        <v>124.833333333333</v>
      </c>
      <c r="F15" s="314">
        <v>31.9166666666667</v>
      </c>
      <c r="G15" s="253">
        <v>0</v>
      </c>
      <c r="H15" s="314">
        <v>0</v>
      </c>
      <c r="I15" s="253">
        <v>70.143055555555506</v>
      </c>
      <c r="J15" s="356">
        <v>85.2083333333333</v>
      </c>
      <c r="K15" s="353">
        <v>1565951.96</v>
      </c>
      <c r="L15" s="278">
        <f t="shared" si="0"/>
        <v>1362.8314693183804</v>
      </c>
      <c r="M15" s="355">
        <f>SUM('SAP BW Actual Usage'!N32:N47)</f>
        <v>1149043</v>
      </c>
      <c r="N15" s="357">
        <f t="shared" si="1"/>
        <v>1559953.2997715843</v>
      </c>
      <c r="O15" s="358">
        <f t="shared" si="4"/>
        <v>-5998.6602284156252</v>
      </c>
      <c r="P15" s="255"/>
      <c r="Q15" s="246">
        <v>7.9180555555555596</v>
      </c>
      <c r="R15" s="316">
        <v>2.125</v>
      </c>
      <c r="S15" s="143"/>
      <c r="T15" s="251"/>
      <c r="U15" s="143"/>
      <c r="V15" s="143"/>
      <c r="W15" s="251"/>
      <c r="X15" s="143"/>
      <c r="Y15" s="246"/>
      <c r="Z15" s="144"/>
      <c r="AA15" s="143"/>
      <c r="AB15" s="260"/>
      <c r="AC15" s="257"/>
      <c r="AD15" s="258"/>
    </row>
    <row r="16" spans="1:30" x14ac:dyDescent="0.25">
      <c r="A16" s="378" t="s">
        <v>180</v>
      </c>
      <c r="B16" s="379"/>
      <c r="C16" s="145"/>
      <c r="D16" s="263"/>
      <c r="E16" s="146"/>
      <c r="F16" s="146"/>
      <c r="G16" s="146"/>
      <c r="H16" s="146"/>
      <c r="I16" s="146"/>
      <c r="J16" s="261"/>
      <c r="K16" s="268">
        <f>SUM(K4:K15)</f>
        <v>22506009.885000002</v>
      </c>
      <c r="L16" s="266"/>
      <c r="M16" s="267"/>
      <c r="N16" s="268">
        <f>SUM(N4:N15)</f>
        <v>22482264.585188564</v>
      </c>
      <c r="O16" s="238"/>
    </row>
    <row r="17" spans="1:15" x14ac:dyDescent="0.25">
      <c r="A17" s="147" t="s">
        <v>87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269"/>
      <c r="M17" s="269"/>
      <c r="N17" s="270">
        <f>N16-$K16</f>
        <v>-23745.299811437726</v>
      </c>
      <c r="O17" s="168"/>
    </row>
    <row r="18" spans="1:15" x14ac:dyDescent="0.25">
      <c r="A18" s="284" t="s">
        <v>183</v>
      </c>
      <c r="B18" s="127"/>
      <c r="C18" s="127"/>
      <c r="D18" s="127"/>
      <c r="E18" s="127"/>
      <c r="F18" s="127"/>
      <c r="G18" s="264"/>
      <c r="H18" s="127"/>
      <c r="I18" s="127"/>
      <c r="J18" s="127"/>
      <c r="K18" s="127"/>
      <c r="L18" s="169"/>
      <c r="M18" s="127"/>
      <c r="N18" s="127"/>
      <c r="O18" s="127"/>
    </row>
    <row r="19" spans="1:15" x14ac:dyDescent="0.25">
      <c r="A19" s="247"/>
      <c r="B19" s="127"/>
      <c r="C19" s="127"/>
      <c r="D19" s="127"/>
      <c r="E19" s="127"/>
      <c r="F19" s="127"/>
      <c r="G19" s="264"/>
      <c r="H19" s="127"/>
      <c r="I19" s="127"/>
      <c r="J19" s="127"/>
      <c r="K19" s="127"/>
      <c r="L19" s="169"/>
      <c r="M19" s="127"/>
      <c r="N19" s="127"/>
      <c r="O19" s="127"/>
    </row>
    <row r="20" spans="1:15" ht="15.6" x14ac:dyDescent="0.25">
      <c r="A20" s="150" t="s">
        <v>182</v>
      </c>
      <c r="B20" s="151"/>
      <c r="C20" s="151"/>
      <c r="D20" s="151"/>
      <c r="E20" s="151"/>
      <c r="F20" s="151"/>
      <c r="G20" s="151"/>
      <c r="H20" s="127"/>
      <c r="I20" s="127"/>
      <c r="J20" s="127"/>
      <c r="K20" s="127"/>
      <c r="L20" s="177"/>
      <c r="M20" s="178"/>
      <c r="N20" s="179"/>
      <c r="O20" s="127"/>
    </row>
    <row r="21" spans="1:15" x14ac:dyDescent="0.25">
      <c r="A21" s="138" t="s">
        <v>63</v>
      </c>
      <c r="B21" s="152" t="s">
        <v>64</v>
      </c>
      <c r="C21" s="153" t="s">
        <v>76</v>
      </c>
      <c r="D21" s="154" t="s">
        <v>115</v>
      </c>
      <c r="E21" s="153" t="s">
        <v>116</v>
      </c>
      <c r="F21" s="155" t="s">
        <v>79</v>
      </c>
      <c r="G21" s="151"/>
      <c r="H21" s="127"/>
      <c r="I21" s="127"/>
      <c r="J21" s="127"/>
      <c r="K21" s="127"/>
      <c r="L21" s="158"/>
      <c r="M21" s="168"/>
      <c r="N21" s="127"/>
      <c r="O21" s="127"/>
    </row>
    <row r="22" spans="1:15" x14ac:dyDescent="0.25">
      <c r="A22" s="141">
        <f t="shared" ref="A22:B22" si="5">A4</f>
        <v>2017</v>
      </c>
      <c r="B22" s="156">
        <f t="shared" si="5"/>
        <v>7</v>
      </c>
      <c r="C22" s="157">
        <v>0</v>
      </c>
      <c r="D22" s="157">
        <v>0</v>
      </c>
      <c r="E22" s="157">
        <v>0</v>
      </c>
      <c r="F22" s="157">
        <v>0.435616</v>
      </c>
      <c r="G22" s="127"/>
      <c r="H22" s="127"/>
      <c r="I22" s="127"/>
      <c r="J22" s="127"/>
      <c r="K22" s="127"/>
      <c r="L22" s="127"/>
      <c r="M22" s="127"/>
      <c r="N22" s="127"/>
      <c r="O22" s="127"/>
    </row>
    <row r="23" spans="1:15" x14ac:dyDescent="0.25">
      <c r="A23" s="141">
        <f t="shared" ref="A23:B23" si="6">A5</f>
        <v>2017</v>
      </c>
      <c r="B23" s="156">
        <f t="shared" si="6"/>
        <v>8</v>
      </c>
      <c r="C23" s="180">
        <v>0</v>
      </c>
      <c r="D23" s="157">
        <v>0</v>
      </c>
      <c r="E23" s="157">
        <v>0</v>
      </c>
      <c r="F23" s="157">
        <v>0.43418600000000002</v>
      </c>
      <c r="G23" s="127"/>
      <c r="H23" s="127"/>
      <c r="I23" s="127"/>
      <c r="J23" s="127"/>
      <c r="K23" s="127"/>
      <c r="L23" s="127"/>
      <c r="M23" s="127"/>
      <c r="N23" s="127"/>
      <c r="O23" s="127"/>
    </row>
    <row r="24" spans="1:15" x14ac:dyDescent="0.25">
      <c r="A24" s="141">
        <f t="shared" ref="A24:B24" si="7">A6</f>
        <v>2017</v>
      </c>
      <c r="B24" s="156">
        <f t="shared" si="7"/>
        <v>9</v>
      </c>
      <c r="C24" s="157">
        <v>0</v>
      </c>
      <c r="D24" s="157">
        <v>0</v>
      </c>
      <c r="E24" s="157">
        <v>0</v>
      </c>
      <c r="F24" s="157">
        <v>0.183813</v>
      </c>
      <c r="G24" s="127"/>
      <c r="H24" s="127"/>
      <c r="I24" s="127"/>
      <c r="J24" s="127"/>
      <c r="K24" s="127"/>
      <c r="L24" s="127"/>
      <c r="M24" s="127"/>
      <c r="N24" s="127"/>
      <c r="O24" s="127"/>
    </row>
    <row r="25" spans="1:15" x14ac:dyDescent="0.25">
      <c r="A25" s="141">
        <f t="shared" ref="A25:B25" si="8">A7</f>
        <v>2017</v>
      </c>
      <c r="B25" s="156">
        <f t="shared" si="8"/>
        <v>10</v>
      </c>
      <c r="C25" s="157">
        <v>0.336615</v>
      </c>
      <c r="D25" s="157">
        <v>0</v>
      </c>
      <c r="E25" s="157">
        <v>0</v>
      </c>
      <c r="F25" s="157">
        <v>0</v>
      </c>
      <c r="G25" s="127"/>
      <c r="H25" s="127"/>
      <c r="I25" s="127"/>
      <c r="J25" s="127"/>
      <c r="K25" s="127"/>
      <c r="L25" s="127"/>
      <c r="M25" s="127"/>
      <c r="N25" s="127"/>
      <c r="O25" s="127"/>
    </row>
    <row r="26" spans="1:15" x14ac:dyDescent="0.25">
      <c r="A26" s="141">
        <f t="shared" ref="A26:B26" si="9">A8</f>
        <v>2017</v>
      </c>
      <c r="B26" s="156">
        <f t="shared" si="9"/>
        <v>11</v>
      </c>
      <c r="C26" s="157">
        <v>0.64807800000000004</v>
      </c>
      <c r="D26" s="157">
        <v>0.327739</v>
      </c>
      <c r="E26" s="157">
        <v>0</v>
      </c>
      <c r="F26" s="157">
        <v>0</v>
      </c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x14ac:dyDescent="0.25">
      <c r="A27" s="141">
        <f t="shared" ref="A27:B27" si="10">A9</f>
        <v>2017</v>
      </c>
      <c r="B27" s="156">
        <f t="shared" si="10"/>
        <v>12</v>
      </c>
      <c r="C27" s="157">
        <v>0.458038</v>
      </c>
      <c r="D27" s="157">
        <v>0.41928500000000002</v>
      </c>
      <c r="E27" s="157">
        <v>0</v>
      </c>
      <c r="F27" s="157">
        <v>0</v>
      </c>
      <c r="G27" s="127"/>
      <c r="H27" s="127"/>
      <c r="I27" s="127"/>
      <c r="J27" s="127"/>
      <c r="K27" s="127"/>
      <c r="L27" s="127"/>
      <c r="M27" s="127"/>
      <c r="N27" s="127"/>
      <c r="O27" s="127"/>
    </row>
    <row r="28" spans="1:15" x14ac:dyDescent="0.25">
      <c r="A28" s="141">
        <f t="shared" ref="A28:B28" si="11">A10</f>
        <v>2018</v>
      </c>
      <c r="B28" s="156">
        <f t="shared" si="11"/>
        <v>1</v>
      </c>
      <c r="C28" s="157">
        <v>0.83603099999999997</v>
      </c>
      <c r="D28" s="157">
        <v>0</v>
      </c>
      <c r="E28" s="157">
        <v>0</v>
      </c>
      <c r="F28" s="157">
        <v>0</v>
      </c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x14ac:dyDescent="0.25">
      <c r="A29" s="141">
        <f t="shared" ref="A29:B29" si="12">A11</f>
        <v>2018</v>
      </c>
      <c r="B29" s="156">
        <f t="shared" si="12"/>
        <v>2</v>
      </c>
      <c r="C29" s="180">
        <v>0.76440200000000003</v>
      </c>
      <c r="D29" s="157">
        <v>0.142737</v>
      </c>
      <c r="E29" s="157">
        <v>0</v>
      </c>
      <c r="F29" s="157">
        <v>0</v>
      </c>
      <c r="G29" s="127"/>
      <c r="H29" s="127"/>
      <c r="I29" s="127"/>
      <c r="J29" s="127"/>
      <c r="K29" s="127"/>
      <c r="L29" s="127"/>
      <c r="M29" s="127"/>
      <c r="N29" s="127"/>
      <c r="O29" s="127"/>
    </row>
    <row r="30" spans="1:15" x14ac:dyDescent="0.25">
      <c r="A30" s="141">
        <f t="shared" ref="A30" si="13">A12</f>
        <v>2018</v>
      </c>
      <c r="B30" s="156">
        <f t="shared" ref="B30" si="14">B12</f>
        <v>3</v>
      </c>
      <c r="C30" s="157">
        <v>0.51232100000000003</v>
      </c>
      <c r="D30" s="157">
        <v>0.48392299999999999</v>
      </c>
      <c r="E30" s="157">
        <v>0</v>
      </c>
      <c r="F30" s="157">
        <v>0</v>
      </c>
      <c r="G30" s="127"/>
      <c r="H30" s="127"/>
      <c r="I30" s="127"/>
      <c r="J30" s="127"/>
      <c r="K30" s="127"/>
      <c r="L30" s="127"/>
      <c r="M30" s="127"/>
      <c r="N30" s="127"/>
      <c r="O30" s="127"/>
    </row>
    <row r="31" spans="1:15" x14ac:dyDescent="0.25">
      <c r="A31" s="141">
        <f t="shared" ref="A31" si="15">A13</f>
        <v>2018</v>
      </c>
      <c r="B31" s="156">
        <f t="shared" ref="B31" si="16">B13</f>
        <v>4</v>
      </c>
      <c r="C31" s="157">
        <v>0.31764799999999999</v>
      </c>
      <c r="D31" s="157">
        <v>0</v>
      </c>
      <c r="E31" s="157">
        <v>0</v>
      </c>
      <c r="F31" s="157">
        <v>0</v>
      </c>
      <c r="G31" s="127"/>
      <c r="H31" s="127"/>
      <c r="I31" s="127"/>
      <c r="J31" s="127"/>
      <c r="K31" s="127"/>
      <c r="L31" s="127"/>
      <c r="M31" s="127"/>
      <c r="N31" s="127"/>
      <c r="O31" s="127"/>
    </row>
    <row r="32" spans="1:15" x14ac:dyDescent="0.25">
      <c r="A32" s="141">
        <f t="shared" ref="A32" si="17">A14</f>
        <v>2018</v>
      </c>
      <c r="B32" s="156">
        <f t="shared" ref="B32" si="18">B14</f>
        <v>5</v>
      </c>
      <c r="C32" s="157">
        <v>0.18571799999999999</v>
      </c>
      <c r="D32" s="157">
        <v>0</v>
      </c>
      <c r="E32" s="157">
        <v>0</v>
      </c>
      <c r="F32" s="157">
        <v>0.36021900000000001</v>
      </c>
      <c r="G32" s="127"/>
      <c r="H32" s="127"/>
      <c r="I32" s="127"/>
      <c r="J32" s="127"/>
      <c r="K32" s="127"/>
      <c r="L32" s="127"/>
      <c r="M32" s="127"/>
      <c r="N32" s="127"/>
      <c r="O32" s="127"/>
    </row>
    <row r="33" spans="1:15" x14ac:dyDescent="0.25">
      <c r="A33" s="250">
        <f t="shared" ref="A33" si="19">A15</f>
        <v>2018</v>
      </c>
      <c r="B33" s="170">
        <f t="shared" ref="B33" si="20">B15</f>
        <v>6</v>
      </c>
      <c r="C33" s="171">
        <v>0</v>
      </c>
      <c r="D33" s="171">
        <v>0</v>
      </c>
      <c r="E33" s="171">
        <v>0</v>
      </c>
      <c r="F33" s="171">
        <v>0.34653</v>
      </c>
      <c r="G33" s="127"/>
      <c r="H33" s="127"/>
      <c r="I33" s="127"/>
      <c r="J33" s="127"/>
      <c r="K33" s="127"/>
      <c r="L33" s="127"/>
      <c r="M33" s="127"/>
      <c r="N33" s="127"/>
      <c r="O33" s="127"/>
    </row>
    <row r="34" spans="1:15" x14ac:dyDescent="0.2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</row>
    <row r="35" spans="1:15" ht="15.6" x14ac:dyDescent="0.3">
      <c r="A35" s="159" t="s">
        <v>80</v>
      </c>
      <c r="B35" s="149" t="s">
        <v>81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1:15" x14ac:dyDescent="0.25">
      <c r="A36" s="127"/>
      <c r="B36" s="149" t="s">
        <v>82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</row>
    <row r="37" spans="1:15" x14ac:dyDescent="0.25">
      <c r="A37" s="127"/>
      <c r="B37" s="149" t="s">
        <v>83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1:15" x14ac:dyDescent="0.2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</row>
    <row r="39" spans="1:15" x14ac:dyDescent="0.25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</row>
    <row r="40" spans="1:15" x14ac:dyDescent="0.25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</row>
    <row r="41" spans="1:15" x14ac:dyDescent="0.25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</row>
  </sheetData>
  <mergeCells count="1">
    <mergeCell ref="A16:B16"/>
  </mergeCells>
  <phoneticPr fontId="2" type="noConversion"/>
  <pageMargins left="0.7" right="0.7" top="0.75" bottom="0.75" header="0.3" footer="0.3"/>
  <pageSetup scale="60" orientation="landscape" horizontalDpi="300" verticalDpi="300" r:id="rId1"/>
  <headerFooter alignWithMargins="0">
    <oddFooter xml:space="preserve">&amp;L&amp;F
&amp;A&amp;RPage &amp;P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45"/>
  <sheetViews>
    <sheetView showGridLines="0" topLeftCell="A4" workbookViewId="0">
      <selection sqref="A1:N25"/>
    </sheetView>
  </sheetViews>
  <sheetFormatPr defaultColWidth="9.33203125" defaultRowHeight="12.6" x14ac:dyDescent="0.25"/>
  <cols>
    <col min="1" max="1" width="9.33203125" style="197"/>
    <col min="2" max="12" width="7.5546875" style="197" customWidth="1"/>
    <col min="13" max="13" width="9.33203125" style="197"/>
    <col min="14" max="14" width="14.33203125" style="197" customWidth="1"/>
    <col min="15" max="15" width="8.44140625" style="198" bestFit="1" customWidth="1"/>
    <col min="16" max="16384" width="9.33203125" style="197"/>
  </cols>
  <sheetData>
    <row r="4" spans="1:17" x14ac:dyDescent="0.25">
      <c r="A4" s="383" t="s">
        <v>191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199" t="s">
        <v>88</v>
      </c>
    </row>
    <row r="6" spans="1:17" ht="20.25" customHeight="1" x14ac:dyDescent="0.25">
      <c r="A6" s="200"/>
      <c r="B6" s="380"/>
      <c r="C6" s="380"/>
      <c r="D6" s="380"/>
      <c r="E6" s="380"/>
      <c r="F6" s="380"/>
      <c r="G6" s="380"/>
      <c r="H6" s="380"/>
      <c r="I6" s="330"/>
      <c r="J6" s="330"/>
      <c r="K6" s="330"/>
      <c r="L6" s="351"/>
      <c r="M6" s="201"/>
      <c r="N6" s="202"/>
    </row>
    <row r="7" spans="1:17" ht="36" customHeight="1" x14ac:dyDescent="0.25">
      <c r="A7" s="203"/>
      <c r="B7" s="204">
        <v>2008</v>
      </c>
      <c r="C7" s="204">
        <f t="shared" ref="C7" si="0">B7+1</f>
        <v>2009</v>
      </c>
      <c r="D7" s="204">
        <f t="shared" ref="D7" si="1">C7+1</f>
        <v>2010</v>
      </c>
      <c r="E7" s="204">
        <f t="shared" ref="E7" si="2">D7+1</f>
        <v>2011</v>
      </c>
      <c r="F7" s="204">
        <f t="shared" ref="F7" si="3">E7+1</f>
        <v>2012</v>
      </c>
      <c r="G7" s="204">
        <f t="shared" ref="G7" si="4">F7+1</f>
        <v>2013</v>
      </c>
      <c r="H7" s="204">
        <f t="shared" ref="H7" si="5">G7+1</f>
        <v>2014</v>
      </c>
      <c r="I7" s="204">
        <f t="shared" ref="I7:J7" si="6">H7+1</f>
        <v>2015</v>
      </c>
      <c r="J7" s="204">
        <f t="shared" si="6"/>
        <v>2016</v>
      </c>
      <c r="K7" s="204">
        <f>J7+1</f>
        <v>2017</v>
      </c>
      <c r="L7" s="204">
        <f>K7+1</f>
        <v>2018</v>
      </c>
      <c r="M7" s="205" t="s">
        <v>117</v>
      </c>
      <c r="N7" s="272" t="s">
        <v>190</v>
      </c>
    </row>
    <row r="8" spans="1:17" ht="13.2" x14ac:dyDescent="0.25">
      <c r="A8" s="203" t="s">
        <v>89</v>
      </c>
      <c r="B8" s="206">
        <v>819.58333333333326</v>
      </c>
      <c r="C8" s="206">
        <v>812.5</v>
      </c>
      <c r="D8" s="206">
        <v>561.95833333333326</v>
      </c>
      <c r="E8" s="206">
        <v>716.33333333333303</v>
      </c>
      <c r="F8" s="271">
        <v>778</v>
      </c>
      <c r="G8" s="271">
        <v>828</v>
      </c>
      <c r="H8" s="271">
        <v>666.12490000000003</v>
      </c>
      <c r="I8" s="271">
        <v>629.33349999999996</v>
      </c>
      <c r="J8" s="333">
        <v>664.25019999999995</v>
      </c>
      <c r="K8" s="334">
        <v>845.54160000000002</v>
      </c>
      <c r="L8" s="334">
        <v>628.70833333333303</v>
      </c>
      <c r="M8" s="332">
        <f>'System Model '!C10</f>
        <v>723.21388888888896</v>
      </c>
      <c r="N8" s="331">
        <f>L8/M8-1</f>
        <v>-0.13067442012313912</v>
      </c>
      <c r="O8" s="332">
        <v>723.21388888888896</v>
      </c>
      <c r="P8" s="207"/>
      <c r="Q8" s="209"/>
    </row>
    <row r="9" spans="1:17" ht="13.2" x14ac:dyDescent="0.25">
      <c r="A9" s="203" t="s">
        <v>90</v>
      </c>
      <c r="B9" s="206">
        <v>629.83333333333337</v>
      </c>
      <c r="C9" s="206">
        <v>659.625</v>
      </c>
      <c r="D9" s="206">
        <v>515</v>
      </c>
      <c r="E9" s="206">
        <v>725.95833333333348</v>
      </c>
      <c r="F9" s="271">
        <v>629</v>
      </c>
      <c r="G9" s="271">
        <v>581</v>
      </c>
      <c r="H9" s="271">
        <v>656.58320000000003</v>
      </c>
      <c r="I9" s="271">
        <v>456.58359999999993</v>
      </c>
      <c r="J9" s="333">
        <v>516.16650000000004</v>
      </c>
      <c r="K9" s="334">
        <v>671.95839999999998</v>
      </c>
      <c r="L9" s="334">
        <v>672.58333333333303</v>
      </c>
      <c r="M9" s="332">
        <f>'System Model '!C11</f>
        <v>616.98611111111097</v>
      </c>
      <c r="N9" s="331">
        <f>L9/M9-1</f>
        <v>9.0110978547148779E-2</v>
      </c>
      <c r="O9" s="332">
        <v>636.29340277777806</v>
      </c>
      <c r="P9" s="210"/>
      <c r="Q9" s="209"/>
    </row>
    <row r="10" spans="1:17" ht="13.2" x14ac:dyDescent="0.25">
      <c r="A10" s="203" t="s">
        <v>91</v>
      </c>
      <c r="B10" s="206">
        <v>693.54166666666663</v>
      </c>
      <c r="C10" s="206">
        <v>725.0625</v>
      </c>
      <c r="D10" s="206">
        <v>564.35416666666674</v>
      </c>
      <c r="E10" s="206">
        <v>624.375</v>
      </c>
      <c r="F10" s="271">
        <v>684</v>
      </c>
      <c r="G10" s="271">
        <v>539.20000000000005</v>
      </c>
      <c r="H10" s="271">
        <v>535.62509999999997</v>
      </c>
      <c r="I10" s="271">
        <v>456.37670000000003</v>
      </c>
      <c r="J10" s="333">
        <v>510.06220000000008</v>
      </c>
      <c r="K10" s="334">
        <v>602.62480000000005</v>
      </c>
      <c r="L10" s="334">
        <v>589.83333333333303</v>
      </c>
      <c r="M10" s="332">
        <f>'System Model '!C12</f>
        <v>592.16805555555595</v>
      </c>
      <c r="N10" s="331">
        <f>L10/M10-1</f>
        <v>-3.9426683022145692E-3</v>
      </c>
      <c r="O10" s="332">
        <v>592.16805555555595</v>
      </c>
      <c r="P10" s="207"/>
      <c r="Q10" s="209"/>
    </row>
    <row r="11" spans="1:17" ht="13.2" x14ac:dyDescent="0.25">
      <c r="A11" s="203" t="s">
        <v>92</v>
      </c>
      <c r="B11" s="206">
        <v>568.33333333333326</v>
      </c>
      <c r="C11" s="206">
        <v>485.58333333333326</v>
      </c>
      <c r="D11" s="206">
        <v>486.20833333333337</v>
      </c>
      <c r="E11" s="206">
        <v>595.75</v>
      </c>
      <c r="F11" s="271">
        <v>436</v>
      </c>
      <c r="G11" s="271">
        <v>444.2</v>
      </c>
      <c r="H11" s="271">
        <v>404.58330000000001</v>
      </c>
      <c r="I11" s="271">
        <v>428.04169999999999</v>
      </c>
      <c r="J11" s="333">
        <v>289.93369999999999</v>
      </c>
      <c r="K11" s="334">
        <v>451.37509999999997</v>
      </c>
      <c r="L11" s="334"/>
      <c r="M11" s="332">
        <f>'System Model '!C13</f>
        <v>450.14722222222201</v>
      </c>
      <c r="N11" s="331">
        <f t="shared" ref="N11:N19" si="7">L11/M11-1</f>
        <v>-1</v>
      </c>
      <c r="O11" s="332">
        <v>450.14722222222201</v>
      </c>
      <c r="P11" s="207"/>
      <c r="Q11" s="209"/>
    </row>
    <row r="12" spans="1:17" ht="13.2" x14ac:dyDescent="0.25">
      <c r="A12" s="203" t="s">
        <v>93</v>
      </c>
      <c r="B12" s="206">
        <v>306.375</v>
      </c>
      <c r="C12" s="206">
        <v>293.58333333333337</v>
      </c>
      <c r="D12" s="206">
        <v>387.70833333333331</v>
      </c>
      <c r="E12" s="206">
        <v>406.20833333333337</v>
      </c>
      <c r="F12" s="271">
        <v>317</v>
      </c>
      <c r="G12" s="271">
        <v>234.9</v>
      </c>
      <c r="H12" s="271">
        <v>213.33349999999996</v>
      </c>
      <c r="I12" s="271">
        <v>213.16689999999997</v>
      </c>
      <c r="J12" s="333">
        <v>188.74990000000003</v>
      </c>
      <c r="K12" s="334">
        <v>257.58359999999999</v>
      </c>
      <c r="L12" s="334"/>
      <c r="M12" s="332">
        <f>'System Model '!C14</f>
        <v>296.66111111111098</v>
      </c>
      <c r="N12" s="331">
        <f t="shared" si="7"/>
        <v>-1</v>
      </c>
      <c r="O12" s="332">
        <v>296.66111111111098</v>
      </c>
      <c r="P12" s="207"/>
      <c r="Q12" s="209"/>
    </row>
    <row r="13" spans="1:17" ht="13.2" x14ac:dyDescent="0.25">
      <c r="A13" s="203" t="s">
        <v>94</v>
      </c>
      <c r="B13" s="206">
        <v>251.70833333333334</v>
      </c>
      <c r="C13" s="206">
        <v>94.875</v>
      </c>
      <c r="D13" s="206">
        <v>224.20833333333326</v>
      </c>
      <c r="E13" s="206">
        <v>199.16666666666669</v>
      </c>
      <c r="F13" s="271">
        <v>220</v>
      </c>
      <c r="G13" s="271">
        <v>76.8</v>
      </c>
      <c r="H13" s="271">
        <v>125.83319999999998</v>
      </c>
      <c r="I13" s="271">
        <v>44</v>
      </c>
      <c r="J13" s="333">
        <v>122.95819999999998</v>
      </c>
      <c r="K13" s="334">
        <v>124.58319999999998</v>
      </c>
      <c r="L13" s="334"/>
      <c r="M13" s="332">
        <f>'System Model '!C15</f>
        <v>162.50833333333301</v>
      </c>
      <c r="N13" s="331">
        <f t="shared" si="7"/>
        <v>-1</v>
      </c>
      <c r="O13" s="332">
        <v>162.50833333333301</v>
      </c>
      <c r="P13" s="207"/>
      <c r="Q13" s="209"/>
    </row>
    <row r="14" spans="1:17" x14ac:dyDescent="0.25">
      <c r="A14" s="203" t="s">
        <v>95</v>
      </c>
      <c r="B14" s="206">
        <v>71.458333333333343</v>
      </c>
      <c r="C14" s="206">
        <v>41.25</v>
      </c>
      <c r="D14" s="206">
        <v>113.20833333333331</v>
      </c>
      <c r="E14" s="206">
        <v>79.916666666666686</v>
      </c>
      <c r="F14" s="271">
        <v>68</v>
      </c>
      <c r="G14" s="271">
        <v>22.6</v>
      </c>
      <c r="H14" s="271">
        <v>20.833499999999997</v>
      </c>
      <c r="I14" s="271">
        <v>7.875</v>
      </c>
      <c r="J14" s="333">
        <v>33.625</v>
      </c>
      <c r="K14" s="334">
        <v>18.916799999999999</v>
      </c>
      <c r="L14" s="334"/>
      <c r="M14" s="332">
        <f>'System Model '!C4</f>
        <v>57.0138888888889</v>
      </c>
      <c r="N14" s="331">
        <f t="shared" si="7"/>
        <v>-1</v>
      </c>
      <c r="O14" s="332">
        <v>57.0138888888889</v>
      </c>
      <c r="Q14" s="209"/>
    </row>
    <row r="15" spans="1:17" x14ac:dyDescent="0.25">
      <c r="A15" s="203" t="s">
        <v>96</v>
      </c>
      <c r="B15" s="206">
        <v>77.25</v>
      </c>
      <c r="C15" s="206">
        <v>58.833333333333329</v>
      </c>
      <c r="D15" s="206">
        <v>95.458333333333371</v>
      </c>
      <c r="E15" s="206">
        <v>43.54166666666665</v>
      </c>
      <c r="F15" s="271">
        <v>31</v>
      </c>
      <c r="G15" s="271">
        <v>7.6</v>
      </c>
      <c r="H15" s="271">
        <v>13.208299999999999</v>
      </c>
      <c r="I15" s="271">
        <v>18.333299999999998</v>
      </c>
      <c r="J15" s="333">
        <v>32.166600000000003</v>
      </c>
      <c r="K15" s="334">
        <v>4.7084000000000001</v>
      </c>
      <c r="L15" s="334"/>
      <c r="M15" s="332">
        <f>'System Model '!C5</f>
        <v>47.509722222222202</v>
      </c>
      <c r="N15" s="331">
        <f t="shared" si="7"/>
        <v>-1</v>
      </c>
      <c r="O15" s="332">
        <v>47.509722222222202</v>
      </c>
      <c r="Q15" s="209"/>
    </row>
    <row r="16" spans="1:17" x14ac:dyDescent="0.25">
      <c r="A16" s="203" t="s">
        <v>97</v>
      </c>
      <c r="B16" s="206">
        <v>144.20833333333334</v>
      </c>
      <c r="C16" s="206">
        <v>122.375</v>
      </c>
      <c r="D16" s="206">
        <v>155.33333333333331</v>
      </c>
      <c r="E16" s="206">
        <v>95.666666666666657</v>
      </c>
      <c r="F16" s="271">
        <v>110</v>
      </c>
      <c r="G16" s="271">
        <v>113.95833333333337</v>
      </c>
      <c r="H16" s="271">
        <v>63.499800000000008</v>
      </c>
      <c r="I16" s="271">
        <v>164.66670000000002</v>
      </c>
      <c r="J16" s="333">
        <v>137.37489999999997</v>
      </c>
      <c r="K16" s="334">
        <v>102.2084</v>
      </c>
      <c r="L16" s="334"/>
      <c r="M16" s="332">
        <f>'System Model '!C6</f>
        <v>136.759722222222</v>
      </c>
      <c r="N16" s="331">
        <f t="shared" si="7"/>
        <v>-1</v>
      </c>
      <c r="O16" s="332">
        <v>136.759722222222</v>
      </c>
      <c r="Q16" s="209"/>
    </row>
    <row r="17" spans="1:17" x14ac:dyDescent="0.25">
      <c r="A17" s="203" t="s">
        <v>98</v>
      </c>
      <c r="B17" s="206">
        <v>422.1666666666668</v>
      </c>
      <c r="C17" s="206">
        <v>404.08333333333343</v>
      </c>
      <c r="D17" s="206">
        <v>377.16666666666663</v>
      </c>
      <c r="E17" s="271">
        <v>411.83333333333337</v>
      </c>
      <c r="F17" s="271">
        <v>360</v>
      </c>
      <c r="G17" s="271">
        <v>431.99999999999989</v>
      </c>
      <c r="H17" s="271">
        <v>238.79180000000002</v>
      </c>
      <c r="I17" s="271">
        <v>259.66660000000002</v>
      </c>
      <c r="J17" s="333">
        <v>340.29179999999997</v>
      </c>
      <c r="K17" s="334">
        <v>389.20829999999995</v>
      </c>
      <c r="L17" s="334"/>
      <c r="M17" s="332">
        <f>'System Model '!C7</f>
        <v>386.027777777778</v>
      </c>
      <c r="N17" s="331">
        <f t="shared" si="7"/>
        <v>-1</v>
      </c>
      <c r="O17" s="332">
        <v>386.027777777778</v>
      </c>
      <c r="Q17" s="209"/>
    </row>
    <row r="18" spans="1:17" x14ac:dyDescent="0.25">
      <c r="A18" s="203" t="s">
        <v>99</v>
      </c>
      <c r="B18" s="206">
        <v>481.75</v>
      </c>
      <c r="C18" s="206">
        <v>556.375</v>
      </c>
      <c r="D18" s="206">
        <v>652.29166666666674</v>
      </c>
      <c r="E18" s="271">
        <v>659.25</v>
      </c>
      <c r="F18" s="271">
        <v>550</v>
      </c>
      <c r="G18" s="271">
        <v>519.20833333333337</v>
      </c>
      <c r="H18" s="271">
        <v>583.24990000000003</v>
      </c>
      <c r="I18" s="271">
        <v>635.52080000000001</v>
      </c>
      <c r="J18" s="333">
        <v>427.58320000000003</v>
      </c>
      <c r="K18" s="334">
        <v>563.87490000000003</v>
      </c>
      <c r="L18" s="334"/>
      <c r="M18" s="332">
        <f>'System Model '!C8</f>
        <v>583.59097222222204</v>
      </c>
      <c r="N18" s="331">
        <f t="shared" si="7"/>
        <v>-1</v>
      </c>
      <c r="O18" s="332">
        <v>583.59097222222204</v>
      </c>
      <c r="Q18" s="209"/>
    </row>
    <row r="19" spans="1:17" x14ac:dyDescent="0.25">
      <c r="A19" s="203" t="s">
        <v>100</v>
      </c>
      <c r="B19" s="206">
        <v>865.66666666666663</v>
      </c>
      <c r="C19" s="206">
        <v>840.66666666666663</v>
      </c>
      <c r="D19" s="206">
        <v>682.875</v>
      </c>
      <c r="E19" s="271">
        <v>787.95833333333326</v>
      </c>
      <c r="F19" s="271">
        <v>733</v>
      </c>
      <c r="G19" s="271">
        <v>773.79169999999999</v>
      </c>
      <c r="H19" s="271">
        <v>623.74980000000005</v>
      </c>
      <c r="I19" s="271">
        <v>693.83320000000003</v>
      </c>
      <c r="J19" s="333">
        <v>841.37519999999995</v>
      </c>
      <c r="K19" s="334">
        <v>780.5</v>
      </c>
      <c r="L19" s="334"/>
      <c r="M19" s="332">
        <f>'System Model '!C9</f>
        <v>747.57777777777801</v>
      </c>
      <c r="N19" s="331">
        <f t="shared" si="7"/>
        <v>-1</v>
      </c>
      <c r="O19" s="332">
        <v>747.57777777777801</v>
      </c>
      <c r="Q19" s="209"/>
    </row>
    <row r="20" spans="1:17" ht="7.5" customHeight="1" x14ac:dyDescent="0.25">
      <c r="A20" s="203"/>
      <c r="B20" s="206"/>
      <c r="C20" s="206"/>
      <c r="D20" s="206"/>
      <c r="E20" s="273"/>
      <c r="F20" s="274"/>
      <c r="G20" s="274"/>
      <c r="H20" s="274"/>
      <c r="I20" s="274"/>
      <c r="J20" s="274"/>
      <c r="K20" s="198"/>
      <c r="L20" s="198"/>
      <c r="M20" s="274"/>
      <c r="N20" s="208"/>
      <c r="O20" s="274"/>
    </row>
    <row r="21" spans="1:17" ht="13.2" x14ac:dyDescent="0.25">
      <c r="A21" s="203" t="s">
        <v>21</v>
      </c>
      <c r="B21" s="206">
        <f t="shared" ref="B21:K21" si="8">SUM(B8:B19)</f>
        <v>5331.8750000000009</v>
      </c>
      <c r="C21" s="206">
        <f t="shared" si="8"/>
        <v>5094.8125000000009</v>
      </c>
      <c r="D21" s="206">
        <f t="shared" si="8"/>
        <v>4815.7708333333339</v>
      </c>
      <c r="E21" s="271">
        <f t="shared" si="8"/>
        <v>5345.958333333333</v>
      </c>
      <c r="F21" s="271">
        <f t="shared" si="8"/>
        <v>4916</v>
      </c>
      <c r="G21" s="271">
        <f t="shared" si="8"/>
        <v>4573.2583666666669</v>
      </c>
      <c r="H21" s="271">
        <f t="shared" si="8"/>
        <v>4145.4163000000008</v>
      </c>
      <c r="I21" s="271">
        <f t="shared" si="8"/>
        <v>4007.3980000000001</v>
      </c>
      <c r="J21" s="271">
        <f t="shared" si="8"/>
        <v>4104.5374000000002</v>
      </c>
      <c r="K21" s="271">
        <f t="shared" si="8"/>
        <v>4813.0834999999997</v>
      </c>
      <c r="L21" s="271"/>
      <c r="M21" s="181">
        <f>SUM(M8:M19)</f>
        <v>4800.1645833333332</v>
      </c>
      <c r="N21" s="208"/>
      <c r="O21" s="181">
        <f>SUM(O8:O19)</f>
        <v>4819.4718749999993</v>
      </c>
    </row>
    <row r="22" spans="1:17" ht="19.5" customHeight="1" x14ac:dyDescent="0.25">
      <c r="A22" s="381" t="s">
        <v>101</v>
      </c>
      <c r="B22" s="206"/>
      <c r="C22" s="206"/>
      <c r="D22" s="206"/>
      <c r="E22" s="206"/>
      <c r="F22" s="181"/>
      <c r="G22" s="181"/>
      <c r="H22" s="181"/>
      <c r="I22" s="181"/>
      <c r="J22" s="181"/>
      <c r="K22" s="198"/>
      <c r="L22" s="198"/>
      <c r="M22" s="211"/>
      <c r="N22" s="212"/>
    </row>
    <row r="23" spans="1:17" x14ac:dyDescent="0.25">
      <c r="A23" s="382"/>
      <c r="B23" s="213">
        <f>B21/$O$21-1</f>
        <v>0.10631935164057826</v>
      </c>
      <c r="C23" s="213">
        <f>C21/$M$21-1</f>
        <v>6.1382877930834967E-2</v>
      </c>
      <c r="D23" s="213">
        <f>D21/$M$21-1</f>
        <v>3.2511906058778628E-3</v>
      </c>
      <c r="E23" s="213">
        <f>E21/$M$21-1</f>
        <v>0.1137031325748814</v>
      </c>
      <c r="F23" s="213">
        <f>F21/$O$21-1</f>
        <v>2.0028776493275169E-2</v>
      </c>
      <c r="G23" s="213">
        <f>G21/$M$21-1</f>
        <v>-4.7270507651864246E-2</v>
      </c>
      <c r="H23" s="213">
        <f>H21/$M$21-1</f>
        <v>-0.1364012154097145</v>
      </c>
      <c r="I23" s="213">
        <f>I21/$M$21-1</f>
        <v>-0.16515404202720474</v>
      </c>
      <c r="J23" s="213">
        <f>J21/$O$21-1</f>
        <v>-0.14834290842292741</v>
      </c>
      <c r="K23" s="213">
        <f>K21/$M$21-1</f>
        <v>2.6913486907349515E-3</v>
      </c>
      <c r="L23" s="213"/>
      <c r="M23" s="214"/>
      <c r="N23" s="215"/>
    </row>
    <row r="24" spans="1:17" ht="17.25" customHeight="1" x14ac:dyDescent="0.25">
      <c r="A24" s="285" t="s">
        <v>173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7"/>
      <c r="O24" s="218"/>
    </row>
    <row r="25" spans="1:17" x14ac:dyDescent="0.25">
      <c r="A25" s="286" t="s">
        <v>183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</row>
    <row r="26" spans="1:17" x14ac:dyDescent="0.25">
      <c r="A26" s="217"/>
      <c r="B26" s="219"/>
      <c r="C26" s="219"/>
      <c r="D26" s="219"/>
      <c r="E26" s="219"/>
      <c r="F26" s="219"/>
      <c r="G26" s="219"/>
      <c r="H26" s="182"/>
      <c r="I26" s="182"/>
      <c r="J26" s="182"/>
      <c r="K26" s="182"/>
      <c r="L26" s="182"/>
      <c r="M26" s="198"/>
      <c r="N26" s="198"/>
    </row>
    <row r="30" spans="1:17" x14ac:dyDescent="0.25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09"/>
    </row>
    <row r="31" spans="1:17" x14ac:dyDescent="0.25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09"/>
    </row>
    <row r="32" spans="1:17" x14ac:dyDescent="0.25"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09"/>
    </row>
    <row r="33" spans="2:13" x14ac:dyDescent="0.25"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09"/>
    </row>
    <row r="34" spans="2:13" x14ac:dyDescent="0.25"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09"/>
    </row>
    <row r="35" spans="2:13" x14ac:dyDescent="0.25"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09"/>
    </row>
    <row r="36" spans="2:13" x14ac:dyDescent="0.25"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09"/>
    </row>
    <row r="37" spans="2:13" x14ac:dyDescent="0.25"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09"/>
    </row>
    <row r="38" spans="2:13" x14ac:dyDescent="0.25"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09"/>
    </row>
    <row r="39" spans="2:13" x14ac:dyDescent="0.25"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09"/>
    </row>
    <row r="40" spans="2:13" x14ac:dyDescent="0.25"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09"/>
    </row>
    <row r="41" spans="2:13" x14ac:dyDescent="0.25"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09"/>
    </row>
    <row r="42" spans="2:13" x14ac:dyDescent="0.25"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</row>
    <row r="43" spans="2:13" x14ac:dyDescent="0.25"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  <row r="44" spans="2:13" x14ac:dyDescent="0.25"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</row>
    <row r="45" spans="2:13" x14ac:dyDescent="0.25"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</row>
  </sheetData>
  <mergeCells count="3">
    <mergeCell ref="B6:H6"/>
    <mergeCell ref="A22:A23"/>
    <mergeCell ref="A4:N4"/>
  </mergeCells>
  <phoneticPr fontId="20" type="noConversion"/>
  <pageMargins left="0.7" right="0.7" top="0.75" bottom="0.75" header="0.3" footer="0.3"/>
  <pageSetup orientation="landscape" horizontalDpi="300" verticalDpi="300" r:id="rId1"/>
  <headerFooter alignWithMargins="0">
    <oddFooter xml:space="preserve">&amp;L&amp;F
&amp;A&amp;RPage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18C881E-FF90-4240-8934-5064BA4B39D6}"/>
</file>

<file path=customXml/itemProps2.xml><?xml version="1.0" encoding="utf-8"?>
<ds:datastoreItem xmlns:ds="http://schemas.openxmlformats.org/officeDocument/2006/customXml" ds:itemID="{69B83697-571A-43F4-957E-0D7C60C165C4}"/>
</file>

<file path=customXml/itemProps3.xml><?xml version="1.0" encoding="utf-8"?>
<ds:datastoreItem xmlns:ds="http://schemas.openxmlformats.org/officeDocument/2006/customXml" ds:itemID="{7DB3AB08-037D-4251-9611-5B38FF732075}"/>
</file>

<file path=customXml/itemProps4.xml><?xml version="1.0" encoding="utf-8"?>
<ds:datastoreItem xmlns:ds="http://schemas.openxmlformats.org/officeDocument/2006/customXml" ds:itemID="{23C3D5AE-0110-4B7B-91A3-60700FA91C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Summary Sheet</vt:lpstr>
      <vt:lpstr>Sales &amp; Revenue Adj.</vt:lpstr>
      <vt:lpstr>Temp Adj. by Schedule</vt:lpstr>
      <vt:lpstr>Normalized Total Usage</vt:lpstr>
      <vt:lpstr>Actual Total Usage</vt:lpstr>
      <vt:lpstr>SAP BW Actual Usage</vt:lpstr>
      <vt:lpstr>System Model </vt:lpstr>
      <vt:lpstr>TABLE-HDD</vt:lpstr>
      <vt:lpstr>'Actual Total Usage'!Print_Area</vt:lpstr>
      <vt:lpstr>'Normalized Total Usage'!Print_Area</vt:lpstr>
      <vt:lpstr>'Sales &amp; Revenue Adj.'!Print_Area</vt:lpstr>
      <vt:lpstr>'SAP BW Actual Usage'!Print_Area</vt:lpstr>
      <vt:lpstr>'Summary Sheet'!Print_Area</vt:lpstr>
      <vt:lpstr>'System Model '!Print_Area</vt:lpstr>
      <vt:lpstr>'TABLE-HDD'!Print_Area</vt:lpstr>
      <vt:lpstr>'Temp Adj. by Schedule'!Print_Area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Pam Rasanen</cp:lastModifiedBy>
  <cp:lastPrinted>2018-10-12T16:42:04Z</cp:lastPrinted>
  <dcterms:created xsi:type="dcterms:W3CDTF">2004-05-04T16:51:38Z</dcterms:created>
  <dcterms:modified xsi:type="dcterms:W3CDTF">2018-11-05T23:56:25Z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